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现场照片\顺义通达实业\输机表及测算表\"/>
    </mc:Choice>
  </mc:AlternateContent>
  <bookViews>
    <workbookView xWindow="15" yWindow="0" windowWidth="12435" windowHeight="12900" tabRatio="83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分地块结果表" sheetId="79" r:id="rId18"/>
    <sheet name="结果表" sheetId="9" r:id="rId19"/>
    <sheet name="剩余法-待开发" sheetId="12" state="hidden" r:id="rId20"/>
    <sheet name="剩余法商业" sheetId="43" r:id="rId21"/>
    <sheet name="不动产收益法商业" sheetId="15" r:id="rId22"/>
    <sheet name="剩余法办公" sheetId="77" r:id="rId23"/>
    <sheet name="不动产收益法办公" sheetId="75" r:id="rId24"/>
    <sheet name="办公租金案例" sheetId="70" state="hidden" r:id="rId25"/>
    <sheet name="比较法-住宅、综合" sheetId="39" state="hidden" r:id="rId26"/>
    <sheet name="剩余法工业" sheetId="78" r:id="rId27"/>
    <sheet name="不动产收益法工业" sheetId="76" r:id="rId28"/>
    <sheet name="基准地价商业" sheetId="73" r:id="rId29"/>
    <sheet name="基准地价办公" sheetId="46" r:id="rId30"/>
    <sheet name="修正" sheetId="49" state="hidden" r:id="rId31"/>
    <sheet name="区片价" sheetId="48" state="hidden" r:id="rId32"/>
    <sheet name="容积率修正" sheetId="45" r:id="rId33"/>
    <sheet name="因素修正幅度" sheetId="56" state="hidden" r:id="rId34"/>
    <sheet name="基准地价工业" sheetId="74" r:id="rId35"/>
    <sheet name="地价" sheetId="59" r:id="rId36"/>
    <sheet name="基准地价（汇总）" sheetId="67" r:id="rId37"/>
    <sheet name="收益还原法" sheetId="44" state="hidden" r:id="rId38"/>
    <sheet name="不动产收益法-酒店模型" sheetId="68" state="hidden" r:id="rId39"/>
    <sheet name="酒店收入计算" sheetId="57" state="hidden" r:id="rId40"/>
    <sheet name="比较法-工业" sheetId="40" state="hidden" r:id="rId41"/>
    <sheet name="成本逼近法" sheetId="11" r:id="rId42"/>
    <sheet name="土地案例" sheetId="71" r:id="rId43"/>
    <sheet name="成本案例比较法" sheetId="72"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r:id="rId52"/>
  </sheets>
  <externalReferences>
    <externalReference r:id="rId53"/>
    <externalReference r:id="rId54"/>
    <externalReference r:id="rId55"/>
    <externalReference r:id="rId56"/>
    <externalReference r:id="rId57"/>
  </externalReferences>
  <definedNames>
    <definedName name="_xlnm._FilterDatabase" localSheetId="40" hidden="1">'比较法-工业'!$A$1:$L$45</definedName>
    <definedName name="_xlnm._FilterDatabase" localSheetId="25"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'比较法-工业'!$A$1:$K$63,'比较法-工业'!$A$66:$N$123</definedName>
    <definedName name="_xlnm.Print_Area" localSheetId="25">'比较法-住宅、综合'!$A$1:$K$67,'比较法-住宅、综合'!$A$71:$N$134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44">'不动产比较法-住宅'!$A$1:$K$54,'不动产比较法-住宅'!$A$57:$M$131</definedName>
    <definedName name="_xlnm.Print_Area" localSheetId="23">不动产收益法办公!$A$1:$F$43,不动产收益法办公!$H$3:$M$29,不动产收益法办公!$A$46:$F$70,不动产收益法办公!$I$46:$M$60</definedName>
    <definedName name="_xlnm.Print_Area" localSheetId="27">不动产收益法工业!$A$1:$F$43,不动产收益法工业!$H$3:$M$29,不动产收益法工业!$A$46:$F$70,不动产收益法工业!$I$46:$M$60</definedName>
    <definedName name="_xlnm.Print_Area" localSheetId="21">不动产收益法商业!$A$1:$F$43,不动产收益法商业!$H$3:$M$29,不动产收益法商业!$A$46:$F$70,不动产收益法商业!$I$46:$M$60</definedName>
    <definedName name="_xlnm.Print_Area" localSheetId="41">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29">基准地价办公!$A$1:$J$41,基准地价办公!$A$44:$N$87,基准地价办公!$R$1:$V$16</definedName>
    <definedName name="_xlnm.Print_Area" localSheetId="34">基准地价工业!$A$1:$J$41,基准地价工业!$A$44:$N$87,基准地价工业!$R$1:$V$16</definedName>
    <definedName name="_xlnm.Print_Area" localSheetId="28">基准地价商业!$A$1:$J$41,基准地价商业!$A$44:$N$87,基准地价商业!$R$1:$V$16</definedName>
    <definedName name="_xlnm.Print_Area" localSheetId="18">结果表!$A$1:$I$46,结果表!$K$25:$O$44,结果表!$A$62:$I$115,结果表!$K$64:$P$81</definedName>
    <definedName name="_xlnm.Print_Area" localSheetId="22">剩余法办公!$A$1:$K$27</definedName>
    <definedName name="_xlnm.Print_Area" localSheetId="19">'剩余法-待开发'!$A$1:$K$36</definedName>
    <definedName name="_xlnm.Print_Area" localSheetId="26">剩余法工业!$A$1:$K$27</definedName>
    <definedName name="_xlnm.Print_Area" localSheetId="20">剩余法商业!$A$1:$K$27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基准地价工业!$N$19:$AB$19</definedName>
    <definedName name="季度" localSheetId="28">基准地价商业!$N$19:$AB$19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M10" i="79" l="1"/>
  <c r="S7" i="79"/>
  <c r="R4" i="79"/>
  <c r="U4" i="79"/>
  <c r="T4" i="79"/>
  <c r="S4" i="79"/>
  <c r="Q4" i="79"/>
  <c r="P4" i="79"/>
  <c r="O4" i="79"/>
  <c r="N4" i="79"/>
  <c r="N10" i="79"/>
  <c r="N9" i="79"/>
  <c r="N8" i="79"/>
  <c r="G81" i="74" l="1"/>
  <c r="G82" i="74"/>
  <c r="G83" i="74"/>
  <c r="G84" i="74"/>
  <c r="G85" i="74"/>
  <c r="G86" i="74"/>
  <c r="G87" i="74"/>
  <c r="G80" i="74"/>
  <c r="G59" i="46"/>
  <c r="G60" i="46"/>
  <c r="G61" i="46"/>
  <c r="G62" i="46"/>
  <c r="G63" i="46"/>
  <c r="G64" i="46"/>
  <c r="G65" i="46"/>
  <c r="G66" i="46"/>
  <c r="G58" i="46"/>
  <c r="G48" i="73"/>
  <c r="G49" i="73"/>
  <c r="G50" i="73"/>
  <c r="G51" i="73"/>
  <c r="G52" i="73"/>
  <c r="G53" i="73"/>
  <c r="G54" i="73"/>
  <c r="G55" i="73"/>
  <c r="G47" i="73"/>
  <c r="AB8" i="59" l="1"/>
  <c r="AA8" i="59"/>
  <c r="Y8" i="59"/>
  <c r="Z8" i="59" s="1"/>
  <c r="X8" i="59"/>
  <c r="AB7" i="59"/>
  <c r="AA7" i="59"/>
  <c r="Z7" i="59"/>
  <c r="Y7" i="59"/>
  <c r="X7" i="59"/>
  <c r="AB6" i="59"/>
  <c r="AA6" i="59"/>
  <c r="Y6" i="59"/>
  <c r="Z6" i="59" s="1"/>
  <c r="X6" i="59"/>
  <c r="AB5" i="59"/>
  <c r="AA5" i="59"/>
  <c r="Z5" i="59"/>
  <c r="Y5" i="59"/>
  <c r="X5" i="59"/>
  <c r="D29" i="74" l="1"/>
  <c r="D29" i="46"/>
  <c r="D29" i="73"/>
  <c r="F2" i="69" l="1"/>
  <c r="L40" i="69"/>
  <c r="K37" i="69" l="1"/>
  <c r="L37" i="69" s="1"/>
  <c r="M37" i="69" s="1"/>
  <c r="K36" i="69"/>
  <c r="L36" i="69" s="1"/>
  <c r="M36" i="69" s="1"/>
  <c r="K35" i="69"/>
  <c r="L35" i="69" s="1"/>
  <c r="M35" i="69" s="1"/>
  <c r="K34" i="69"/>
  <c r="L34" i="69" s="1"/>
  <c r="M34" i="69" s="1"/>
  <c r="K33" i="69"/>
  <c r="L33" i="69" s="1"/>
  <c r="K32" i="69"/>
  <c r="L32" i="69" s="1"/>
  <c r="M32" i="69" s="1"/>
  <c r="K31" i="69"/>
  <c r="L31" i="69" s="1"/>
  <c r="F17" i="43"/>
  <c r="F17" i="77"/>
  <c r="F17" i="78" s="1"/>
  <c r="I13" i="69"/>
  <c r="AM8" i="1"/>
  <c r="AL8" i="1"/>
  <c r="I11" i="69"/>
  <c r="I7" i="69"/>
  <c r="I3" i="69"/>
  <c r="G11" i="69"/>
  <c r="D11" i="69"/>
  <c r="D8" i="11"/>
  <c r="F26" i="78"/>
  <c r="F25" i="78"/>
  <c r="G20" i="78"/>
  <c r="F19" i="78"/>
  <c r="E16" i="78"/>
  <c r="F15" i="78"/>
  <c r="F14" i="78"/>
  <c r="K9" i="78"/>
  <c r="J9" i="78"/>
  <c r="I9" i="78"/>
  <c r="H9" i="78"/>
  <c r="G9" i="78"/>
  <c r="F9" i="78"/>
  <c r="E9" i="78"/>
  <c r="D9" i="78"/>
  <c r="C9" i="78"/>
  <c r="K1" i="78"/>
  <c r="F26" i="77"/>
  <c r="F25" i="77"/>
  <c r="G20" i="77"/>
  <c r="F19" i="77"/>
  <c r="E16" i="77"/>
  <c r="F15" i="77"/>
  <c r="F14" i="77"/>
  <c r="K9" i="77"/>
  <c r="J9" i="77"/>
  <c r="I9" i="77"/>
  <c r="H9" i="77"/>
  <c r="G9" i="77"/>
  <c r="F9" i="77"/>
  <c r="E9" i="77"/>
  <c r="D9" i="77"/>
  <c r="C9" i="77"/>
  <c r="K1" i="77"/>
  <c r="F22" i="77"/>
  <c r="L38" i="69" l="1"/>
  <c r="M31" i="69"/>
  <c r="M38" i="69" s="1"/>
  <c r="Q73" i="76"/>
  <c r="Q60" i="76"/>
  <c r="D60" i="76"/>
  <c r="Q59" i="76"/>
  <c r="K59" i="76"/>
  <c r="P75" i="76" s="1"/>
  <c r="Q52" i="76"/>
  <c r="J50" i="76"/>
  <c r="J51" i="76" s="1"/>
  <c r="M47" i="76"/>
  <c r="F34" i="76"/>
  <c r="F33" i="76"/>
  <c r="F60" i="76" s="1"/>
  <c r="F23" i="76"/>
  <c r="D23" i="76" s="1"/>
  <c r="F21" i="76"/>
  <c r="M20" i="76"/>
  <c r="F20" i="76"/>
  <c r="M19" i="76"/>
  <c r="F18" i="76"/>
  <c r="F17" i="76"/>
  <c r="F15" i="76"/>
  <c r="G1" i="76"/>
  <c r="Q73" i="75"/>
  <c r="F61" i="75"/>
  <c r="Q60" i="75"/>
  <c r="D60" i="75"/>
  <c r="Q59" i="75"/>
  <c r="K59" i="75"/>
  <c r="P75" i="75" s="1"/>
  <c r="Q52" i="75"/>
  <c r="J50" i="75"/>
  <c r="J51" i="75" s="1"/>
  <c r="M47" i="75"/>
  <c r="F34" i="75"/>
  <c r="F33" i="75"/>
  <c r="F60" i="75" s="1"/>
  <c r="F23" i="75"/>
  <c r="D23" i="75" s="1"/>
  <c r="F21" i="75"/>
  <c r="M20" i="75"/>
  <c r="F20" i="75"/>
  <c r="M19" i="75"/>
  <c r="F18" i="75"/>
  <c r="F17" i="75"/>
  <c r="F15" i="75"/>
  <c r="G1" i="75"/>
  <c r="F21" i="6"/>
  <c r="F20" i="6"/>
  <c r="F19" i="6"/>
  <c r="A3" i="3"/>
  <c r="I17" i="3"/>
  <c r="M16" i="3"/>
  <c r="M21" i="3"/>
  <c r="K15" i="3"/>
  <c r="K18" i="3"/>
  <c r="K19" i="3"/>
  <c r="K20" i="3"/>
  <c r="K21" i="3"/>
  <c r="K22" i="3"/>
  <c r="K23" i="3"/>
  <c r="K24" i="3"/>
  <c r="K25" i="3"/>
  <c r="K26" i="3"/>
  <c r="K27" i="3"/>
  <c r="K28" i="3"/>
  <c r="K29" i="3"/>
  <c r="K30" i="3"/>
  <c r="K31" i="3"/>
  <c r="K32" i="3"/>
  <c r="K33" i="3"/>
  <c r="K34" i="3"/>
  <c r="I14" i="3"/>
  <c r="I13" i="3"/>
  <c r="F113" i="74"/>
  <c r="M108" i="74"/>
  <c r="G108" i="74"/>
  <c r="E108" i="74"/>
  <c r="M100" i="74"/>
  <c r="L100" i="74"/>
  <c r="G100" i="74"/>
  <c r="E100" i="74"/>
  <c r="D100" i="74"/>
  <c r="N99" i="74"/>
  <c r="N108" i="74" s="1"/>
  <c r="M99" i="74"/>
  <c r="L99" i="74"/>
  <c r="L108" i="74" s="1"/>
  <c r="K99" i="74"/>
  <c r="J99" i="74"/>
  <c r="J108" i="74" s="1"/>
  <c r="I99" i="74"/>
  <c r="I108" i="74" s="1"/>
  <c r="H99" i="74"/>
  <c r="H108" i="74" s="1"/>
  <c r="G99" i="74"/>
  <c r="F99" i="74"/>
  <c r="F108" i="74" s="1"/>
  <c r="E99" i="74"/>
  <c r="D99" i="74"/>
  <c r="D108" i="74" s="1"/>
  <c r="C99" i="74"/>
  <c r="M87" i="74"/>
  <c r="N87" i="74" s="1"/>
  <c r="K87" i="74"/>
  <c r="J87" i="74"/>
  <c r="D87" i="74"/>
  <c r="B87" i="74"/>
  <c r="M86" i="74"/>
  <c r="N86" i="74" s="1"/>
  <c r="K86" i="74"/>
  <c r="J86" i="74" s="1"/>
  <c r="D86" i="74"/>
  <c r="M85" i="74"/>
  <c r="N85" i="74" s="1"/>
  <c r="K85" i="74"/>
  <c r="J85" i="74" s="1"/>
  <c r="D85" i="74"/>
  <c r="B85" i="74"/>
  <c r="N84" i="74"/>
  <c r="M84" i="74"/>
  <c r="K84" i="74"/>
  <c r="J84" i="74" s="1"/>
  <c r="D84" i="74"/>
  <c r="B84" i="74"/>
  <c r="M83" i="74"/>
  <c r="N83" i="74" s="1"/>
  <c r="K83" i="74"/>
  <c r="J83" i="74" s="1"/>
  <c r="D83" i="74"/>
  <c r="B83" i="74"/>
  <c r="N82" i="74"/>
  <c r="M82" i="74"/>
  <c r="K82" i="74"/>
  <c r="J82" i="74" s="1"/>
  <c r="D82" i="74"/>
  <c r="B82" i="74"/>
  <c r="M81" i="74"/>
  <c r="N81" i="74" s="1"/>
  <c r="K81" i="74"/>
  <c r="J81" i="74"/>
  <c r="D81" i="74"/>
  <c r="B81" i="74"/>
  <c r="M80" i="74"/>
  <c r="N80" i="74" s="1"/>
  <c r="K80" i="74"/>
  <c r="J80" i="74" s="1"/>
  <c r="D80" i="74"/>
  <c r="B80" i="74"/>
  <c r="M77" i="74"/>
  <c r="N77" i="74" s="1"/>
  <c r="K77" i="74"/>
  <c r="J77" i="74" s="1"/>
  <c r="D77" i="74"/>
  <c r="M76" i="74"/>
  <c r="N76" i="74" s="1"/>
  <c r="K76" i="74"/>
  <c r="J76" i="74" s="1"/>
  <c r="D76" i="74"/>
  <c r="B76" i="74"/>
  <c r="M75" i="74"/>
  <c r="N75" i="74" s="1"/>
  <c r="K75" i="74"/>
  <c r="J75" i="74" s="1"/>
  <c r="D75" i="74"/>
  <c r="M74" i="74"/>
  <c r="N74" i="74" s="1"/>
  <c r="K74" i="74"/>
  <c r="J74" i="74" s="1"/>
  <c r="D74" i="74"/>
  <c r="B74" i="74"/>
  <c r="N73" i="74"/>
  <c r="M73" i="74"/>
  <c r="K73" i="74"/>
  <c r="J73" i="74" s="1"/>
  <c r="D73" i="74"/>
  <c r="B73" i="74"/>
  <c r="M72" i="74"/>
  <c r="N72" i="74" s="1"/>
  <c r="K72" i="74"/>
  <c r="J72" i="74" s="1"/>
  <c r="D72" i="74"/>
  <c r="B72" i="74"/>
  <c r="N71" i="74"/>
  <c r="M71" i="74"/>
  <c r="K71" i="74"/>
  <c r="J71" i="74" s="1"/>
  <c r="D71" i="74"/>
  <c r="B71" i="74"/>
  <c r="M70" i="74"/>
  <c r="N70" i="74" s="1"/>
  <c r="K70" i="74"/>
  <c r="J70" i="74"/>
  <c r="D70" i="74"/>
  <c r="B70" i="74"/>
  <c r="M69" i="74"/>
  <c r="N69" i="74" s="1"/>
  <c r="K69" i="74"/>
  <c r="J69" i="74" s="1"/>
  <c r="F69" i="74"/>
  <c r="H73" i="74" s="1"/>
  <c r="D69" i="74"/>
  <c r="E69" i="74" s="1"/>
  <c r="B67" i="74" s="1"/>
  <c r="B69" i="74"/>
  <c r="N66" i="74"/>
  <c r="M66" i="74"/>
  <c r="K66" i="74"/>
  <c r="J66" i="74" s="1"/>
  <c r="D66" i="74"/>
  <c r="B66" i="74"/>
  <c r="M65" i="74"/>
  <c r="N65" i="74" s="1"/>
  <c r="K65" i="74"/>
  <c r="J65" i="74"/>
  <c r="D65" i="74"/>
  <c r="B65" i="74"/>
  <c r="M64" i="74"/>
  <c r="N64" i="74" s="1"/>
  <c r="K64" i="74"/>
  <c r="J64" i="74" s="1"/>
  <c r="D64" i="74"/>
  <c r="B64" i="74"/>
  <c r="N63" i="74"/>
  <c r="M63" i="74"/>
  <c r="K63" i="74"/>
  <c r="J63" i="74" s="1"/>
  <c r="D63" i="74"/>
  <c r="M62" i="74"/>
  <c r="N62" i="74" s="1"/>
  <c r="K62" i="74"/>
  <c r="J62" i="74" s="1"/>
  <c r="D62" i="74"/>
  <c r="B62" i="74"/>
  <c r="N61" i="74"/>
  <c r="M61" i="74"/>
  <c r="K61" i="74"/>
  <c r="J61" i="74" s="1"/>
  <c r="D61" i="74"/>
  <c r="M60" i="74"/>
  <c r="N60" i="74" s="1"/>
  <c r="K60" i="74"/>
  <c r="J60" i="74" s="1"/>
  <c r="D60" i="74"/>
  <c r="B60" i="74"/>
  <c r="N59" i="74"/>
  <c r="M59" i="74"/>
  <c r="K59" i="74"/>
  <c r="J59" i="74" s="1"/>
  <c r="D59" i="74"/>
  <c r="B59" i="74"/>
  <c r="M58" i="74"/>
  <c r="N58" i="74" s="1"/>
  <c r="K58" i="74"/>
  <c r="J58" i="74" s="1"/>
  <c r="D58" i="74"/>
  <c r="B58" i="74"/>
  <c r="N55" i="74"/>
  <c r="M55" i="74"/>
  <c r="K55" i="74"/>
  <c r="J55" i="74" s="1"/>
  <c r="D55" i="74"/>
  <c r="B55" i="74"/>
  <c r="M54" i="74"/>
  <c r="N54" i="74" s="1"/>
  <c r="K54" i="74"/>
  <c r="J54" i="74"/>
  <c r="D54" i="74"/>
  <c r="B54" i="74"/>
  <c r="M53" i="74"/>
  <c r="N53" i="74" s="1"/>
  <c r="K53" i="74"/>
  <c r="J53" i="74" s="1"/>
  <c r="D53" i="74"/>
  <c r="B53" i="74"/>
  <c r="M52" i="74"/>
  <c r="N52" i="74" s="1"/>
  <c r="K52" i="74"/>
  <c r="J52" i="74" s="1"/>
  <c r="D52" i="74"/>
  <c r="M51" i="74"/>
  <c r="N51" i="74" s="1"/>
  <c r="K51" i="74"/>
  <c r="J51" i="74" s="1"/>
  <c r="D51" i="74"/>
  <c r="B51" i="74"/>
  <c r="M50" i="74"/>
  <c r="N50" i="74" s="1"/>
  <c r="K50" i="74"/>
  <c r="J50" i="74"/>
  <c r="D50" i="74"/>
  <c r="N49" i="74"/>
  <c r="M49" i="74"/>
  <c r="K49" i="74"/>
  <c r="J49" i="74" s="1"/>
  <c r="D49" i="74"/>
  <c r="B49" i="74"/>
  <c r="M48" i="74"/>
  <c r="N48" i="74" s="1"/>
  <c r="K48" i="74"/>
  <c r="J48" i="74"/>
  <c r="D48" i="74"/>
  <c r="B48" i="74"/>
  <c r="M47" i="74"/>
  <c r="N47" i="74" s="1"/>
  <c r="K47" i="74"/>
  <c r="J47" i="74" s="1"/>
  <c r="F47" i="74"/>
  <c r="H50" i="74" s="1"/>
  <c r="D47" i="74"/>
  <c r="E47" i="74" s="1"/>
  <c r="B45" i="74" s="1"/>
  <c r="B47" i="74"/>
  <c r="H39" i="74"/>
  <c r="H38" i="74"/>
  <c r="H37" i="74"/>
  <c r="H36" i="74"/>
  <c r="H35" i="74"/>
  <c r="H34" i="74"/>
  <c r="H33" i="74"/>
  <c r="J20" i="74"/>
  <c r="M19" i="74"/>
  <c r="I19" i="74"/>
  <c r="G19" i="74"/>
  <c r="C18" i="74"/>
  <c r="C16" i="74"/>
  <c r="F15" i="74"/>
  <c r="E15" i="74"/>
  <c r="D15" i="74"/>
  <c r="C15" i="74"/>
  <c r="C12" i="74" s="1"/>
  <c r="AE12" i="74"/>
  <c r="AD12" i="74"/>
  <c r="AC12" i="74"/>
  <c r="AB12" i="74"/>
  <c r="Y12" i="74"/>
  <c r="AF10" i="74"/>
  <c r="AE10" i="74"/>
  <c r="Y10" i="74"/>
  <c r="C10" i="74"/>
  <c r="C11" i="74" s="1"/>
  <c r="AJ9" i="74"/>
  <c r="AJ10" i="74" s="1"/>
  <c r="AI9" i="74"/>
  <c r="AI12" i="74" s="1"/>
  <c r="AH9" i="74"/>
  <c r="AH12" i="74" s="1"/>
  <c r="AG9" i="74"/>
  <c r="AF9" i="74"/>
  <c r="AF12" i="74" s="1"/>
  <c r="AE9" i="74"/>
  <c r="AD9" i="74"/>
  <c r="AD10" i="74" s="1"/>
  <c r="AC9" i="74"/>
  <c r="AC10" i="74" s="1"/>
  <c r="AB9" i="74"/>
  <c r="AB10" i="74" s="1"/>
  <c r="AA9" i="74"/>
  <c r="AA12" i="74" s="1"/>
  <c r="Z9" i="74"/>
  <c r="Z12" i="74" s="1"/>
  <c r="C9" i="74"/>
  <c r="A7" i="74"/>
  <c r="M4" i="74"/>
  <c r="I2" i="74"/>
  <c r="N7" i="74" s="1"/>
  <c r="G2" i="74"/>
  <c r="D1" i="74"/>
  <c r="F113" i="73"/>
  <c r="M108" i="73"/>
  <c r="J108" i="73"/>
  <c r="H108" i="73"/>
  <c r="G108" i="73"/>
  <c r="E108" i="73"/>
  <c r="M100" i="73"/>
  <c r="J100" i="73"/>
  <c r="H100" i="73"/>
  <c r="G100" i="73"/>
  <c r="E100" i="73"/>
  <c r="N99" i="73"/>
  <c r="N108" i="73" s="1"/>
  <c r="M99" i="73"/>
  <c r="L99" i="73"/>
  <c r="L108" i="73" s="1"/>
  <c r="K99" i="73"/>
  <c r="K108" i="73" s="1"/>
  <c r="J99" i="73"/>
  <c r="I99" i="73"/>
  <c r="I108" i="73" s="1"/>
  <c r="H99" i="73"/>
  <c r="G99" i="73"/>
  <c r="F99" i="73"/>
  <c r="F108" i="73" s="1"/>
  <c r="E99" i="73"/>
  <c r="D99" i="73"/>
  <c r="D108" i="73" s="1"/>
  <c r="C99" i="73"/>
  <c r="C108" i="73" s="1"/>
  <c r="M87" i="73"/>
  <c r="N87" i="73" s="1"/>
  <c r="K87" i="73"/>
  <c r="J87" i="73"/>
  <c r="D87" i="73"/>
  <c r="B87" i="73"/>
  <c r="N86" i="73"/>
  <c r="M86" i="73"/>
  <c r="K86" i="73"/>
  <c r="J86" i="73" s="1"/>
  <c r="D86" i="73"/>
  <c r="M85" i="73"/>
  <c r="N85" i="73" s="1"/>
  <c r="K85" i="73"/>
  <c r="J85" i="73" s="1"/>
  <c r="D85" i="73"/>
  <c r="B85" i="73"/>
  <c r="N84" i="73"/>
  <c r="M84" i="73"/>
  <c r="K84" i="73"/>
  <c r="J84" i="73"/>
  <c r="D84" i="73"/>
  <c r="B84" i="73"/>
  <c r="M83" i="73"/>
  <c r="N83" i="73" s="1"/>
  <c r="K83" i="73"/>
  <c r="J83" i="73"/>
  <c r="D83" i="73"/>
  <c r="B83" i="73"/>
  <c r="N82" i="73"/>
  <c r="M82" i="73"/>
  <c r="K82" i="73"/>
  <c r="J82" i="73" s="1"/>
  <c r="H82" i="73"/>
  <c r="D82" i="73"/>
  <c r="B82" i="73"/>
  <c r="N81" i="73"/>
  <c r="M81" i="73"/>
  <c r="K81" i="73"/>
  <c r="J81" i="73"/>
  <c r="D81" i="73"/>
  <c r="B81" i="73"/>
  <c r="M80" i="73"/>
  <c r="N80" i="73" s="1"/>
  <c r="K80" i="73"/>
  <c r="J80" i="73" s="1"/>
  <c r="F80" i="73"/>
  <c r="H84" i="73" s="1"/>
  <c r="D80" i="73"/>
  <c r="E80" i="73" s="1"/>
  <c r="B78" i="73" s="1"/>
  <c r="B80" i="73"/>
  <c r="N77" i="73"/>
  <c r="M77" i="73"/>
  <c r="K77" i="73"/>
  <c r="J77" i="73" s="1"/>
  <c r="D77" i="73"/>
  <c r="N76" i="73"/>
  <c r="M76" i="73"/>
  <c r="K76" i="73"/>
  <c r="J76" i="73" s="1"/>
  <c r="D76" i="73"/>
  <c r="B76" i="73"/>
  <c r="N75" i="73"/>
  <c r="M75" i="73"/>
  <c r="K75" i="73"/>
  <c r="J75" i="73" s="1"/>
  <c r="D75" i="73"/>
  <c r="M74" i="73"/>
  <c r="N74" i="73" s="1"/>
  <c r="K74" i="73"/>
  <c r="J74" i="73" s="1"/>
  <c r="D74" i="73"/>
  <c r="B74" i="73"/>
  <c r="N73" i="73"/>
  <c r="M73" i="73"/>
  <c r="K73" i="73"/>
  <c r="J73" i="73"/>
  <c r="D73" i="73"/>
  <c r="B73" i="73"/>
  <c r="M72" i="73"/>
  <c r="N72" i="73" s="1"/>
  <c r="K72" i="73"/>
  <c r="J72" i="73"/>
  <c r="D72" i="73"/>
  <c r="B72" i="73"/>
  <c r="N71" i="73"/>
  <c r="M71" i="73"/>
  <c r="K71" i="73"/>
  <c r="J71" i="73" s="1"/>
  <c r="D71" i="73"/>
  <c r="B71" i="73"/>
  <c r="N70" i="73"/>
  <c r="M70" i="73"/>
  <c r="K70" i="73"/>
  <c r="J70" i="73"/>
  <c r="D70" i="73"/>
  <c r="B70" i="73"/>
  <c r="M69" i="73"/>
  <c r="N69" i="73" s="1"/>
  <c r="K69" i="73"/>
  <c r="J69" i="73" s="1"/>
  <c r="F69" i="73"/>
  <c r="H73" i="73" s="1"/>
  <c r="D69" i="73"/>
  <c r="E69" i="73" s="1"/>
  <c r="B67" i="73" s="1"/>
  <c r="B69" i="73"/>
  <c r="N66" i="73"/>
  <c r="M66" i="73"/>
  <c r="K66" i="73"/>
  <c r="J66" i="73" s="1"/>
  <c r="D66" i="73"/>
  <c r="B66" i="73"/>
  <c r="N65" i="73"/>
  <c r="M65" i="73"/>
  <c r="K65" i="73"/>
  <c r="J65" i="73"/>
  <c r="D65" i="73"/>
  <c r="B65" i="73"/>
  <c r="M64" i="73"/>
  <c r="N64" i="73" s="1"/>
  <c r="K64" i="73"/>
  <c r="J64" i="73" s="1"/>
  <c r="D64" i="73"/>
  <c r="B64" i="73"/>
  <c r="N63" i="73"/>
  <c r="M63" i="73"/>
  <c r="K63" i="73"/>
  <c r="J63" i="73" s="1"/>
  <c r="D63" i="73"/>
  <c r="M62" i="73"/>
  <c r="N62" i="73" s="1"/>
  <c r="K62" i="73"/>
  <c r="J62" i="73" s="1"/>
  <c r="D62" i="73"/>
  <c r="B62" i="73"/>
  <c r="N61" i="73"/>
  <c r="M61" i="73"/>
  <c r="K61" i="73"/>
  <c r="J61" i="73"/>
  <c r="D61" i="73"/>
  <c r="N60" i="73"/>
  <c r="M60" i="73"/>
  <c r="K60" i="73"/>
  <c r="J60" i="73" s="1"/>
  <c r="D60" i="73"/>
  <c r="B60" i="73"/>
  <c r="N59" i="73"/>
  <c r="M59" i="73"/>
  <c r="K59" i="73"/>
  <c r="J59" i="73"/>
  <c r="D59" i="73"/>
  <c r="B59" i="73"/>
  <c r="M58" i="73"/>
  <c r="N58" i="73" s="1"/>
  <c r="K58" i="73"/>
  <c r="J58" i="73" s="1"/>
  <c r="D58" i="73"/>
  <c r="E58" i="73" s="1"/>
  <c r="B56" i="73" s="1"/>
  <c r="B58" i="73"/>
  <c r="N55" i="73"/>
  <c r="M55" i="73"/>
  <c r="K55" i="73"/>
  <c r="J55" i="73" s="1"/>
  <c r="D55" i="73"/>
  <c r="B55" i="73"/>
  <c r="M54" i="73"/>
  <c r="N54" i="73" s="1"/>
  <c r="K54" i="73"/>
  <c r="J54" i="73"/>
  <c r="D54" i="73"/>
  <c r="B54" i="73"/>
  <c r="M53" i="73"/>
  <c r="N53" i="73" s="1"/>
  <c r="K53" i="73"/>
  <c r="J53" i="73" s="1"/>
  <c r="D53" i="73"/>
  <c r="B53" i="73"/>
  <c r="M52" i="73"/>
  <c r="N52" i="73" s="1"/>
  <c r="K52" i="73"/>
  <c r="J52" i="73" s="1"/>
  <c r="D52" i="73"/>
  <c r="M51" i="73"/>
  <c r="N51" i="73" s="1"/>
  <c r="K51" i="73"/>
  <c r="J51" i="73" s="1"/>
  <c r="D51" i="73"/>
  <c r="B51" i="73"/>
  <c r="M50" i="73"/>
  <c r="N50" i="73" s="1"/>
  <c r="K50" i="73"/>
  <c r="J50" i="73"/>
  <c r="D50" i="73"/>
  <c r="N49" i="73"/>
  <c r="M49" i="73"/>
  <c r="K49" i="73"/>
  <c r="J49" i="73" s="1"/>
  <c r="D49" i="73"/>
  <c r="B49" i="73"/>
  <c r="M48" i="73"/>
  <c r="N48" i="73" s="1"/>
  <c r="K48" i="73"/>
  <c r="J48" i="73"/>
  <c r="D48" i="73"/>
  <c r="B48" i="73"/>
  <c r="M47" i="73"/>
  <c r="N47" i="73" s="1"/>
  <c r="K47" i="73"/>
  <c r="J47" i="73" s="1"/>
  <c r="D47" i="73"/>
  <c r="B47" i="73"/>
  <c r="H39" i="73"/>
  <c r="H38" i="73"/>
  <c r="H37" i="73"/>
  <c r="H36" i="73"/>
  <c r="H35" i="73"/>
  <c r="H34" i="73"/>
  <c r="H33" i="73"/>
  <c r="J20" i="73"/>
  <c r="M19" i="73"/>
  <c r="I19" i="73"/>
  <c r="G19" i="73"/>
  <c r="C18" i="73"/>
  <c r="C16" i="73"/>
  <c r="F15" i="73"/>
  <c r="E15" i="73"/>
  <c r="D15" i="73"/>
  <c r="C15" i="73"/>
  <c r="AJ12" i="73"/>
  <c r="AD12" i="73"/>
  <c r="AC12" i="73"/>
  <c r="AB12" i="73"/>
  <c r="Y12" i="73"/>
  <c r="C12" i="73"/>
  <c r="AF10" i="73"/>
  <c r="AE10" i="73"/>
  <c r="AC10" i="73"/>
  <c r="Y10" i="73"/>
  <c r="C10" i="73"/>
  <c r="C11" i="73" s="1"/>
  <c r="AJ9" i="73"/>
  <c r="AJ10" i="73" s="1"/>
  <c r="AI9" i="73"/>
  <c r="AI12" i="73" s="1"/>
  <c r="AH9" i="73"/>
  <c r="AH12" i="73" s="1"/>
  <c r="AG9" i="73"/>
  <c r="AF9" i="73"/>
  <c r="AF12" i="73" s="1"/>
  <c r="AE9" i="73"/>
  <c r="AE12" i="73" s="1"/>
  <c r="AD9" i="73"/>
  <c r="AD10" i="73" s="1"/>
  <c r="AC9" i="73"/>
  <c r="AB9" i="73"/>
  <c r="AB10" i="73" s="1"/>
  <c r="AA9" i="73"/>
  <c r="AA12" i="73" s="1"/>
  <c r="Z9" i="73"/>
  <c r="Z12" i="73" s="1"/>
  <c r="C9" i="73"/>
  <c r="N7" i="73"/>
  <c r="A7" i="73"/>
  <c r="I2" i="73"/>
  <c r="N10" i="73" s="1"/>
  <c r="G2" i="73"/>
  <c r="H113" i="73" s="1"/>
  <c r="D1" i="73"/>
  <c r="G7" i="69"/>
  <c r="D7" i="69"/>
  <c r="L27" i="69"/>
  <c r="M27" i="69" s="1"/>
  <c r="L26" i="69"/>
  <c r="M26" i="69" s="1"/>
  <c r="L25" i="69"/>
  <c r="M25" i="69" s="1"/>
  <c r="L24" i="69"/>
  <c r="L23" i="69"/>
  <c r="M23" i="69" s="1"/>
  <c r="L22" i="69"/>
  <c r="M22" i="69" s="1"/>
  <c r="N22" i="69" s="1"/>
  <c r="L21" i="69"/>
  <c r="M21" i="69" s="1"/>
  <c r="N21" i="69" s="1"/>
  <c r="L20" i="69"/>
  <c r="L19" i="69"/>
  <c r="M19" i="69" s="1"/>
  <c r="L18" i="69"/>
  <c r="M18" i="69" s="1"/>
  <c r="N18" i="69" s="1"/>
  <c r="L17" i="69"/>
  <c r="M17" i="69" s="1"/>
  <c r="L16" i="69"/>
  <c r="M16" i="69" s="1"/>
  <c r="N16" i="69" s="1"/>
  <c r="L15" i="69"/>
  <c r="M15" i="69" s="1"/>
  <c r="M17" i="72"/>
  <c r="G17" i="72"/>
  <c r="E17" i="72"/>
  <c r="C17" i="72"/>
  <c r="M11" i="72"/>
  <c r="M15" i="72"/>
  <c r="G15" i="72"/>
  <c r="E15" i="72"/>
  <c r="N8" i="72"/>
  <c r="M25" i="72"/>
  <c r="G25" i="72"/>
  <c r="E25" i="72"/>
  <c r="M4" i="72"/>
  <c r="G4" i="72"/>
  <c r="E4" i="72"/>
  <c r="Q39" i="72"/>
  <c r="R39" i="72" s="1"/>
  <c r="S39" i="72" s="1"/>
  <c r="Q38" i="72"/>
  <c r="R38" i="72" s="1"/>
  <c r="S38" i="72" s="1"/>
  <c r="Q37" i="72"/>
  <c r="R37" i="72" s="1"/>
  <c r="S37" i="72" s="1"/>
  <c r="Q36" i="72"/>
  <c r="R36" i="72" s="1"/>
  <c r="S36" i="72" s="1"/>
  <c r="Q35" i="72"/>
  <c r="R35" i="72" s="1"/>
  <c r="S35" i="72" s="1"/>
  <c r="Q34" i="72"/>
  <c r="R34" i="72" s="1"/>
  <c r="S34" i="72" s="1"/>
  <c r="Q33" i="72"/>
  <c r="R33" i="72" s="1"/>
  <c r="S33" i="72" s="1"/>
  <c r="Q32" i="72"/>
  <c r="R32" i="72" s="1"/>
  <c r="S32" i="72" s="1"/>
  <c r="Q31" i="72"/>
  <c r="R31" i="72" s="1"/>
  <c r="S31" i="72" s="1"/>
  <c r="Q30" i="72"/>
  <c r="R30" i="72" s="1"/>
  <c r="S30" i="72" s="1"/>
  <c r="F6" i="72" s="1"/>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Q21" i="72"/>
  <c r="R21" i="72" s="1"/>
  <c r="S21" i="72" s="1"/>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C15" i="77"/>
  <c r="M9" i="75"/>
  <c r="F43" i="75"/>
  <c r="F16" i="76"/>
  <c r="D16" i="77"/>
  <c r="C14" i="75"/>
  <c r="F16" i="75"/>
  <c r="F13" i="75"/>
  <c r="M24" i="76"/>
  <c r="M23" i="75"/>
  <c r="F43" i="76"/>
  <c r="F22" i="78"/>
  <c r="D16" i="78"/>
  <c r="C13" i="77"/>
  <c r="F26" i="75"/>
  <c r="F36" i="76"/>
  <c r="C15" i="78"/>
  <c r="F9" i="76"/>
  <c r="F21" i="78"/>
  <c r="J36" i="75"/>
  <c r="F40" i="75"/>
  <c r="M24" i="75"/>
  <c r="F6" i="75"/>
  <c r="M21" i="75"/>
  <c r="M8" i="75"/>
  <c r="M28" i="76"/>
  <c r="M8" i="76"/>
  <c r="F13" i="76"/>
  <c r="F21" i="77"/>
  <c r="E80" i="74" l="1"/>
  <c r="B78" i="74" s="1"/>
  <c r="E47" i="73"/>
  <c r="B45" i="73" s="1"/>
  <c r="C24" i="73" s="1"/>
  <c r="N11" i="72"/>
  <c r="C16" i="78"/>
  <c r="C14" i="77"/>
  <c r="C17" i="77"/>
  <c r="C16" i="77"/>
  <c r="H69" i="74"/>
  <c r="H72" i="74"/>
  <c r="H49" i="74"/>
  <c r="H47" i="74"/>
  <c r="M6" i="73"/>
  <c r="N2" i="73"/>
  <c r="F39" i="73"/>
  <c r="H69" i="73"/>
  <c r="H80" i="73"/>
  <c r="N8" i="73"/>
  <c r="M4" i="73"/>
  <c r="N9" i="73"/>
  <c r="H17" i="73"/>
  <c r="H72" i="73"/>
  <c r="H77" i="73"/>
  <c r="H83" i="73"/>
  <c r="N5" i="73"/>
  <c r="J17" i="73"/>
  <c r="H71" i="73"/>
  <c r="K17" i="73"/>
  <c r="F35" i="73"/>
  <c r="M1" i="73"/>
  <c r="N6" i="73"/>
  <c r="N11" i="73"/>
  <c r="F47" i="73"/>
  <c r="M11" i="73"/>
  <c r="N1" i="73"/>
  <c r="M10" i="73"/>
  <c r="M12" i="73"/>
  <c r="F63" i="76"/>
  <c r="F70" i="76"/>
  <c r="F61" i="76"/>
  <c r="D22" i="76"/>
  <c r="D24" i="76"/>
  <c r="P62" i="76"/>
  <c r="F70" i="75"/>
  <c r="C27" i="75"/>
  <c r="F67" i="75"/>
  <c r="Q72" i="75"/>
  <c r="C18" i="75"/>
  <c r="C15" i="75"/>
  <c r="J20" i="75"/>
  <c r="D22" i="75"/>
  <c r="D24" i="75"/>
  <c r="P62" i="75"/>
  <c r="AG12" i="74"/>
  <c r="AG10" i="74"/>
  <c r="Z10" i="74"/>
  <c r="N4" i="74"/>
  <c r="C108" i="74"/>
  <c r="C100" i="74"/>
  <c r="O19" i="74"/>
  <c r="H113" i="74"/>
  <c r="I17" i="74"/>
  <c r="H17" i="74"/>
  <c r="F36" i="74"/>
  <c r="O17" i="74"/>
  <c r="F37" i="74"/>
  <c r="F33" i="74"/>
  <c r="N17" i="74"/>
  <c r="E17" i="74"/>
  <c r="M17" i="74"/>
  <c r="D17" i="74"/>
  <c r="F38" i="74"/>
  <c r="F34" i="74"/>
  <c r="L17" i="74"/>
  <c r="C17" i="74"/>
  <c r="N10" i="74"/>
  <c r="M8" i="74"/>
  <c r="M7" i="74"/>
  <c r="M10" i="74"/>
  <c r="N9" i="74"/>
  <c r="N2" i="74"/>
  <c r="M9" i="74"/>
  <c r="N3" i="74"/>
  <c r="M2" i="74"/>
  <c r="N12" i="74"/>
  <c r="M5" i="74"/>
  <c r="F35" i="74"/>
  <c r="N5" i="74"/>
  <c r="AJ12" i="74"/>
  <c r="F39" i="74"/>
  <c r="K17" i="74"/>
  <c r="K108" i="74"/>
  <c r="K100" i="74"/>
  <c r="J17" i="74"/>
  <c r="M3" i="74"/>
  <c r="AH10" i="74"/>
  <c r="M12" i="74"/>
  <c r="M1" i="74"/>
  <c r="M6" i="74"/>
  <c r="X7" i="74"/>
  <c r="E11" i="74"/>
  <c r="E8" i="74"/>
  <c r="E9" i="74"/>
  <c r="E10" i="74"/>
  <c r="M11" i="74"/>
  <c r="N1" i="74"/>
  <c r="N6" i="74"/>
  <c r="N8" i="74"/>
  <c r="F58" i="74" s="1"/>
  <c r="N11" i="74"/>
  <c r="E58" i="74"/>
  <c r="B56" i="74" s="1"/>
  <c r="H55" i="74"/>
  <c r="H71" i="74"/>
  <c r="H77" i="74"/>
  <c r="H100" i="74"/>
  <c r="H48" i="74"/>
  <c r="H54" i="74"/>
  <c r="H70" i="74"/>
  <c r="I100" i="74"/>
  <c r="H53" i="74"/>
  <c r="H76" i="74"/>
  <c r="J100" i="74"/>
  <c r="AA10" i="74"/>
  <c r="AI10" i="74"/>
  <c r="H52" i="74"/>
  <c r="H75" i="74"/>
  <c r="H51" i="74"/>
  <c r="H74" i="74"/>
  <c r="F100" i="74"/>
  <c r="N100" i="74"/>
  <c r="AG12" i="73"/>
  <c r="AG10" i="73"/>
  <c r="E11" i="73"/>
  <c r="E8" i="73"/>
  <c r="C7" i="73" s="1"/>
  <c r="E10" i="73"/>
  <c r="E9" i="73"/>
  <c r="O19" i="73"/>
  <c r="M5" i="73"/>
  <c r="N12" i="73"/>
  <c r="C17" i="73"/>
  <c r="L17" i="73"/>
  <c r="F34" i="73"/>
  <c r="F38" i="73"/>
  <c r="H54" i="73"/>
  <c r="F58" i="73"/>
  <c r="H70" i="73"/>
  <c r="H81" i="73"/>
  <c r="I100" i="73"/>
  <c r="Z10" i="73"/>
  <c r="AH10" i="73"/>
  <c r="D17" i="73"/>
  <c r="M17" i="73"/>
  <c r="H53" i="73"/>
  <c r="H76" i="73"/>
  <c r="H87" i="73"/>
  <c r="AA10" i="73"/>
  <c r="AI10" i="73"/>
  <c r="N17" i="73"/>
  <c r="F33" i="73"/>
  <c r="F37" i="73"/>
  <c r="H52" i="73"/>
  <c r="H75" i="73"/>
  <c r="H86" i="73"/>
  <c r="C100" i="73"/>
  <c r="K100" i="73"/>
  <c r="M3" i="73"/>
  <c r="N4" i="73"/>
  <c r="X7" i="73"/>
  <c r="M2" i="73"/>
  <c r="N3" i="73"/>
  <c r="M9" i="73"/>
  <c r="O17" i="73"/>
  <c r="D100" i="73"/>
  <c r="L100" i="73"/>
  <c r="H74" i="73"/>
  <c r="H85" i="73"/>
  <c r="F36" i="73"/>
  <c r="M7" i="73"/>
  <c r="M8" i="73"/>
  <c r="I17" i="73"/>
  <c r="F100" i="73"/>
  <c r="N100" i="73"/>
  <c r="N23" i="69"/>
  <c r="M24" i="69"/>
  <c r="N24" i="69" s="1"/>
  <c r="M20" i="69"/>
  <c r="N20" i="69" s="1"/>
  <c r="N26" i="69"/>
  <c r="N27" i="69"/>
  <c r="N25" i="69"/>
  <c r="N17" i="69"/>
  <c r="G26" i="72"/>
  <c r="E26" i="72"/>
  <c r="I26" i="72"/>
  <c r="K26" i="72"/>
  <c r="M26" i="72"/>
  <c r="L47" i="75"/>
  <c r="J15" i="76"/>
  <c r="M26" i="75"/>
  <c r="M9" i="76"/>
  <c r="F37" i="76"/>
  <c r="M22" i="75"/>
  <c r="F35" i="75"/>
  <c r="C16" i="75"/>
  <c r="M29" i="76"/>
  <c r="M28" i="75"/>
  <c r="C17" i="75"/>
  <c r="F37" i="75"/>
  <c r="F8" i="75"/>
  <c r="F40" i="76"/>
  <c r="F26" i="76"/>
  <c r="F38" i="76"/>
  <c r="F9" i="75"/>
  <c r="M26" i="76"/>
  <c r="L47" i="76"/>
  <c r="M6" i="75"/>
  <c r="F8" i="76"/>
  <c r="F6" i="76"/>
  <c r="M27" i="75"/>
  <c r="F42" i="76"/>
  <c r="J36" i="76"/>
  <c r="F42" i="75"/>
  <c r="C17" i="76"/>
  <c r="M6" i="76"/>
  <c r="F7" i="75"/>
  <c r="F35" i="76"/>
  <c r="M21" i="76"/>
  <c r="M22" i="76"/>
  <c r="M23" i="76"/>
  <c r="F36" i="75"/>
  <c r="F38" i="75"/>
  <c r="M27" i="76"/>
  <c r="J15" i="75"/>
  <c r="F7" i="76"/>
  <c r="M29" i="75"/>
  <c r="C24" i="74" l="1"/>
  <c r="A27" i="72"/>
  <c r="M28" i="69"/>
  <c r="C19" i="75"/>
  <c r="C20" i="75" s="1"/>
  <c r="C26" i="75" s="1"/>
  <c r="C18" i="77"/>
  <c r="C19" i="77" s="1"/>
  <c r="C21" i="77" s="1"/>
  <c r="F80" i="74"/>
  <c r="H50" i="73"/>
  <c r="H55" i="73"/>
  <c r="H47" i="73"/>
  <c r="H51" i="73"/>
  <c r="H49" i="73"/>
  <c r="H48" i="73"/>
  <c r="F65" i="76"/>
  <c r="F62" i="76"/>
  <c r="C61" i="76" s="1"/>
  <c r="C34" i="76"/>
  <c r="M7" i="76"/>
  <c r="M17" i="76" s="1"/>
  <c r="F49" i="76"/>
  <c r="J20" i="76"/>
  <c r="F64" i="76"/>
  <c r="F31" i="76"/>
  <c r="C6" i="76"/>
  <c r="F50" i="76"/>
  <c r="F67" i="76"/>
  <c r="L59" i="76"/>
  <c r="Q72" i="76"/>
  <c r="C27" i="76"/>
  <c r="F65" i="75"/>
  <c r="F62" i="75"/>
  <c r="C61" i="75" s="1"/>
  <c r="C34" i="75"/>
  <c r="M7" i="75"/>
  <c r="M17" i="75" s="1"/>
  <c r="F49" i="75"/>
  <c r="F31" i="75"/>
  <c r="F63" i="75"/>
  <c r="F64" i="75"/>
  <c r="F50" i="75"/>
  <c r="C6" i="75"/>
  <c r="L59" i="75"/>
  <c r="D5" i="74"/>
  <c r="C5" i="74"/>
  <c r="H61" i="74"/>
  <c r="H62" i="74"/>
  <c r="H63" i="74"/>
  <c r="H64" i="74"/>
  <c r="H58" i="74"/>
  <c r="H65" i="74"/>
  <c r="H59" i="74"/>
  <c r="H66" i="74"/>
  <c r="H60" i="74"/>
  <c r="G17" i="74"/>
  <c r="G17" i="73"/>
  <c r="C7" i="74"/>
  <c r="D5" i="73"/>
  <c r="C5" i="73"/>
  <c r="H61" i="73"/>
  <c r="H62" i="73"/>
  <c r="H63" i="73"/>
  <c r="H64" i="73"/>
  <c r="H58" i="73"/>
  <c r="H65" i="73"/>
  <c r="H59" i="73"/>
  <c r="H66" i="73"/>
  <c r="H60" i="73"/>
  <c r="N28" i="69"/>
  <c r="F6" i="69" s="1"/>
  <c r="L28" i="72"/>
  <c r="M27" i="72"/>
  <c r="E8" i="11" s="1"/>
  <c r="H84" i="74" l="1"/>
  <c r="H83" i="74"/>
  <c r="H80" i="74"/>
  <c r="H85" i="74"/>
  <c r="H81" i="74"/>
  <c r="H86" i="74"/>
  <c r="H87" i="74"/>
  <c r="H82" i="74"/>
  <c r="C48" i="76"/>
  <c r="C60" i="76" s="1"/>
  <c r="C33" i="76"/>
  <c r="F58" i="76"/>
  <c r="J6" i="76"/>
  <c r="Q75" i="76"/>
  <c r="Q62" i="76"/>
  <c r="F58" i="75"/>
  <c r="C33" i="75"/>
  <c r="C48" i="75"/>
  <c r="J6" i="75"/>
  <c r="Q75" i="75"/>
  <c r="Q62" i="75"/>
  <c r="G3" i="69"/>
  <c r="D3" i="69"/>
  <c r="AH5" i="59"/>
  <c r="AG5" i="59"/>
  <c r="AE5" i="59"/>
  <c r="AF5" i="59" s="1"/>
  <c r="AD5" i="59"/>
  <c r="Q5" i="59"/>
  <c r="P5" i="59"/>
  <c r="O5" i="59"/>
  <c r="N5" i="59"/>
  <c r="C60" i="75" l="1"/>
  <c r="R43" i="68"/>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4" i="68" l="1"/>
  <c r="R19" i="68"/>
  <c r="U34" i="68"/>
  <c r="D11" i="68"/>
  <c r="R25" i="68"/>
  <c r="R5" i="68" s="1"/>
  <c r="U5" i="68" s="1"/>
  <c r="D7" i="68"/>
  <c r="C26" i="68" s="1"/>
  <c r="C32" i="68" s="1"/>
  <c r="C38" i="68" s="1"/>
  <c r="C39" i="68" s="1"/>
  <c r="E11" i="68"/>
  <c r="E7" i="68" s="1"/>
  <c r="C27" i="68" s="1"/>
  <c r="D23" i="68"/>
  <c r="C29" i="68"/>
  <c r="F26" i="43"/>
  <c r="F25" i="43"/>
  <c r="F19" i="43"/>
  <c r="E16" i="43"/>
  <c r="F15" i="43"/>
  <c r="F14" i="43"/>
  <c r="D26" i="68" l="1"/>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X3" i="59" s="1"/>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O76" i="9"/>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U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B9" i="46"/>
  <c r="AB10" i="46"/>
  <c r="AC9" i="46"/>
  <c r="AC10" i="46" s="1"/>
  <c r="AD9" i="46"/>
  <c r="AD10" i="46" s="1"/>
  <c r="AE9" i="46"/>
  <c r="AF9" i="46"/>
  <c r="AF10" i="46" s="1"/>
  <c r="AG9" i="46"/>
  <c r="AH9" i="46"/>
  <c r="AH10" i="46"/>
  <c r="AI9" i="46"/>
  <c r="AI12" i="46" s="1"/>
  <c r="AJ9" i="46"/>
  <c r="AJ10" i="46"/>
  <c r="Z9" i="46"/>
  <c r="Z10" i="46" s="1"/>
  <c r="AI10" i="46"/>
  <c r="AG10" i="46"/>
  <c r="AE10" i="46"/>
  <c r="AA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A9" i="51" s="1"/>
  <c r="B9" i="63" s="1"/>
  <c r="B59" i="63"/>
  <c r="B51" i="10"/>
  <c r="B17" i="63"/>
  <c r="A15" i="51"/>
  <c r="B12" i="63" s="1"/>
  <c r="A14" i="51"/>
  <c r="B11" i="63"/>
  <c r="A4" i="55"/>
  <c r="B57" i="63" s="1"/>
  <c r="B41" i="63"/>
  <c r="G5" i="54"/>
  <c r="B34" i="63" s="1"/>
  <c r="E5" i="54"/>
  <c r="B32" i="63"/>
  <c r="R2" i="54"/>
  <c r="B24" i="63" s="1"/>
  <c r="B49" i="50"/>
  <c r="B5" i="63" s="1"/>
  <c r="B40" i="50"/>
  <c r="B3" i="63"/>
  <c r="B67" i="63"/>
  <c r="I19" i="46"/>
  <c r="Q25" i="59"/>
  <c r="P25" i="59"/>
  <c r="O25" i="59"/>
  <c r="N25" i="59"/>
  <c r="B25" i="59" s="1"/>
  <c r="D86" i="59"/>
  <c r="F85" i="59"/>
  <c r="E85" i="59"/>
  <c r="E84" i="59" s="1"/>
  <c r="E83" i="59" s="1"/>
  <c r="C85" i="59"/>
  <c r="C84" i="59" s="1"/>
  <c r="D85" i="59"/>
  <c r="B85" i="59"/>
  <c r="B84" i="59" s="1"/>
  <c r="B83" i="59" s="1"/>
  <c r="F84" i="59"/>
  <c r="F83" i="59" s="1"/>
  <c r="D82" i="59"/>
  <c r="F81" i="59"/>
  <c r="E81" i="59"/>
  <c r="E80" i="59" s="1"/>
  <c r="E79" i="59"/>
  <c r="C81" i="59"/>
  <c r="B81" i="59"/>
  <c r="F80" i="59"/>
  <c r="F79" i="59" s="1"/>
  <c r="B80" i="59"/>
  <c r="B79" i="59" s="1"/>
  <c r="D78" i="59"/>
  <c r="Q77" i="59"/>
  <c r="P77" i="59"/>
  <c r="O77" i="59"/>
  <c r="N77" i="59"/>
  <c r="F77" i="59"/>
  <c r="V77" i="59"/>
  <c r="E77" i="59"/>
  <c r="U77" i="59" s="1"/>
  <c r="C77" i="59"/>
  <c r="D77" i="59" s="1"/>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C48" i="59" s="1"/>
  <c r="N46" i="59"/>
  <c r="B47" i="59"/>
  <c r="B48" i="59" s="1"/>
  <c r="B49" i="59" s="1"/>
  <c r="S49" i="59" s="1"/>
  <c r="D46" i="59"/>
  <c r="T45" i="59"/>
  <c r="Q45" i="59"/>
  <c r="P45" i="59"/>
  <c r="O45" i="59"/>
  <c r="N45" i="59"/>
  <c r="D45" i="59"/>
  <c r="Q44" i="59"/>
  <c r="P44" i="59"/>
  <c r="O44" i="59"/>
  <c r="N44" i="59"/>
  <c r="Q43" i="59"/>
  <c r="P43" i="59"/>
  <c r="O43" i="59"/>
  <c r="C44" i="59" s="1"/>
  <c r="D44" i="59" s="1"/>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O38" i="59"/>
  <c r="C39" i="59" s="1"/>
  <c r="C40" i="59" s="1"/>
  <c r="C41" i="59" s="1"/>
  <c r="T41"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c r="C28" i="59" s="1"/>
  <c r="N26" i="59"/>
  <c r="D26" i="59"/>
  <c r="E27" i="59"/>
  <c r="E28" i="59" s="1"/>
  <c r="E29" i="59"/>
  <c r="U29" i="59" s="1"/>
  <c r="S65" i="59"/>
  <c r="D39" i="59"/>
  <c r="D43" i="59"/>
  <c r="C52" i="59"/>
  <c r="C56" i="59"/>
  <c r="D56" i="59" s="1"/>
  <c r="D55" i="59"/>
  <c r="T65" i="59"/>
  <c r="O65" i="59"/>
  <c r="D65" i="59"/>
  <c r="C64" i="59"/>
  <c r="C63" i="59" s="1"/>
  <c r="U65" i="59"/>
  <c r="C68" i="59"/>
  <c r="D69" i="59"/>
  <c r="D73" i="59"/>
  <c r="C76" i="59"/>
  <c r="E76" i="59"/>
  <c r="E75" i="59" s="1"/>
  <c r="U16" i="4"/>
  <c r="S16" i="4"/>
  <c r="Q16" i="4"/>
  <c r="O16" i="4"/>
  <c r="M16" i="4"/>
  <c r="L16" i="4" s="1"/>
  <c r="K16" i="4"/>
  <c r="D68" i="59"/>
  <c r="C67" i="59"/>
  <c r="D67" i="59" s="1"/>
  <c r="C53" i="59"/>
  <c r="T53" i="59" s="1"/>
  <c r="D52" i="59"/>
  <c r="C29" i="59"/>
  <c r="T29" i="59" s="1"/>
  <c r="D28" i="59"/>
  <c r="D41" i="59"/>
  <c r="O27" i="6"/>
  <c r="N27" i="6"/>
  <c r="P26" i="6"/>
  <c r="L26" i="6"/>
  <c r="P25" i="6"/>
  <c r="L25" i="6"/>
  <c r="P24" i="6"/>
  <c r="L24" i="6"/>
  <c r="P23" i="6"/>
  <c r="L23" i="6"/>
  <c r="P22" i="6"/>
  <c r="L22" i="6"/>
  <c r="P21" i="6"/>
  <c r="L21" i="6"/>
  <c r="P20" i="6"/>
  <c r="P19" i="6"/>
  <c r="Z18" i="36"/>
  <c r="Q18" i="36"/>
  <c r="C18" i="36"/>
  <c r="D66" i="36"/>
  <c r="E66" i="36" s="1"/>
  <c r="F18" i="36"/>
  <c r="AA18" i="36"/>
  <c r="Z18" i="35"/>
  <c r="Q18" i="35"/>
  <c r="F18" i="35"/>
  <c r="AA18" i="35" s="1"/>
  <c r="C18" i="35"/>
  <c r="D68" i="35"/>
  <c r="E68" i="35"/>
  <c r="F68" i="35"/>
  <c r="G68" i="35" s="1"/>
  <c r="Q21" i="37"/>
  <c r="Z21" i="37" s="1"/>
  <c r="F21" i="37"/>
  <c r="AA21" i="37" s="1"/>
  <c r="C21" i="37"/>
  <c r="E77" i="37"/>
  <c r="F77" i="37"/>
  <c r="G77" i="37" s="1"/>
  <c r="D77" i="37"/>
  <c r="Z21" i="34"/>
  <c r="Q21" i="34"/>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s="1"/>
  <c r="Q31" i="39"/>
  <c r="Z31" i="39" s="1"/>
  <c r="D105" i="39"/>
  <c r="E105" i="39"/>
  <c r="F105" i="39" s="1"/>
  <c r="F31" i="39"/>
  <c r="AA31" i="39" s="1"/>
  <c r="G20" i="20"/>
  <c r="B85" i="46" s="1"/>
  <c r="C22" i="20"/>
  <c r="B65" i="46"/>
  <c r="S18" i="36"/>
  <c r="S18" i="35"/>
  <c r="S21" i="37"/>
  <c r="S21" i="21"/>
  <c r="C31" i="39"/>
  <c r="B54" i="46"/>
  <c r="B74" i="46"/>
  <c r="H18" i="35"/>
  <c r="J18" i="35"/>
  <c r="H21" i="37"/>
  <c r="J21" i="37"/>
  <c r="E84" i="34"/>
  <c r="F84" i="34"/>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s="1"/>
  <c r="K83" i="46"/>
  <c r="J83" i="46"/>
  <c r="M82" i="46"/>
  <c r="N82" i="46" s="1"/>
  <c r="K82" i="46"/>
  <c r="J82" i="46" s="1"/>
  <c r="D82" i="46"/>
  <c r="M81" i="46"/>
  <c r="N81" i="46" s="1"/>
  <c r="K81" i="46"/>
  <c r="J81" i="46"/>
  <c r="M80" i="46"/>
  <c r="N80" i="46"/>
  <c r="K80" i="46"/>
  <c r="J80" i="46"/>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E47" i="46" s="1"/>
  <c r="B45" i="46" s="1"/>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c r="I8" i="31" s="1"/>
  <c r="J8" i="31" s="1"/>
  <c r="K8" i="31" s="1"/>
  <c r="L8" i="31" s="1"/>
  <c r="M8" i="31" s="1"/>
  <c r="N8" i="31" s="1"/>
  <c r="O8" i="31" s="1"/>
  <c r="P8" i="31"/>
  <c r="Q8" i="31" s="1"/>
  <c r="R8" i="31" s="1"/>
  <c r="S8" i="31" s="1"/>
  <c r="D6" i="31"/>
  <c r="E6" i="31" s="1"/>
  <c r="F6" i="3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A90" i="3" s="1"/>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L88" i="3" s="1"/>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A61" i="3" s="1"/>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A198" i="3" s="1"/>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L196" i="3" s="1"/>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A187" i="3" s="1"/>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L176" i="3" s="1"/>
  <c r="BN176" i="3"/>
  <c r="BM176" i="3"/>
  <c r="BK176" i="3"/>
  <c r="BJ176" i="3"/>
  <c r="BI176" i="3"/>
  <c r="BH176" i="3"/>
  <c r="BG176" i="3"/>
  <c r="BA176" i="3" s="1"/>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A116" i="3" s="1"/>
  <c r="AZ116" i="3" s="1"/>
  <c r="BF116" i="3"/>
  <c r="BE116" i="3"/>
  <c r="BD116" i="3"/>
  <c r="BC116" i="3"/>
  <c r="BB116" i="3"/>
  <c r="AX116" i="3"/>
  <c r="AW116" i="3"/>
  <c r="AV116" i="3"/>
  <c r="AC116" i="3"/>
  <c r="H116" i="3"/>
  <c r="BT115" i="3"/>
  <c r="BS115" i="3"/>
  <c r="BR115" i="3"/>
  <c r="BQ115" i="3"/>
  <c r="BP115" i="3"/>
  <c r="BO115" i="3"/>
  <c r="BN115" i="3"/>
  <c r="BM115" i="3"/>
  <c r="BK115" i="3"/>
  <c r="BJ115" i="3"/>
  <c r="BI115" i="3"/>
  <c r="BH115" i="3"/>
  <c r="BA115" i="3" s="1"/>
  <c r="BG115" i="3"/>
  <c r="BF115" i="3"/>
  <c r="BE115" i="3"/>
  <c r="BD115" i="3"/>
  <c r="BC115" i="3"/>
  <c r="BB115" i="3"/>
  <c r="AX115" i="3"/>
  <c r="AW115" i="3"/>
  <c r="AV115" i="3"/>
  <c r="AC115" i="3"/>
  <c r="H115" i="3"/>
  <c r="G115" i="3"/>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c r="BT113" i="3"/>
  <c r="BS113" i="3"/>
  <c r="BL113" i="3" s="1"/>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A293" i="3" s="1"/>
  <c r="BG293" i="3"/>
  <c r="BF293" i="3"/>
  <c r="BE293" i="3"/>
  <c r="BD293" i="3"/>
  <c r="BC293" i="3"/>
  <c r="BB293" i="3"/>
  <c r="AX293" i="3"/>
  <c r="AW293" i="3"/>
  <c r="AV293" i="3"/>
  <c r="AC293" i="3"/>
  <c r="H293" i="3"/>
  <c r="G293" i="3"/>
  <c r="BT292" i="3"/>
  <c r="BS292" i="3"/>
  <c r="BL292" i="3" s="1"/>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A290" i="3" s="1"/>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BA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A273" i="3" s="1"/>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A270" i="3" s="1"/>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c r="AX260" i="3"/>
  <c r="AW260" i="3"/>
  <c r="AV260" i="3"/>
  <c r="AC260" i="3"/>
  <c r="H260" i="3"/>
  <c r="G260" i="3"/>
  <c r="BT259" i="3"/>
  <c r="BS259" i="3"/>
  <c r="BL259" i="3" s="1"/>
  <c r="BR259" i="3"/>
  <c r="BQ259" i="3"/>
  <c r="BP259" i="3"/>
  <c r="BO259" i="3"/>
  <c r="BN259" i="3"/>
  <c r="BM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A254" i="3" s="1"/>
  <c r="AZ254" i="3" s="1"/>
  <c r="BG254" i="3"/>
  <c r="BF254" i="3"/>
  <c r="BE254" i="3"/>
  <c r="BD254" i="3"/>
  <c r="BC254" i="3"/>
  <c r="BB254" i="3"/>
  <c r="AX254" i="3"/>
  <c r="AW254" i="3"/>
  <c r="AV254" i="3"/>
  <c r="AC254" i="3"/>
  <c r="H254" i="3"/>
  <c r="G254" i="3" s="1"/>
  <c r="BT253" i="3"/>
  <c r="BS253" i="3"/>
  <c r="BL253" i="3" s="1"/>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c r="AX244" i="3"/>
  <c r="AW244" i="3"/>
  <c r="AV244" i="3"/>
  <c r="AC244" i="3"/>
  <c r="H244" i="3"/>
  <c r="G244" i="3"/>
  <c r="BT243" i="3"/>
  <c r="BS243" i="3"/>
  <c r="BL243" i="3" s="1"/>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c r="AX241" i="3"/>
  <c r="AW241" i="3"/>
  <c r="AV241" i="3"/>
  <c r="AC241" i="3"/>
  <c r="H241" i="3"/>
  <c r="G241" i="3" s="1"/>
  <c r="BT240" i="3"/>
  <c r="BS240" i="3"/>
  <c r="BL240" i="3" s="1"/>
  <c r="BR240" i="3"/>
  <c r="BQ240" i="3"/>
  <c r="BP240" i="3"/>
  <c r="BO240" i="3"/>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A238" i="3" s="1"/>
  <c r="BG238" i="3"/>
  <c r="BF238" i="3"/>
  <c r="BE238" i="3"/>
  <c r="BD238" i="3"/>
  <c r="BC238" i="3"/>
  <c r="BB238" i="3"/>
  <c r="AX238" i="3"/>
  <c r="AW238" i="3"/>
  <c r="AV238" i="3"/>
  <c r="AC238" i="3"/>
  <c r="H238" i="3"/>
  <c r="G238" i="3" s="1"/>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H228" i="3"/>
  <c r="G228" i="3" s="1"/>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A210" i="3" s="1"/>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c r="BT467" i="3"/>
  <c r="BS467" i="3"/>
  <c r="BR467" i="3"/>
  <c r="BQ467" i="3"/>
  <c r="BP467" i="3"/>
  <c r="BL467" i="3" s="1"/>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BT464" i="3"/>
  <c r="BS464" i="3"/>
  <c r="BL464" i="3" s="1"/>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L460" i="3" s="1"/>
  <c r="BO460" i="3"/>
  <c r="BN460" i="3"/>
  <c r="BM460" i="3"/>
  <c r="BK460" i="3"/>
  <c r="BJ460" i="3"/>
  <c r="BI460" i="3"/>
  <c r="BH460" i="3"/>
  <c r="BA460" i="3" s="1"/>
  <c r="AZ460" i="3" s="1"/>
  <c r="BG460" i="3"/>
  <c r="BF460" i="3"/>
  <c r="BE460" i="3"/>
  <c r="BD460" i="3"/>
  <c r="BC460" i="3"/>
  <c r="BB460" i="3"/>
  <c r="AX460" i="3"/>
  <c r="AW460" i="3"/>
  <c r="AV460" i="3"/>
  <c r="AC460" i="3"/>
  <c r="H460" i="3"/>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A455" i="3" s="1"/>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L435" i="3" s="1"/>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AZ405" i="3" s="1"/>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c r="R37" i="31"/>
  <c r="R38" i="31"/>
  <c r="S38" i="31" s="1"/>
  <c r="R39" i="31"/>
  <c r="R40" i="31"/>
  <c r="S40" i="31"/>
  <c r="R41" i="31"/>
  <c r="R42" i="31"/>
  <c r="S42" i="31"/>
  <c r="R43" i="31"/>
  <c r="R44" i="31"/>
  <c r="S44" i="31" s="1"/>
  <c r="R45" i="31"/>
  <c r="R46" i="31"/>
  <c r="S46" i="31" s="1"/>
  <c r="R47" i="31"/>
  <c r="R48" i="31"/>
  <c r="S48" i="31" s="1"/>
  <c r="R49" i="31"/>
  <c r="R50" i="31"/>
  <c r="S50" i="31"/>
  <c r="R51" i="31"/>
  <c r="R52" i="31"/>
  <c r="S52" i="31"/>
  <c r="R53" i="31"/>
  <c r="R54" i="31"/>
  <c r="S54" i="31" s="1"/>
  <c r="R55" i="31"/>
  <c r="R56" i="31"/>
  <c r="S56" i="31"/>
  <c r="R57" i="31"/>
  <c r="R58" i="31"/>
  <c r="S58" i="31"/>
  <c r="R59" i="31"/>
  <c r="R60" i="31"/>
  <c r="S60" i="31" s="1"/>
  <c r="R61" i="31"/>
  <c r="R62" i="31"/>
  <c r="S62" i="31" s="1"/>
  <c r="R63" i="31"/>
  <c r="R64" i="31"/>
  <c r="S64" i="31" s="1"/>
  <c r="R65" i="31"/>
  <c r="R66" i="31"/>
  <c r="S66" i="31"/>
  <c r="R67" i="31"/>
  <c r="R68" i="31"/>
  <c r="S68" i="31"/>
  <c r="R69" i="31"/>
  <c r="R70" i="31"/>
  <c r="S70" i="31" s="1"/>
  <c r="R71" i="31"/>
  <c r="R72" i="31"/>
  <c r="S72" i="31"/>
  <c r="R73" i="31"/>
  <c r="R74" i="31"/>
  <c r="S74" i="31"/>
  <c r="R75" i="31"/>
  <c r="R76" i="31"/>
  <c r="S76" i="31" s="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c r="R105" i="31"/>
  <c r="R106" i="31"/>
  <c r="S106" i="31"/>
  <c r="R107" i="31"/>
  <c r="R108" i="31"/>
  <c r="S108" i="31" s="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c r="R137" i="31"/>
  <c r="R138" i="31"/>
  <c r="S138" i="31"/>
  <c r="R139" i="31"/>
  <c r="R140" i="31"/>
  <c r="S140" i="31" s="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c r="R165" i="31"/>
  <c r="R166" i="31"/>
  <c r="S166" i="31" s="1"/>
  <c r="R167" i="31"/>
  <c r="R168" i="31"/>
  <c r="S168" i="31"/>
  <c r="R169" i="31"/>
  <c r="R170" i="31"/>
  <c r="S170" i="31"/>
  <c r="R171" i="31"/>
  <c r="R172" i="31"/>
  <c r="S172" i="31" s="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c r="R197" i="31"/>
  <c r="R198" i="31"/>
  <c r="S198" i="31" s="1"/>
  <c r="R199" i="31"/>
  <c r="R200" i="31"/>
  <c r="S200" i="31"/>
  <c r="R201" i="31"/>
  <c r="R202" i="31"/>
  <c r="S202" i="31"/>
  <c r="R203" i="31"/>
  <c r="R204" i="31"/>
  <c r="S204" i="31" s="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c r="R439" i="31"/>
  <c r="R440" i="31"/>
  <c r="S440" i="31"/>
  <c r="R441" i="31"/>
  <c r="R442" i="31"/>
  <c r="S442" i="31" s="1"/>
  <c r="R443" i="31"/>
  <c r="R444" i="31"/>
  <c r="S444" i="31" s="1"/>
  <c r="R445" i="31"/>
  <c r="R446" i="31"/>
  <c r="S446" i="31" s="1"/>
  <c r="R447" i="31"/>
  <c r="R448" i="31"/>
  <c r="S448" i="31"/>
  <c r="R449" i="31"/>
  <c r="R450" i="31"/>
  <c r="S450" i="31"/>
  <c r="R451" i="31"/>
  <c r="R452" i="31"/>
  <c r="S452" i="31" s="1"/>
  <c r="R453" i="31"/>
  <c r="R454" i="31"/>
  <c r="S454" i="3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s="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s="1"/>
  <c r="E19" i="4"/>
  <c r="F7" i="1" s="1"/>
  <c r="B2" i="52"/>
  <c r="I2" i="46"/>
  <c r="N12" i="46" s="1"/>
  <c r="A7" i="46"/>
  <c r="F41" i="4"/>
  <c r="J52" i="40"/>
  <c r="H61" i="49"/>
  <c r="H39" i="46"/>
  <c r="H38" i="46"/>
  <c r="H37" i="46"/>
  <c r="H36" i="46"/>
  <c r="H35" i="46"/>
  <c r="H34" i="46"/>
  <c r="H33" i="46"/>
  <c r="J20"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c r="F11" i="40"/>
  <c r="AA11" i="40"/>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s="1"/>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c r="E50" i="40"/>
  <c r="F50" i="40"/>
  <c r="I55" i="39"/>
  <c r="J55" i="39" s="1"/>
  <c r="G55" i="39"/>
  <c r="H55" i="39"/>
  <c r="E55" i="39"/>
  <c r="F55" i="39" s="1"/>
  <c r="I42" i="36"/>
  <c r="J42" i="36"/>
  <c r="G42" i="36"/>
  <c r="H42" i="36" s="1"/>
  <c r="E42" i="36"/>
  <c r="F42" i="36"/>
  <c r="I44" i="35"/>
  <c r="J44" i="35" s="1"/>
  <c r="G44" i="35"/>
  <c r="H44" i="35"/>
  <c r="E44" i="35"/>
  <c r="F44" i="35" s="1"/>
  <c r="I54" i="33"/>
  <c r="J54" i="33"/>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A492" i="3" s="1"/>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A505" i="3" s="1"/>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A521" i="3" s="1"/>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L545" i="3" s="1"/>
  <c r="BR545" i="3"/>
  <c r="BS545" i="3"/>
  <c r="BT545" i="3"/>
  <c r="H546" i="3"/>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L550" i="3" s="1"/>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A558" i="3" s="1"/>
  <c r="AZ558" i="3" s="1"/>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c r="H83" i="39" s="1"/>
  <c r="I83" i="39" s="1"/>
  <c r="J83" i="39" s="1"/>
  <c r="K83" i="39" s="1"/>
  <c r="L83" i="39" s="1"/>
  <c r="M83" i="39" s="1"/>
  <c r="D78" i="40"/>
  <c r="F13" i="40"/>
  <c r="S13" i="40"/>
  <c r="B122" i="40"/>
  <c r="F42" i="40"/>
  <c r="AA42" i="40"/>
  <c r="B120" i="40"/>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c r="D107" i="39"/>
  <c r="E107" i="39"/>
  <c r="F107" i="39"/>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H25" i="37"/>
  <c r="U25" i="37"/>
  <c r="B110" i="37"/>
  <c r="J39" i="37" s="1"/>
  <c r="AC39" i="37" s="1"/>
  <c r="B108" i="37"/>
  <c r="C23" i="37"/>
  <c r="C19" i="37"/>
  <c r="C17" i="37"/>
  <c r="C15" i="37"/>
  <c r="B112" i="37"/>
  <c r="D107" i="37"/>
  <c r="E107" i="37"/>
  <c r="F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s="1"/>
  <c r="Q33" i="37"/>
  <c r="Z33" i="37"/>
  <c r="Q32" i="37"/>
  <c r="Z32" i="37"/>
  <c r="Q31" i="37"/>
  <c r="Z31" i="37"/>
  <c r="J31" i="37"/>
  <c r="Q30" i="37"/>
  <c r="Z30" i="37"/>
  <c r="J30" i="37"/>
  <c r="W30" i="37" s="1"/>
  <c r="H30" i="37"/>
  <c r="AB30" i="37" s="1"/>
  <c r="F30" i="37"/>
  <c r="Q29" i="37"/>
  <c r="Z29" i="37" s="1"/>
  <c r="H29" i="37"/>
  <c r="U29" i="37"/>
  <c r="Q28" i="37"/>
  <c r="Z28" i="37"/>
  <c r="Q27" i="37"/>
  <c r="Z27" i="37"/>
  <c r="Q26" i="37"/>
  <c r="Z26" i="37" s="1"/>
  <c r="J26" i="37"/>
  <c r="H26" i="37"/>
  <c r="AB26" i="37"/>
  <c r="Q25" i="37"/>
  <c r="Z25" i="37" s="1"/>
  <c r="W25" i="37"/>
  <c r="F25" i="37"/>
  <c r="AA25" i="37"/>
  <c r="Q23" i="37"/>
  <c r="Z23" i="37" s="1"/>
  <c r="Q19" i="37"/>
  <c r="Z19" i="37" s="1"/>
  <c r="Q17" i="37"/>
  <c r="Z17" i="37"/>
  <c r="Q15" i="37"/>
  <c r="Z15" i="37"/>
  <c r="Q14" i="37"/>
  <c r="Z14" i="37" s="1"/>
  <c r="Q13" i="37"/>
  <c r="Z13" i="37"/>
  <c r="Q12" i="37"/>
  <c r="Z12" i="37"/>
  <c r="Q11" i="37"/>
  <c r="Z11" i="37"/>
  <c r="Q10" i="37"/>
  <c r="Z10" i="37" s="1"/>
  <c r="F10" i="37"/>
  <c r="AA10" i="37" s="1"/>
  <c r="Q9" i="37"/>
  <c r="Z9" i="37"/>
  <c r="J8" i="37"/>
  <c r="W8" i="37" s="1"/>
  <c r="H8" i="37"/>
  <c r="AB8" i="37" s="1"/>
  <c r="F8" i="37"/>
  <c r="C7" i="37"/>
  <c r="J31" i="36"/>
  <c r="W31" i="36"/>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c r="F83" i="36"/>
  <c r="G83" i="36"/>
  <c r="H83" i="36"/>
  <c r="I83" i="36" s="1"/>
  <c r="J83" i="36" s="1"/>
  <c r="K83" i="36" s="1"/>
  <c r="L83" i="36" s="1"/>
  <c r="M83" i="36" s="1"/>
  <c r="D78" i="36"/>
  <c r="J26" i="36"/>
  <c r="W26" i="36"/>
  <c r="B75" i="36"/>
  <c r="B73" i="36"/>
  <c r="J24" i="36"/>
  <c r="B71" i="36"/>
  <c r="J23" i="36" s="1"/>
  <c r="AC23" i="36" s="1"/>
  <c r="D70" i="36"/>
  <c r="H22" i="36"/>
  <c r="AB22" i="36" s="1"/>
  <c r="D68" i="36"/>
  <c r="E68" i="36"/>
  <c r="D64" i="36"/>
  <c r="E64" i="36" s="1"/>
  <c r="F64" i="36"/>
  <c r="G64" i="36"/>
  <c r="J16" i="36"/>
  <c r="D62" i="36"/>
  <c r="E62" i="36" s="1"/>
  <c r="B59" i="36"/>
  <c r="B57" i="36"/>
  <c r="J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c r="J28" i="36"/>
  <c r="AC28" i="36"/>
  <c r="Q27" i="36"/>
  <c r="Z27" i="36" s="1"/>
  <c r="Q26" i="36"/>
  <c r="Z26" i="36" s="1"/>
  <c r="H26" i="36"/>
  <c r="AB26" i="36" s="1"/>
  <c r="Q25" i="36"/>
  <c r="Z25" i="36"/>
  <c r="Q24" i="36"/>
  <c r="Z24" i="36" s="1"/>
  <c r="Q23" i="36"/>
  <c r="Z23" i="36" s="1"/>
  <c r="H23" i="36"/>
  <c r="AB23" i="36" s="1"/>
  <c r="F23" i="36"/>
  <c r="AA23" i="36" s="1"/>
  <c r="Q22" i="36"/>
  <c r="Z22" i="36" s="1"/>
  <c r="J22" i="36"/>
  <c r="AC22" i="36"/>
  <c r="Q20" i="36"/>
  <c r="Z20" i="36" s="1"/>
  <c r="Q16" i="36"/>
  <c r="Z16" i="36"/>
  <c r="Q14" i="36"/>
  <c r="Z14" i="36"/>
  <c r="Q13" i="36"/>
  <c r="Z13" i="36" s="1"/>
  <c r="Q12" i="36"/>
  <c r="Z12" i="36" s="1"/>
  <c r="H12" i="36"/>
  <c r="U12" i="36"/>
  <c r="Q11" i="36"/>
  <c r="Z11" i="36" s="1"/>
  <c r="Q10" i="36"/>
  <c r="Z10" i="36" s="1"/>
  <c r="F10" i="36"/>
  <c r="AA10" i="36" s="1"/>
  <c r="Q9" i="36"/>
  <c r="Z9" i="36" s="1"/>
  <c r="J9" i="36"/>
  <c r="AC9" i="36" s="1"/>
  <c r="H9" i="36"/>
  <c r="AB9" i="36" s="1"/>
  <c r="F9" i="36"/>
  <c r="AA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B73" i="35"/>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c r="F84" i="35" s="1"/>
  <c r="G84" i="35" s="1"/>
  <c r="H84" i="35"/>
  <c r="I84" i="35" s="1"/>
  <c r="J84" i="35" s="1"/>
  <c r="K84" i="35" s="1"/>
  <c r="L84" i="35" s="1"/>
  <c r="M84" i="35" s="1"/>
  <c r="D80" i="35"/>
  <c r="D72" i="35"/>
  <c r="D70" i="35"/>
  <c r="E70" i="35" s="1"/>
  <c r="F70" i="35"/>
  <c r="G70" i="35" s="1"/>
  <c r="D66" i="35"/>
  <c r="E66" i="35" s="1"/>
  <c r="F66" i="35" s="1"/>
  <c r="G66" i="35" s="1"/>
  <c r="D64" i="35"/>
  <c r="E64" i="35" s="1"/>
  <c r="F64" i="35" s="1"/>
  <c r="G64" i="35"/>
  <c r="F56" i="35"/>
  <c r="G56" i="35" s="1"/>
  <c r="H56" i="35" s="1"/>
  <c r="I56" i="35" s="1"/>
  <c r="C53" i="35"/>
  <c r="P39" i="35"/>
  <c r="P38" i="35"/>
  <c r="V37" i="35"/>
  <c r="T37" i="35"/>
  <c r="R37" i="35"/>
  <c r="P37" i="35"/>
  <c r="Q36" i="35"/>
  <c r="Z36" i="35"/>
  <c r="Q35" i="35"/>
  <c r="Z35" i="35"/>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J23" i="35"/>
  <c r="AC23" i="35" s="1"/>
  <c r="Q22" i="35"/>
  <c r="Z22" i="35" s="1"/>
  <c r="Q20" i="35"/>
  <c r="Z20" i="35" s="1"/>
  <c r="Q16" i="35"/>
  <c r="Z16" i="35" s="1"/>
  <c r="Q14" i="35"/>
  <c r="Z14" i="35" s="1"/>
  <c r="Q13" i="35"/>
  <c r="Z13" i="35"/>
  <c r="Q12" i="35"/>
  <c r="Z12" i="35" s="1"/>
  <c r="J12" i="35"/>
  <c r="W12" i="35" s="1"/>
  <c r="Q11" i="35"/>
  <c r="Z11" i="35"/>
  <c r="Q10" i="35"/>
  <c r="Z10" i="35"/>
  <c r="Q9" i="35"/>
  <c r="Z9" i="35" s="1"/>
  <c r="J9" i="35"/>
  <c r="W9" i="35" s="1"/>
  <c r="J8" i="35"/>
  <c r="H8" i="35"/>
  <c r="F8" i="35"/>
  <c r="AA8" i="35" s="1"/>
  <c r="C7" i="35"/>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c r="G92" i="34"/>
  <c r="H92" i="34" s="1"/>
  <c r="I92" i="34" s="1"/>
  <c r="J92" i="34" s="1"/>
  <c r="K92" i="34" s="1"/>
  <c r="L92" i="34" s="1"/>
  <c r="M92" i="34" s="1"/>
  <c r="B91" i="34"/>
  <c r="F28" i="34" s="1"/>
  <c r="B89" i="34"/>
  <c r="J27" i="34"/>
  <c r="AC27" i="34" s="1"/>
  <c r="D88" i="34"/>
  <c r="E88" i="34" s="1"/>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c r="Q37" i="34"/>
  <c r="Z37" i="34"/>
  <c r="Q36" i="34"/>
  <c r="Z36" i="34" s="1"/>
  <c r="Q35" i="34"/>
  <c r="Z35" i="34"/>
  <c r="Q34" i="34"/>
  <c r="Z34" i="34"/>
  <c r="J34" i="34"/>
  <c r="H34" i="34"/>
  <c r="AB34" i="34"/>
  <c r="F34" i="34"/>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Q11" i="34"/>
  <c r="Z11" i="34"/>
  <c r="Q10" i="34"/>
  <c r="Z10" i="34"/>
  <c r="F10" i="34"/>
  <c r="AA10" i="34" s="1"/>
  <c r="Q9" i="34"/>
  <c r="Z9" i="34"/>
  <c r="J9" i="34"/>
  <c r="AC9" i="34" s="1"/>
  <c r="H9" i="34"/>
  <c r="AB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c r="B88" i="33"/>
  <c r="C23" i="33"/>
  <c r="C19" i="33"/>
  <c r="C17" i="33"/>
  <c r="C15" i="33"/>
  <c r="C15" i="21"/>
  <c r="D125" i="33"/>
  <c r="E125" i="33" s="1"/>
  <c r="F125" i="33" s="1"/>
  <c r="G125" i="33" s="1"/>
  <c r="D123" i="33"/>
  <c r="D117" i="33"/>
  <c r="E117" i="33" s="1"/>
  <c r="F117" i="33"/>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AA40" i="33"/>
  <c r="Q39" i="33"/>
  <c r="Z39" i="33" s="1"/>
  <c r="J39" i="33"/>
  <c r="AC39" i="33"/>
  <c r="Q38" i="33"/>
  <c r="Z38" i="33" s="1"/>
  <c r="J38" i="33"/>
  <c r="AC38" i="33"/>
  <c r="H38" i="33"/>
  <c r="U38" i="33" s="1"/>
  <c r="F38" i="33"/>
  <c r="AA38" i="33" s="1"/>
  <c r="Q37" i="33"/>
  <c r="Z37" i="33" s="1"/>
  <c r="Q36" i="33"/>
  <c r="Z36" i="33"/>
  <c r="Q35" i="33"/>
  <c r="Z35" i="33"/>
  <c r="H35" i="33"/>
  <c r="AB35" i="33" s="1"/>
  <c r="Q34" i="33"/>
  <c r="Z34" i="33" s="1"/>
  <c r="Q33" i="33"/>
  <c r="Z33" i="33"/>
  <c r="J33" i="33"/>
  <c r="H33" i="33"/>
  <c r="AB33" i="33" s="1"/>
  <c r="F33" i="33"/>
  <c r="AA33" i="33" s="1"/>
  <c r="Q32" i="33"/>
  <c r="Z32" i="33"/>
  <c r="Q31" i="33"/>
  <c r="Z31" i="33"/>
  <c r="Q30" i="33"/>
  <c r="Z30" i="33"/>
  <c r="Q29" i="33"/>
  <c r="Z29" i="33" s="1"/>
  <c r="Q28" i="33"/>
  <c r="Z28" i="33"/>
  <c r="Q27" i="33"/>
  <c r="Z27" i="33"/>
  <c r="Q26" i="33"/>
  <c r="Z26" i="33" s="1"/>
  <c r="Q25" i="33"/>
  <c r="Z25" i="33" s="1"/>
  <c r="Q23" i="33"/>
  <c r="Z23" i="33"/>
  <c r="Q19" i="33"/>
  <c r="Z19" i="33"/>
  <c r="Q17" i="33"/>
  <c r="Z17" i="33" s="1"/>
  <c r="Q15" i="33"/>
  <c r="Z15" i="33" s="1"/>
  <c r="F15" i="33"/>
  <c r="AA15" i="33"/>
  <c r="Q14" i="33"/>
  <c r="Z14" i="33" s="1"/>
  <c r="Q13" i="33"/>
  <c r="Z13" i="33"/>
  <c r="Q12" i="33"/>
  <c r="Z12" i="33" s="1"/>
  <c r="J12" i="33"/>
  <c r="W12" i="33"/>
  <c r="H12" i="33"/>
  <c r="U12" i="33" s="1"/>
  <c r="F12" i="33"/>
  <c r="S12" i="33"/>
  <c r="Q11" i="33"/>
  <c r="Z11" i="33" s="1"/>
  <c r="Q10" i="33"/>
  <c r="Z10" i="33"/>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c r="G15" i="20"/>
  <c r="B80" i="46" s="1"/>
  <c r="C24" i="20"/>
  <c r="B72" i="46"/>
  <c r="C21" i="20"/>
  <c r="C29" i="39" s="1"/>
  <c r="B73" i="46"/>
  <c r="C20" i="20"/>
  <c r="B76" i="46"/>
  <c r="C18" i="20"/>
  <c r="B70" i="46" s="1"/>
  <c r="C17" i="20"/>
  <c r="B58" i="46"/>
  <c r="C16" i="20"/>
  <c r="B47" i="46" s="1"/>
  <c r="C15" i="20"/>
  <c r="B69" i="46"/>
  <c r="E54" i="21"/>
  <c r="F54" i="21" s="1"/>
  <c r="I54" i="21"/>
  <c r="J54" i="21"/>
  <c r="G54" i="21"/>
  <c r="H54" i="21"/>
  <c r="D125" i="21"/>
  <c r="E125" i="21"/>
  <c r="F125" i="21" s="1"/>
  <c r="G125" i="21" s="1"/>
  <c r="D123" i="21"/>
  <c r="E123" i="21" s="1"/>
  <c r="F123" i="21" s="1"/>
  <c r="G123" i="21" s="1"/>
  <c r="H123" i="2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c r="D77" i="21"/>
  <c r="E77" i="21" s="1"/>
  <c r="B130" i="21"/>
  <c r="J46" i="21" s="1"/>
  <c r="B128" i="21"/>
  <c r="J45" i="21" s="1"/>
  <c r="AC45" i="21" s="1"/>
  <c r="B126" i="21"/>
  <c r="B98" i="21"/>
  <c r="B96" i="21"/>
  <c r="B94" i="21"/>
  <c r="B92" i="21"/>
  <c r="B90" i="21"/>
  <c r="J27" i="21" s="1"/>
  <c r="B74" i="21"/>
  <c r="B72" i="21"/>
  <c r="H13" i="21" s="1"/>
  <c r="U13" i="21" s="1"/>
  <c r="B70" i="21"/>
  <c r="F12" i="21" s="1"/>
  <c r="AA12" i="21" s="1"/>
  <c r="F10" i="21"/>
  <c r="AA10" i="21"/>
  <c r="C7" i="21"/>
  <c r="C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s="1"/>
  <c r="H43" i="21"/>
  <c r="AB43" i="21" s="1"/>
  <c r="F32" i="21"/>
  <c r="F38" i="21"/>
  <c r="F36" i="21"/>
  <c r="S36" i="21" s="1"/>
  <c r="F39" i="21"/>
  <c r="AA39" i="21" s="1"/>
  <c r="J40" i="21"/>
  <c r="W40" i="21"/>
  <c r="H35" i="21"/>
  <c r="AB35" i="21" s="1"/>
  <c r="J8" i="21"/>
  <c r="AC8" i="21" s="1"/>
  <c r="J9" i="21"/>
  <c r="AC9" i="21" s="1"/>
  <c r="H8" i="21"/>
  <c r="H9" i="21"/>
  <c r="U9" i="21" s="1"/>
  <c r="H10" i="21"/>
  <c r="U10" i="21"/>
  <c r="H39" i="21"/>
  <c r="AB39" i="21" s="1"/>
  <c r="J34" i="21"/>
  <c r="W34" i="21"/>
  <c r="H36" i="21"/>
  <c r="U36" i="21" s="1"/>
  <c r="F35" i="21"/>
  <c r="AA35" i="21"/>
  <c r="J33" i="21"/>
  <c r="W33" i="21" s="1"/>
  <c r="H33" i="21"/>
  <c r="U33" i="21"/>
  <c r="F33" i="21"/>
  <c r="J10" i="21"/>
  <c r="AC10" i="21" s="1"/>
  <c r="H26" i="21"/>
  <c r="F19" i="21"/>
  <c r="AA19" i="21" s="1"/>
  <c r="H19" i="21"/>
  <c r="AB19" i="21" s="1"/>
  <c r="J19" i="21"/>
  <c r="W19" i="21" s="1"/>
  <c r="J12" i="21"/>
  <c r="H12" i="21"/>
  <c r="U12" i="21" s="1"/>
  <c r="J26" i="21"/>
  <c r="W26" i="21" s="1"/>
  <c r="F26" i="21"/>
  <c r="AA26" i="21"/>
  <c r="AB41" i="21"/>
  <c r="S41" i="21"/>
  <c r="AA41" i="21"/>
  <c r="W41" i="21"/>
  <c r="S10" i="39"/>
  <c r="U30" i="37"/>
  <c r="E103" i="37"/>
  <c r="F103" i="37"/>
  <c r="G103" i="37" s="1"/>
  <c r="W39" i="37"/>
  <c r="F29" i="36"/>
  <c r="AA29" i="36" s="1"/>
  <c r="F16" i="36"/>
  <c r="AA16" i="36" s="1"/>
  <c r="U22" i="36"/>
  <c r="W23" i="36"/>
  <c r="W22" i="36"/>
  <c r="U26" i="36"/>
  <c r="AC31" i="36"/>
  <c r="AC27" i="35"/>
  <c r="U31" i="35"/>
  <c r="S34" i="35"/>
  <c r="S31" i="35"/>
  <c r="W31" i="35"/>
  <c r="F36" i="34"/>
  <c r="S36" i="34"/>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c r="J11" i="21"/>
  <c r="W11" i="21"/>
  <c r="F100" i="40"/>
  <c r="AA12" i="33"/>
  <c r="J27" i="36"/>
  <c r="W27" i="36"/>
  <c r="J34" i="36"/>
  <c r="W34" i="36"/>
  <c r="J30" i="35"/>
  <c r="W30" i="35" s="1"/>
  <c r="F22" i="35"/>
  <c r="AA22" i="35" s="1"/>
  <c r="H10" i="35"/>
  <c r="U10" i="35"/>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c r="G101" i="37" s="1"/>
  <c r="H101" i="37" s="1"/>
  <c r="I101" i="37" s="1"/>
  <c r="J101" i="37" s="1"/>
  <c r="K101" i="37" s="1"/>
  <c r="L101" i="37" s="1"/>
  <c r="M101" i="37" s="1"/>
  <c r="J34" i="37"/>
  <c r="H43" i="34"/>
  <c r="U43" i="34" s="1"/>
  <c r="U42" i="34"/>
  <c r="E114" i="34"/>
  <c r="H36" i="34"/>
  <c r="U36" i="34" s="1"/>
  <c r="F37" i="34"/>
  <c r="AA37" i="34" s="1"/>
  <c r="F33" i="34"/>
  <c r="S33" i="34"/>
  <c r="F19" i="34"/>
  <c r="AA19" i="34" s="1"/>
  <c r="J10" i="34"/>
  <c r="AC10" i="34"/>
  <c r="U9" i="34"/>
  <c r="W8" i="34"/>
  <c r="J28" i="34"/>
  <c r="S38" i="33"/>
  <c r="E113" i="33"/>
  <c r="F36" i="33"/>
  <c r="S36" i="33"/>
  <c r="F19" i="33"/>
  <c r="S19" i="33" s="1"/>
  <c r="J19" i="33"/>
  <c r="S10" i="21"/>
  <c r="G86" i="40"/>
  <c r="AB30" i="36"/>
  <c r="AC34"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c r="J42" i="21"/>
  <c r="AC42" i="21" s="1"/>
  <c r="J44" i="34"/>
  <c r="AC44" i="34" s="1"/>
  <c r="F44" i="34"/>
  <c r="S44" i="34" s="1"/>
  <c r="J10" i="35"/>
  <c r="W10" i="35"/>
  <c r="AL5" i="3"/>
  <c r="BQ13" i="3"/>
  <c r="J14" i="21"/>
  <c r="AC14" i="21" s="1"/>
  <c r="F14" i="21"/>
  <c r="AA14" i="21" s="1"/>
  <c r="H14" i="21"/>
  <c r="U14" i="21" s="1"/>
  <c r="H30" i="21"/>
  <c r="AB30" i="21" s="1"/>
  <c r="U30" i="21"/>
  <c r="F30" i="21"/>
  <c r="S30" i="21" s="1"/>
  <c r="J30" i="21"/>
  <c r="J44" i="21"/>
  <c r="AC44" i="2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J13" i="21"/>
  <c r="AC13" i="21" s="1"/>
  <c r="F13" i="21"/>
  <c r="AA13" i="21" s="1"/>
  <c r="W27" i="21"/>
  <c r="F27" i="21"/>
  <c r="AA27" i="21" s="1"/>
  <c r="J29" i="21"/>
  <c r="AC29" i="21" s="1"/>
  <c r="J31" i="21"/>
  <c r="AC31" i="21" s="1"/>
  <c r="H31" i="21"/>
  <c r="F31" i="21"/>
  <c r="S31" i="21"/>
  <c r="W45" i="21"/>
  <c r="F45" i="21"/>
  <c r="H45" i="21"/>
  <c r="U45" i="21" s="1"/>
  <c r="J27" i="33"/>
  <c r="AC27" i="33"/>
  <c r="F13" i="33"/>
  <c r="S13" i="33" s="1"/>
  <c r="J29" i="33"/>
  <c r="W29" i="33" s="1"/>
  <c r="J31" i="33"/>
  <c r="AC31" i="33"/>
  <c r="H31" i="33"/>
  <c r="U31" i="33"/>
  <c r="S31" i="33"/>
  <c r="J45" i="33"/>
  <c r="W45" i="33"/>
  <c r="F45" i="33"/>
  <c r="S45" i="33" s="1"/>
  <c r="F11" i="35"/>
  <c r="S11" i="35" s="1"/>
  <c r="H28" i="36"/>
  <c r="AB28" i="36" s="1"/>
  <c r="H32" i="36"/>
  <c r="AB32" i="36"/>
  <c r="J32" i="36"/>
  <c r="AC32" i="36" s="1"/>
  <c r="J11" i="36"/>
  <c r="W11" i="36"/>
  <c r="H13" i="36"/>
  <c r="AB13" i="36"/>
  <c r="J13" i="36"/>
  <c r="F13" i="36"/>
  <c r="S13" i="36" s="1"/>
  <c r="H89" i="37"/>
  <c r="I89" i="37" s="1"/>
  <c r="J89" i="37" s="1"/>
  <c r="K89" i="37" s="1"/>
  <c r="L89" i="37" s="1"/>
  <c r="M89" i="37" s="1"/>
  <c r="J29" i="37"/>
  <c r="W29" i="37" s="1"/>
  <c r="F29" i="37"/>
  <c r="AA29" i="37" s="1"/>
  <c r="F105" i="37"/>
  <c r="G105" i="37" s="1"/>
  <c r="AB36" i="37"/>
  <c r="J37" i="37"/>
  <c r="AC37" i="37" s="1"/>
  <c r="H37" i="37"/>
  <c r="U37" i="37"/>
  <c r="H40" i="37"/>
  <c r="J40" i="37"/>
  <c r="AC40" i="37" s="1"/>
  <c r="F40" i="37"/>
  <c r="AA40" i="37" s="1"/>
  <c r="F14" i="33"/>
  <c r="AA14" i="33" s="1"/>
  <c r="H30" i="33"/>
  <c r="AB30" i="33" s="1"/>
  <c r="F30" i="33"/>
  <c r="S30" i="33" s="1"/>
  <c r="J30" i="33"/>
  <c r="H44" i="33"/>
  <c r="U44" i="33" s="1"/>
  <c r="J44" i="33"/>
  <c r="AC44" i="33" s="1"/>
  <c r="F44" i="33"/>
  <c r="S44" i="33" s="1"/>
  <c r="AC46" i="33"/>
  <c r="F46" i="33"/>
  <c r="H13" i="34"/>
  <c r="U13" i="34" s="1"/>
  <c r="J13" i="34"/>
  <c r="W13" i="34"/>
  <c r="F13" i="34"/>
  <c r="AA13" i="34" s="1"/>
  <c r="J29" i="34"/>
  <c r="AC29" i="34" s="1"/>
  <c r="F29" i="34"/>
  <c r="S29" i="34" s="1"/>
  <c r="H29" i="34"/>
  <c r="U29" i="34"/>
  <c r="J31" i="34"/>
  <c r="H31" i="34"/>
  <c r="AB31" i="34" s="1"/>
  <c r="F31" i="34"/>
  <c r="S31" i="34" s="1"/>
  <c r="U45" i="34"/>
  <c r="J45" i="34"/>
  <c r="W45" i="34" s="1"/>
  <c r="F45" i="34"/>
  <c r="AA45" i="34" s="1"/>
  <c r="H47" i="34"/>
  <c r="U47" i="34" s="1"/>
  <c r="F47" i="34"/>
  <c r="AA47" i="34"/>
  <c r="J47" i="34"/>
  <c r="AC47" i="34" s="1"/>
  <c r="F13" i="35"/>
  <c r="S13" i="35" s="1"/>
  <c r="J13" i="35"/>
  <c r="AC13" i="35" s="1"/>
  <c r="H13" i="35"/>
  <c r="U13" i="35"/>
  <c r="J25" i="35"/>
  <c r="F25" i="35"/>
  <c r="AA25" i="35" s="1"/>
  <c r="H25" i="35"/>
  <c r="AB25" i="35" s="1"/>
  <c r="J35" i="35"/>
  <c r="AC35" i="35"/>
  <c r="F35" i="35"/>
  <c r="S35" i="35" s="1"/>
  <c r="H35" i="35"/>
  <c r="J25" i="36"/>
  <c r="W25" i="36" s="1"/>
  <c r="F25" i="36"/>
  <c r="AA25" i="36"/>
  <c r="H25" i="36"/>
  <c r="AB25" i="36" s="1"/>
  <c r="H13" i="37"/>
  <c r="AB13" i="37" s="1"/>
  <c r="F13" i="37"/>
  <c r="S13" i="37" s="1"/>
  <c r="J13" i="37"/>
  <c r="AC13" i="37"/>
  <c r="F28" i="37"/>
  <c r="AA28" i="37" s="1"/>
  <c r="J28" i="37"/>
  <c r="H28" i="37"/>
  <c r="U28" i="37" s="1"/>
  <c r="H38" i="37"/>
  <c r="AB38" i="37"/>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AZ569" i="3"/>
  <c r="BL561" i="3"/>
  <c r="BL557" i="3"/>
  <c r="BL527" i="3"/>
  <c r="BL519" i="3"/>
  <c r="BL511" i="3"/>
  <c r="BL491" i="3"/>
  <c r="BL483" i="3"/>
  <c r="G16" i="3"/>
  <c r="BL563" i="3"/>
  <c r="BL559" i="3"/>
  <c r="AZ559" i="3"/>
  <c r="BL555" i="3"/>
  <c r="BL551" i="3"/>
  <c r="BL541" i="3"/>
  <c r="BL533" i="3"/>
  <c r="G518" i="3"/>
  <c r="G514" i="3"/>
  <c r="G510" i="3"/>
  <c r="BL503" i="3"/>
  <c r="BL485" i="3"/>
  <c r="G18" i="3"/>
  <c r="BA565" i="3"/>
  <c r="BA561" i="3"/>
  <c r="AZ561" i="3"/>
  <c r="BA559" i="3"/>
  <c r="BA545" i="3"/>
  <c r="BA543" i="3"/>
  <c r="AZ543" i="3" s="1"/>
  <c r="BA541" i="3"/>
  <c r="AZ541" i="3"/>
  <c r="BA531" i="3"/>
  <c r="BA501" i="3"/>
  <c r="BA493" i="3"/>
  <c r="AZ493" i="3" s="1"/>
  <c r="BA487" i="3"/>
  <c r="BA19" i="3"/>
  <c r="BA566" i="3"/>
  <c r="BA562" i="3"/>
  <c r="BA560" i="3"/>
  <c r="AZ560" i="3" s="1"/>
  <c r="BA554" i="3"/>
  <c r="BA540" i="3"/>
  <c r="BA536" i="3"/>
  <c r="BA532" i="3"/>
  <c r="AZ532" i="3" s="1"/>
  <c r="BA528" i="3"/>
  <c r="BA524" i="3"/>
  <c r="BA516" i="3"/>
  <c r="BA512" i="3"/>
  <c r="BA508" i="3"/>
  <c r="BA488" i="3"/>
  <c r="BA484" i="3"/>
  <c r="BA20" i="3"/>
  <c r="AZ545" i="3"/>
  <c r="G566" i="3"/>
  <c r="G562" i="3"/>
  <c r="G560" i="3"/>
  <c r="G558" i="3"/>
  <c r="G556" i="3"/>
  <c r="G554" i="3"/>
  <c r="G550" i="3"/>
  <c r="G546" i="3"/>
  <c r="BL543" i="3"/>
  <c r="AC542" i="3"/>
  <c r="G542" i="3"/>
  <c r="BQ542" i="3"/>
  <c r="BL542" i="3" s="1"/>
  <c r="AZ542" i="3" s="1"/>
  <c r="BQ568" i="3"/>
  <c r="BQ566" i="3"/>
  <c r="BQ564" i="3"/>
  <c r="BL564" i="3" s="1"/>
  <c r="BQ562" i="3"/>
  <c r="BL562" i="3"/>
  <c r="AZ562" i="3" s="1"/>
  <c r="BQ560" i="3"/>
  <c r="BL560" i="3" s="1"/>
  <c r="BQ558" i="3"/>
  <c r="BQ556" i="3"/>
  <c r="BL556" i="3"/>
  <c r="AZ556" i="3" s="1"/>
  <c r="BQ554" i="3"/>
  <c r="BQ552" i="3"/>
  <c r="BL552" i="3" s="1"/>
  <c r="BQ550" i="3"/>
  <c r="BQ548" i="3"/>
  <c r="BQ546" i="3"/>
  <c r="BL546" i="3" s="1"/>
  <c r="AZ546" i="3" s="1"/>
  <c r="BQ544" i="3"/>
  <c r="BL544" i="3"/>
  <c r="G544" i="3"/>
  <c r="G534" i="3"/>
  <c r="G530" i="3"/>
  <c r="G526" i="3"/>
  <c r="G522" i="3"/>
  <c r="BQ540" i="3"/>
  <c r="BL540" i="3" s="1"/>
  <c r="BQ538" i="3"/>
  <c r="BL538" i="3" s="1"/>
  <c r="BQ536" i="3"/>
  <c r="BQ534" i="3"/>
  <c r="BL534" i="3" s="1"/>
  <c r="BQ532" i="3"/>
  <c r="BL532" i="3"/>
  <c r="BQ530" i="3"/>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Q502" i="3"/>
  <c r="BL502" i="3" s="1"/>
  <c r="BQ500" i="3"/>
  <c r="BL500" i="3"/>
  <c r="BQ498" i="3"/>
  <c r="BQ496" i="3"/>
  <c r="AC494" i="3"/>
  <c r="AC5" i="3" s="1"/>
  <c r="BQ494" i="3"/>
  <c r="G488" i="3"/>
  <c r="G484" i="3"/>
  <c r="G20" i="3"/>
  <c r="BQ492" i="3"/>
  <c r="BL492" i="3"/>
  <c r="BQ490" i="3"/>
  <c r="BQ488" i="3"/>
  <c r="BL488" i="3" s="1"/>
  <c r="AZ488" i="3" s="1"/>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c r="H28" i="34"/>
  <c r="AB28" i="34"/>
  <c r="F22" i="36"/>
  <c r="S22" i="36" s="1"/>
  <c r="H35" i="34"/>
  <c r="U35" i="34" s="1"/>
  <c r="F41" i="34"/>
  <c r="S41" i="34"/>
  <c r="H41" i="34"/>
  <c r="U41" i="34"/>
  <c r="J41" i="34"/>
  <c r="F10" i="35"/>
  <c r="AA10" i="35" s="1"/>
  <c r="H23" i="37"/>
  <c r="AB23" i="37" s="1"/>
  <c r="J32" i="37"/>
  <c r="AC32" i="37"/>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W23" i="35"/>
  <c r="AC23" i="37"/>
  <c r="S27" i="37"/>
  <c r="AC8" i="37"/>
  <c r="S25" i="37"/>
  <c r="AC36" i="34"/>
  <c r="AB8" i="34"/>
  <c r="AC37" i="33"/>
  <c r="AA13" i="33"/>
  <c r="AC45" i="33"/>
  <c r="U19" i="21"/>
  <c r="AC33" i="21"/>
  <c r="F43" i="33"/>
  <c r="AA43" i="33"/>
  <c r="AA23" i="37"/>
  <c r="S10" i="35"/>
  <c r="G107" i="37"/>
  <c r="H107" i="37" s="1"/>
  <c r="I107" i="37" s="1"/>
  <c r="J107" i="37" s="1"/>
  <c r="K107" i="37"/>
  <c r="L107" i="37" s="1"/>
  <c r="M107" i="37" s="1"/>
  <c r="AA9" i="21"/>
  <c r="F37" i="21"/>
  <c r="S37" i="21" s="1"/>
  <c r="J37" i="21"/>
  <c r="W37" i="21" s="1"/>
  <c r="H19" i="34"/>
  <c r="AB19" i="34" s="1"/>
  <c r="J10" i="37"/>
  <c r="F36" i="35"/>
  <c r="S36" i="35" s="1"/>
  <c r="J9" i="37"/>
  <c r="W9" i="37" s="1"/>
  <c r="H9" i="37"/>
  <c r="U9" i="37"/>
  <c r="F9" i="37"/>
  <c r="S9" i="37" s="1"/>
  <c r="F11" i="37"/>
  <c r="S11" i="37" s="1"/>
  <c r="J12" i="37"/>
  <c r="AC12" i="37" s="1"/>
  <c r="H12" i="37"/>
  <c r="U12" i="37" s="1"/>
  <c r="F12" i="37"/>
  <c r="AA12" i="37"/>
  <c r="H15" i="37"/>
  <c r="U15" i="37" s="1"/>
  <c r="E94" i="37"/>
  <c r="F31" i="37"/>
  <c r="S31" i="37"/>
  <c r="F94" i="37"/>
  <c r="G94" i="37" s="1"/>
  <c r="H94" i="37" s="1"/>
  <c r="I94" i="37" s="1"/>
  <c r="J94" i="37" s="1"/>
  <c r="K94" i="37" s="1"/>
  <c r="L94" i="37" s="1"/>
  <c r="M94" i="37" s="1"/>
  <c r="H31" i="37"/>
  <c r="AB31" i="37"/>
  <c r="J15" i="37"/>
  <c r="W15" i="37"/>
  <c r="AB10" i="37"/>
  <c r="J11" i="37"/>
  <c r="W11" i="37"/>
  <c r="U31" i="37"/>
  <c r="E90" i="40"/>
  <c r="F90" i="40" s="1"/>
  <c r="F21" i="40"/>
  <c r="S21" i="40" s="1"/>
  <c r="W36" i="40"/>
  <c r="U40" i="39"/>
  <c r="J21" i="40"/>
  <c r="AC21" i="40" s="1"/>
  <c r="G90" i="40"/>
  <c r="S27" i="31"/>
  <c r="G515" i="3"/>
  <c r="G507" i="3"/>
  <c r="G501" i="3"/>
  <c r="BL17" i="3"/>
  <c r="BL15" i="3"/>
  <c r="J57" i="39"/>
  <c r="H13" i="40"/>
  <c r="U13" i="40"/>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AZ326" i="3" s="1"/>
  <c r="BA327" i="3"/>
  <c r="AZ327" i="3" s="1"/>
  <c r="BL327" i="3"/>
  <c r="G328" i="3"/>
  <c r="BA329" i="3"/>
  <c r="AZ329" i="3"/>
  <c r="G337" i="3"/>
  <c r="BL338" i="3"/>
  <c r="AZ338" i="3" s="1"/>
  <c r="G339" i="3"/>
  <c r="BL340" i="3"/>
  <c r="BA342" i="3"/>
  <c r="AZ342" i="3" s="1"/>
  <c r="BA343" i="3"/>
  <c r="BL343" i="3"/>
  <c r="AZ343" i="3" s="1"/>
  <c r="G344" i="3"/>
  <c r="BA345" i="3"/>
  <c r="AZ345" i="3" s="1"/>
  <c r="G353" i="3"/>
  <c r="BL354" i="3"/>
  <c r="G355" i="3"/>
  <c r="BL356" i="3"/>
  <c r="G357" i="3"/>
  <c r="BL358" i="3"/>
  <c r="AZ358" i="3"/>
  <c r="G359" i="3"/>
  <c r="BA360" i="3"/>
  <c r="AZ360" i="3" s="1"/>
  <c r="BA361" i="3"/>
  <c r="BL361" i="3"/>
  <c r="AZ361" i="3" s="1"/>
  <c r="G362" i="3"/>
  <c r="BA363" i="3"/>
  <c r="AZ363" i="3" s="1"/>
  <c r="G371" i="3"/>
  <c r="BL372" i="3"/>
  <c r="AZ372" i="3" s="1"/>
  <c r="G373" i="3"/>
  <c r="BL374" i="3"/>
  <c r="BA376" i="3"/>
  <c r="BA377" i="3"/>
  <c r="AZ377" i="3" s="1"/>
  <c r="BL377" i="3"/>
  <c r="G378" i="3"/>
  <c r="BA379" i="3"/>
  <c r="AZ379" i="3" s="1"/>
  <c r="BA114" i="3"/>
  <c r="AZ114" i="3" s="1"/>
  <c r="BL115" i="3"/>
  <c r="AZ115" i="3"/>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BL139" i="3"/>
  <c r="AZ139" i="3" s="1"/>
  <c r="G140" i="3"/>
  <c r="BA142" i="3"/>
  <c r="AZ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AZ165" i="3" s="1"/>
  <c r="BL166" i="3"/>
  <c r="G167" i="3"/>
  <c r="BA169" i="3"/>
  <c r="AZ169" i="3" s="1"/>
  <c r="BL170" i="3"/>
  <c r="G171" i="3"/>
  <c r="BA173" i="3"/>
  <c r="AZ173" i="3"/>
  <c r="BL174" i="3"/>
  <c r="G175" i="3"/>
  <c r="BA178" i="3"/>
  <c r="AZ178" i="3" s="1"/>
  <c r="BL179" i="3"/>
  <c r="G180" i="3"/>
  <c r="AZ23" i="3"/>
  <c r="AZ39" i="3"/>
  <c r="AZ43" i="3"/>
  <c r="AZ55" i="3"/>
  <c r="G537" i="3"/>
  <c r="BL181" i="3"/>
  <c r="G182" i="3"/>
  <c r="BA184" i="3"/>
  <c r="AZ184" i="3"/>
  <c r="BL185" i="3"/>
  <c r="AZ185" i="3" s="1"/>
  <c r="G186" i="3"/>
  <c r="BA188" i="3"/>
  <c r="AZ188" i="3" s="1"/>
  <c r="BL189" i="3"/>
  <c r="G190" i="3"/>
  <c r="BA192" i="3"/>
  <c r="BL193" i="3"/>
  <c r="G194" i="3"/>
  <c r="BA196" i="3"/>
  <c r="AZ196" i="3" s="1"/>
  <c r="BL197" i="3"/>
  <c r="G198" i="3"/>
  <c r="BA200" i="3"/>
  <c r="AZ200" i="3"/>
  <c r="BL201" i="3"/>
  <c r="AZ74" i="3"/>
  <c r="AZ201" i="3"/>
  <c r="AZ98" i="3"/>
  <c r="AZ102" i="3"/>
  <c r="AZ106"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AZ354" i="3" s="1"/>
  <c r="BA355" i="3"/>
  <c r="AZ355" i="3" s="1"/>
  <c r="BL355" i="3"/>
  <c r="G356" i="3"/>
  <c r="BA358" i="3"/>
  <c r="BA359" i="3"/>
  <c r="BL359" i="3"/>
  <c r="AZ359" i="3" s="1"/>
  <c r="G360" i="3"/>
  <c r="G361" i="3"/>
  <c r="BL362" i="3"/>
  <c r="BA364" i="3"/>
  <c r="AZ364" i="3"/>
  <c r="BA365" i="3"/>
  <c r="AZ365" i="3"/>
  <c r="BL365" i="3"/>
  <c r="G366" i="3"/>
  <c r="G369" i="3"/>
  <c r="BL370" i="3"/>
  <c r="BA372" i="3"/>
  <c r="BA373" i="3"/>
  <c r="BL373" i="3"/>
  <c r="AZ373" i="3" s="1"/>
  <c r="G374" i="3"/>
  <c r="G377" i="3"/>
  <c r="BL378" i="3"/>
  <c r="BA380" i="3"/>
  <c r="AZ380" i="3"/>
  <c r="BA381" i="3"/>
  <c r="AZ381" i="3"/>
  <c r="BL381" i="3"/>
  <c r="G382" i="3"/>
  <c r="G385" i="3"/>
  <c r="AZ170" i="3"/>
  <c r="AZ174" i="3"/>
  <c r="AZ179" i="3"/>
  <c r="AZ183" i="3"/>
  <c r="AZ187" i="3"/>
  <c r="AZ191" i="3"/>
  <c r="AZ195" i="3"/>
  <c r="AZ199" i="3"/>
  <c r="AZ203" i="3"/>
  <c r="G523" i="3"/>
  <c r="BL297" i="3"/>
  <c r="G298" i="3"/>
  <c r="BA300" i="3"/>
  <c r="BL301" i="3"/>
  <c r="G302" i="3"/>
  <c r="BA304" i="3"/>
  <c r="AZ304" i="3" s="1"/>
  <c r="BL305" i="3"/>
  <c r="G306" i="3"/>
  <c r="BA308" i="3"/>
  <c r="BL309" i="3"/>
  <c r="AZ309" i="3" s="1"/>
  <c r="G310" i="3"/>
  <c r="BA310" i="3"/>
  <c r="BL311" i="3"/>
  <c r="G312" i="3"/>
  <c r="BA312" i="3"/>
  <c r="BL313" i="3"/>
  <c r="G314" i="3"/>
  <c r="BA314" i="3"/>
  <c r="AZ314" i="3" s="1"/>
  <c r="BL315" i="3"/>
  <c r="G316" i="3"/>
  <c r="BA316" i="3"/>
  <c r="BL317" i="3"/>
  <c r="AZ317" i="3" s="1"/>
  <c r="G318" i="3"/>
  <c r="BA320" i="3"/>
  <c r="AZ320" i="3" s="1"/>
  <c r="BL321" i="3"/>
  <c r="G322" i="3"/>
  <c r="BA324" i="3"/>
  <c r="AZ324" i="3"/>
  <c r="BL325" i="3"/>
  <c r="G326" i="3"/>
  <c r="BA328" i="3"/>
  <c r="BL329" i="3"/>
  <c r="G330" i="3"/>
  <c r="BA332" i="3"/>
  <c r="BL333" i="3"/>
  <c r="G334" i="3"/>
  <c r="BA336" i="3"/>
  <c r="AZ336" i="3" s="1"/>
  <c r="BL337" i="3"/>
  <c r="G338" i="3"/>
  <c r="BA340" i="3"/>
  <c r="AZ340" i="3"/>
  <c r="BL341" i="3"/>
  <c r="G342" i="3"/>
  <c r="BA344" i="3"/>
  <c r="AZ344" i="3" s="1"/>
  <c r="BL345" i="3"/>
  <c r="G346" i="3"/>
  <c r="BA348" i="3"/>
  <c r="BL349" i="3"/>
  <c r="AZ349" i="3" s="1"/>
  <c r="G350" i="3"/>
  <c r="BA352" i="3"/>
  <c r="AZ352" i="3" s="1"/>
  <c r="BL353" i="3"/>
  <c r="G354" i="3"/>
  <c r="BA356" i="3"/>
  <c r="AZ356" i="3"/>
  <c r="BL357" i="3"/>
  <c r="G358" i="3"/>
  <c r="BA362" i="3"/>
  <c r="AZ362" i="3" s="1"/>
  <c r="BL363" i="3"/>
  <c r="G364" i="3"/>
  <c r="BA366" i="3"/>
  <c r="BL367" i="3"/>
  <c r="AZ213" i="3"/>
  <c r="AZ217" i="3"/>
  <c r="AZ221" i="3"/>
  <c r="AZ233" i="3"/>
  <c r="AZ237" i="3"/>
  <c r="AZ241" i="3"/>
  <c r="AZ245" i="3"/>
  <c r="AZ321" i="3"/>
  <c r="AZ337" i="3"/>
  <c r="AZ353" i="3"/>
  <c r="G368" i="3"/>
  <c r="BA370" i="3"/>
  <c r="AZ370" i="3" s="1"/>
  <c r="BL371" i="3"/>
  <c r="AZ371" i="3" s="1"/>
  <c r="G372" i="3"/>
  <c r="BA374" i="3"/>
  <c r="AZ374" i="3"/>
  <c r="BL375" i="3"/>
  <c r="G376" i="3"/>
  <c r="BA378" i="3"/>
  <c r="AZ378" i="3" s="1"/>
  <c r="BL379" i="3"/>
  <c r="G380" i="3"/>
  <c r="BA382" i="3"/>
  <c r="BL383" i="3"/>
  <c r="G384" i="3"/>
  <c r="AZ249" i="3"/>
  <c r="AZ253" i="3"/>
  <c r="AZ257" i="3"/>
  <c r="AZ261" i="3"/>
  <c r="AZ265" i="3"/>
  <c r="AZ383" i="3"/>
  <c r="AZ270" i="3"/>
  <c r="AZ274" i="3"/>
  <c r="AZ278" i="3"/>
  <c r="AZ286" i="3"/>
  <c r="AZ290" i="3"/>
  <c r="AZ295" i="3"/>
  <c r="AZ311" i="3"/>
  <c r="AZ331" i="3"/>
  <c r="AZ339" i="3"/>
  <c r="AZ385" i="3"/>
  <c r="AZ390" i="3"/>
  <c r="AZ394" i="3"/>
  <c r="AZ398" i="3"/>
  <c r="AZ410" i="3"/>
  <c r="AZ414" i="3"/>
  <c r="AZ418" i="3"/>
  <c r="AZ422" i="3"/>
  <c r="AZ426" i="3"/>
  <c r="AZ430" i="3"/>
  <c r="AZ434" i="3"/>
  <c r="AZ438" i="3"/>
  <c r="AZ442" i="3"/>
  <c r="AZ450" i="3"/>
  <c r="AZ455" i="3"/>
  <c r="AZ459" i="3"/>
  <c r="AZ463" i="3"/>
  <c r="AZ475" i="3"/>
  <c r="AZ479"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AZ300" i="3"/>
  <c r="AZ322" i="3"/>
  <c r="H13" i="39"/>
  <c r="AB13" i="39" s="1"/>
  <c r="F13" i="39"/>
  <c r="J13" i="39"/>
  <c r="AC13" i="39"/>
  <c r="H11" i="37"/>
  <c r="AB11" i="37" s="1"/>
  <c r="W37" i="37"/>
  <c r="AA30" i="33"/>
  <c r="AA36" i="37"/>
  <c r="S42" i="33"/>
  <c r="U32" i="33"/>
  <c r="AZ508" i="3"/>
  <c r="AC29" i="33"/>
  <c r="AA45" i="33"/>
  <c r="AC11" i="36"/>
  <c r="AC10" i="36"/>
  <c r="S25" i="35"/>
  <c r="AC30" i="33"/>
  <c r="W30" i="33"/>
  <c r="AC29" i="37"/>
  <c r="W32" i="36"/>
  <c r="J33" i="34"/>
  <c r="AC33" i="34" s="1"/>
  <c r="AB36" i="34"/>
  <c r="J40" i="34"/>
  <c r="W40" i="34" s="1"/>
  <c r="F16" i="35"/>
  <c r="AA16" i="35" s="1"/>
  <c r="W42" i="33"/>
  <c r="J35" i="34"/>
  <c r="W35" i="34"/>
  <c r="F107" i="34"/>
  <c r="G107" i="34" s="1"/>
  <c r="H107" i="34" s="1"/>
  <c r="I107" i="34" s="1"/>
  <c r="J107" i="34"/>
  <c r="K107" i="34" s="1"/>
  <c r="L107" i="34" s="1"/>
  <c r="M107" i="34" s="1"/>
  <c r="S30" i="36"/>
  <c r="H16" i="36"/>
  <c r="AB16" i="36" s="1"/>
  <c r="H103" i="37"/>
  <c r="I103" i="37" s="1"/>
  <c r="J103" i="37" s="1"/>
  <c r="K103" i="37" s="1"/>
  <c r="L103" i="37" s="1"/>
  <c r="M103" i="37" s="1"/>
  <c r="H35" i="37"/>
  <c r="AB35" i="37" s="1"/>
  <c r="S26" i="21"/>
  <c r="AB12" i="21"/>
  <c r="H32" i="21"/>
  <c r="U32" i="21"/>
  <c r="AB26" i="21"/>
  <c r="U26" i="21"/>
  <c r="U39" i="21"/>
  <c r="W9" i="21"/>
  <c r="J32" i="21"/>
  <c r="AC32" i="21"/>
  <c r="F17" i="21"/>
  <c r="S17" i="21" s="1"/>
  <c r="H17" i="21"/>
  <c r="AB17" i="21" s="1"/>
  <c r="J17" i="21"/>
  <c r="AC17" i="21" s="1"/>
  <c r="H37" i="21"/>
  <c r="U37" i="21" s="1"/>
  <c r="F40" i="21"/>
  <c r="S40" i="21" s="1"/>
  <c r="H40" i="21"/>
  <c r="AB40" i="21"/>
  <c r="E119" i="21"/>
  <c r="F119" i="21" s="1"/>
  <c r="G119" i="21" s="1"/>
  <c r="H119" i="21"/>
  <c r="I119" i="21" s="1"/>
  <c r="J119" i="21" s="1"/>
  <c r="K119" i="21" s="1"/>
  <c r="L119" i="21" s="1"/>
  <c r="M119" i="21" s="1"/>
  <c r="AA8" i="33"/>
  <c r="S8" i="33"/>
  <c r="AC8" i="33"/>
  <c r="F10" i="33"/>
  <c r="AA10" i="33"/>
  <c r="F11" i="33"/>
  <c r="S11" i="33"/>
  <c r="J15" i="33"/>
  <c r="W15" i="33"/>
  <c r="H19" i="33"/>
  <c r="AB19" i="33" s="1"/>
  <c r="F32" i="33"/>
  <c r="AA32" i="33"/>
  <c r="J32" i="33"/>
  <c r="F35" i="33"/>
  <c r="AA35" i="33" s="1"/>
  <c r="AB39" i="34"/>
  <c r="F11" i="34"/>
  <c r="S11" i="34" s="1"/>
  <c r="E80" i="34"/>
  <c r="F80" i="34" s="1"/>
  <c r="H17" i="34"/>
  <c r="S12" i="35"/>
  <c r="AB28" i="35"/>
  <c r="U28" i="35"/>
  <c r="J13" i="33"/>
  <c r="W13" i="33"/>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J32" i="34"/>
  <c r="W32" i="34"/>
  <c r="H46" i="34"/>
  <c r="AB46" i="34"/>
  <c r="F46" i="34"/>
  <c r="AA46" i="34" s="1"/>
  <c r="J46" i="34"/>
  <c r="AC46" i="34" s="1"/>
  <c r="H11" i="35"/>
  <c r="J11" i="35"/>
  <c r="AC11" i="35"/>
  <c r="F96" i="37"/>
  <c r="H32" i="37"/>
  <c r="AB32" i="37" s="1"/>
  <c r="F19" i="39"/>
  <c r="S19" i="39" s="1"/>
  <c r="H19" i="39"/>
  <c r="J19" i="39"/>
  <c r="W19" i="39" s="1"/>
  <c r="F43" i="39"/>
  <c r="H43" i="39"/>
  <c r="U43" i="39"/>
  <c r="J43" i="39"/>
  <c r="W43" i="39" s="1"/>
  <c r="F99" i="37"/>
  <c r="AC27" i="37"/>
  <c r="U25" i="35"/>
  <c r="S45" i="34"/>
  <c r="U31" i="34"/>
  <c r="W40" i="37"/>
  <c r="W27" i="33"/>
  <c r="AA44" i="34"/>
  <c r="AB29" i="35"/>
  <c r="U29" i="35"/>
  <c r="AC19" i="33"/>
  <c r="W19" i="33"/>
  <c r="AB43" i="34"/>
  <c r="S35" i="37"/>
  <c r="AA35" i="37"/>
  <c r="AB10" i="35"/>
  <c r="AA32" i="21"/>
  <c r="S32" i="21"/>
  <c r="U38" i="21"/>
  <c r="AB34" i="21"/>
  <c r="BL571" i="3"/>
  <c r="BA571" i="3"/>
  <c r="AZ571" i="3"/>
  <c r="BL570" i="3"/>
  <c r="BE5"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AA33" i="39" s="1"/>
  <c r="H33" i="39"/>
  <c r="U33" i="39" s="1"/>
  <c r="J33" i="39"/>
  <c r="AC33" i="39" s="1"/>
  <c r="F44" i="39"/>
  <c r="S44" i="39"/>
  <c r="H44" i="39"/>
  <c r="U44" i="39"/>
  <c r="J44" i="39"/>
  <c r="W44" i="39" s="1"/>
  <c r="E128" i="39"/>
  <c r="F128" i="39"/>
  <c r="G128" i="39" s="1"/>
  <c r="H128" i="39"/>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c r="F39" i="39"/>
  <c r="H39" i="39"/>
  <c r="AB39" i="39" s="1"/>
  <c r="J39" i="39"/>
  <c r="AC39" i="39" s="1"/>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s="1"/>
  <c r="BA563" i="3"/>
  <c r="AZ563" i="3"/>
  <c r="BL554" i="3"/>
  <c r="AZ554" i="3"/>
  <c r="BA553" i="3"/>
  <c r="AZ553" i="3"/>
  <c r="BA552" i="3"/>
  <c r="AZ552" i="3" s="1"/>
  <c r="BL549" i="3"/>
  <c r="BA549" i="3"/>
  <c r="BL548" i="3"/>
  <c r="BA548" i="3"/>
  <c r="AZ548" i="3" s="1"/>
  <c r="BL547" i="3"/>
  <c r="BA547" i="3"/>
  <c r="BL539" i="3"/>
  <c r="BA539" i="3"/>
  <c r="BA538" i="3"/>
  <c r="AZ538" i="3" s="1"/>
  <c r="BL537" i="3"/>
  <c r="AZ537" i="3" s="1"/>
  <c r="BA537" i="3"/>
  <c r="BL536" i="3"/>
  <c r="AZ536" i="3" s="1"/>
  <c r="BA535" i="3"/>
  <c r="BA534" i="3"/>
  <c r="AZ534" i="3" s="1"/>
  <c r="BA533" i="3"/>
  <c r="AZ533" i="3" s="1"/>
  <c r="BL531" i="3"/>
  <c r="AZ531" i="3" s="1"/>
  <c r="BL530" i="3"/>
  <c r="BA530" i="3"/>
  <c r="BL529" i="3"/>
  <c r="BA529" i="3"/>
  <c r="BL528" i="3"/>
  <c r="AZ528" i="3" s="1"/>
  <c r="BA527" i="3"/>
  <c r="AZ527" i="3"/>
  <c r="BA526" i="3"/>
  <c r="AZ526" i="3" s="1"/>
  <c r="BA525" i="3"/>
  <c r="AZ525" i="3" s="1"/>
  <c r="BL523" i="3"/>
  <c r="AZ523" i="3" s="1"/>
  <c r="BA523" i="3"/>
  <c r="BL522" i="3"/>
  <c r="BA522" i="3"/>
  <c r="BL521" i="3"/>
  <c r="AZ521" i="3" s="1"/>
  <c r="BA519" i="3"/>
  <c r="AZ519" i="3" s="1"/>
  <c r="BL518" i="3"/>
  <c r="BA518" i="3"/>
  <c r="AZ518" i="3" s="1"/>
  <c r="BL517" i="3"/>
  <c r="BA517" i="3"/>
  <c r="AZ517" i="3" s="1"/>
  <c r="BL515" i="3"/>
  <c r="AZ515" i="3" s="1"/>
  <c r="BA515" i="3"/>
  <c r="BA514" i="3"/>
  <c r="AZ514" i="3" s="1"/>
  <c r="BL513" i="3"/>
  <c r="BA513" i="3"/>
  <c r="AZ513" i="3"/>
  <c r="BL512" i="3"/>
  <c r="AZ512" i="3"/>
  <c r="BA511" i="3"/>
  <c r="AZ511" i="3"/>
  <c r="BA510" i="3"/>
  <c r="AZ510" i="3" s="1"/>
  <c r="BL509" i="3"/>
  <c r="AZ509" i="3"/>
  <c r="BL507" i="3"/>
  <c r="BA507" i="3"/>
  <c r="AZ507" i="3" s="1"/>
  <c r="BL506" i="3"/>
  <c r="BA506" i="3"/>
  <c r="BL505" i="3"/>
  <c r="AZ505" i="3"/>
  <c r="BL504" i="3"/>
  <c r="BA504" i="3"/>
  <c r="AZ504" i="3" s="1"/>
  <c r="BA503" i="3"/>
  <c r="AZ503" i="3"/>
  <c r="BA500" i="3"/>
  <c r="AZ500" i="3" s="1"/>
  <c r="BL499" i="3"/>
  <c r="BA499" i="3"/>
  <c r="AZ499" i="3" s="1"/>
  <c r="BL498" i="3"/>
  <c r="AZ498" i="3" s="1"/>
  <c r="BL497" i="3"/>
  <c r="BA497" i="3"/>
  <c r="BL496" i="3"/>
  <c r="BA496" i="3"/>
  <c r="AZ496" i="3"/>
  <c r="BA495" i="3"/>
  <c r="AZ495" i="3"/>
  <c r="BL494" i="3"/>
  <c r="BA494" i="3"/>
  <c r="AZ494" i="3"/>
  <c r="G494" i="3"/>
  <c r="BA491" i="3"/>
  <c r="AZ491" i="3"/>
  <c r="BL490" i="3"/>
  <c r="BA490" i="3"/>
  <c r="AZ490" i="3" s="1"/>
  <c r="BL489" i="3"/>
  <c r="BA489" i="3"/>
  <c r="AZ489" i="3" s="1"/>
  <c r="BL487" i="3"/>
  <c r="AZ487" i="3"/>
  <c r="BL486" i="3"/>
  <c r="BA486" i="3"/>
  <c r="AZ486" i="3" s="1"/>
  <c r="BA485" i="3"/>
  <c r="AZ485" i="3"/>
  <c r="BA483" i="3"/>
  <c r="AZ483" i="3" s="1"/>
  <c r="BA482" i="3"/>
  <c r="AZ482" i="3"/>
  <c r="BL481" i="3"/>
  <c r="BJ5" i="3"/>
  <c r="BA481" i="3"/>
  <c r="AZ481" i="3"/>
  <c r="BB5" i="3"/>
  <c r="BL19" i="3"/>
  <c r="BA18" i="3"/>
  <c r="F36" i="44"/>
  <c r="F114" i="34"/>
  <c r="G114" i="34" s="1"/>
  <c r="H114" i="34"/>
  <c r="I114" i="34"/>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F34" i="33"/>
  <c r="E121" i="33"/>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W14" i="39" s="1"/>
  <c r="F16" i="39"/>
  <c r="AA16" i="39"/>
  <c r="H16" i="39"/>
  <c r="U16" i="39"/>
  <c r="J16" i="39"/>
  <c r="AC16" i="39"/>
  <c r="F23" i="39"/>
  <c r="S23" i="39" s="1"/>
  <c r="E97" i="39"/>
  <c r="F27" i="39"/>
  <c r="AA27" i="39" s="1"/>
  <c r="H27" i="39"/>
  <c r="AB27" i="39" s="1"/>
  <c r="J27" i="39"/>
  <c r="AC27" i="39" s="1"/>
  <c r="F15" i="40"/>
  <c r="AA15" i="40" s="1"/>
  <c r="J15" i="40"/>
  <c r="W15" i="40" s="1"/>
  <c r="H15" i="40"/>
  <c r="AB15" i="40"/>
  <c r="E92" i="40"/>
  <c r="F92" i="40"/>
  <c r="G92" i="40" s="1"/>
  <c r="H23" i="40"/>
  <c r="U23" i="40" s="1"/>
  <c r="H41" i="40"/>
  <c r="AB41" i="40"/>
  <c r="F41" i="40"/>
  <c r="AA41" i="40"/>
  <c r="J41" i="40"/>
  <c r="W41" i="40" s="1"/>
  <c r="H36" i="33"/>
  <c r="U36" i="33" s="1"/>
  <c r="AB36" i="33"/>
  <c r="H37" i="34"/>
  <c r="F15" i="39"/>
  <c r="AA15" i="39"/>
  <c r="H15" i="39"/>
  <c r="U15" i="39"/>
  <c r="J15" i="39"/>
  <c r="W15" i="39" s="1"/>
  <c r="AC15" i="39"/>
  <c r="H25" i="39"/>
  <c r="AB25" i="39" s="1"/>
  <c r="J25" i="39"/>
  <c r="AC25" i="39"/>
  <c r="F25" i="39"/>
  <c r="AA25" i="39"/>
  <c r="F45" i="39"/>
  <c r="AA45" i="39"/>
  <c r="H45" i="39"/>
  <c r="U45" i="39" s="1"/>
  <c r="J45" i="39"/>
  <c r="AC45" i="39"/>
  <c r="F47" i="39"/>
  <c r="AA47" i="39"/>
  <c r="H47" i="39"/>
  <c r="AB47" i="39"/>
  <c r="J47" i="39"/>
  <c r="AC47" i="39" s="1"/>
  <c r="F41" i="39"/>
  <c r="AA41" i="39"/>
  <c r="H41" i="39"/>
  <c r="AB41" i="39"/>
  <c r="J41" i="39"/>
  <c r="AC41" i="39"/>
  <c r="E94" i="40"/>
  <c r="J25" i="40"/>
  <c r="AC25" i="40" s="1"/>
  <c r="J32" i="40"/>
  <c r="H32" i="40"/>
  <c r="U32" i="40" s="1"/>
  <c r="H33" i="40"/>
  <c r="AB33" i="40"/>
  <c r="F33" i="40"/>
  <c r="J33" i="40"/>
  <c r="AC33" i="40" s="1"/>
  <c r="H35" i="40"/>
  <c r="AB35" i="40" s="1"/>
  <c r="F35" i="40"/>
  <c r="AA35" i="40"/>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U16" i="40" s="1"/>
  <c r="AB16" i="40"/>
  <c r="H14" i="40"/>
  <c r="F32" i="40"/>
  <c r="AA32" i="40" s="1"/>
  <c r="AZ401" i="3"/>
  <c r="AZ428" i="3"/>
  <c r="AZ433" i="3"/>
  <c r="AZ436" i="3"/>
  <c r="AZ441" i="3"/>
  <c r="AZ452" i="3"/>
  <c r="M1" i="46"/>
  <c r="M6" i="46"/>
  <c r="M10" i="46"/>
  <c r="N2" i="46"/>
  <c r="N5" i="46"/>
  <c r="N7" i="46"/>
  <c r="AZ458" i="3"/>
  <c r="AZ207" i="3"/>
  <c r="AZ220" i="3"/>
  <c r="AZ223" i="3"/>
  <c r="AZ228" i="3"/>
  <c r="AZ231" i="3"/>
  <c r="AZ236" i="3"/>
  <c r="AZ239" i="3"/>
  <c r="AZ244" i="3"/>
  <c r="AZ247" i="3"/>
  <c r="AZ252" i="3"/>
  <c r="AZ255" i="3"/>
  <c r="AZ260" i="3"/>
  <c r="AZ263" i="3"/>
  <c r="AZ268" i="3"/>
  <c r="AZ273" i="3"/>
  <c r="AZ276" i="3"/>
  <c r="AZ281" i="3"/>
  <c r="AZ289" i="3"/>
  <c r="AZ292" i="3"/>
  <c r="AZ137" i="3"/>
  <c r="AZ140" i="3"/>
  <c r="AZ152" i="3"/>
  <c r="M7" i="46"/>
  <c r="M11" i="46"/>
  <c r="N3" i="46"/>
  <c r="N6" i="46"/>
  <c r="N10" i="46"/>
  <c r="AZ180" i="3"/>
  <c r="AZ48" i="3"/>
  <c r="AZ71" i="3"/>
  <c r="AZ99" i="3"/>
  <c r="J13" i="40"/>
  <c r="W13" i="40"/>
  <c r="W35" i="40"/>
  <c r="S47" i="39"/>
  <c r="U37" i="34"/>
  <c r="AB37" i="34"/>
  <c r="AC41" i="40"/>
  <c r="U41" i="40"/>
  <c r="J23" i="40"/>
  <c r="AC23" i="40"/>
  <c r="F23" i="40"/>
  <c r="S23" i="40"/>
  <c r="AB16" i="39"/>
  <c r="U23" i="35"/>
  <c r="AB23" i="35"/>
  <c r="H20" i="35"/>
  <c r="U20" i="35" s="1"/>
  <c r="F20" i="35"/>
  <c r="S20" i="35"/>
  <c r="H15" i="34"/>
  <c r="AB15" i="34"/>
  <c r="G78" i="34"/>
  <c r="J15" i="34"/>
  <c r="W15" i="34" s="1"/>
  <c r="H41" i="33"/>
  <c r="U41" i="33" s="1"/>
  <c r="F121" i="33"/>
  <c r="G121" i="33" s="1"/>
  <c r="H121" i="33" s="1"/>
  <c r="I121" i="33" s="1"/>
  <c r="J121" i="33" s="1"/>
  <c r="K121" i="33" s="1"/>
  <c r="L121" i="33" s="1"/>
  <c r="M121" i="33" s="1"/>
  <c r="F30" i="40"/>
  <c r="AA30" i="40" s="1"/>
  <c r="H100" i="40"/>
  <c r="I100" i="40" s="1"/>
  <c r="J100" i="40"/>
  <c r="K100" i="40"/>
  <c r="L100" i="40" s="1"/>
  <c r="M100" i="40" s="1"/>
  <c r="AB38" i="34"/>
  <c r="AZ497" i="3"/>
  <c r="AZ529"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AA11" i="34"/>
  <c r="H15" i="33"/>
  <c r="U15" i="33"/>
  <c r="AA11" i="33"/>
  <c r="AA40" i="21"/>
  <c r="U17" i="21"/>
  <c r="S13" i="39"/>
  <c r="AA13" i="39"/>
  <c r="W34" i="40"/>
  <c r="AB34" i="40"/>
  <c r="AB42" i="40"/>
  <c r="AC16" i="40"/>
  <c r="H25" i="40"/>
  <c r="AB25" i="40" s="1"/>
  <c r="F94" i="40"/>
  <c r="G94" i="40" s="1"/>
  <c r="U47" i="39"/>
  <c r="J37" i="34"/>
  <c r="J36" i="33"/>
  <c r="W36" i="33" s="1"/>
  <c r="S41" i="40"/>
  <c r="U27" i="39"/>
  <c r="H23" i="39"/>
  <c r="AB23" i="39"/>
  <c r="J23" i="39"/>
  <c r="AC23" i="39"/>
  <c r="F97" i="39"/>
  <c r="G97" i="39"/>
  <c r="S16" i="39"/>
  <c r="S15" i="34"/>
  <c r="AA41" i="33"/>
  <c r="F106" i="33"/>
  <c r="G106" i="33" s="1"/>
  <c r="H106" i="33"/>
  <c r="I106" i="33"/>
  <c r="J106" i="33" s="1"/>
  <c r="K106" i="33" s="1"/>
  <c r="L106" i="33" s="1"/>
  <c r="M106" i="33" s="1"/>
  <c r="J34" i="33"/>
  <c r="U30" i="40"/>
  <c r="AA37" i="39"/>
  <c r="W29" i="35"/>
  <c r="W39" i="39"/>
  <c r="AA39" i="39"/>
  <c r="S39" i="39"/>
  <c r="U34" i="39"/>
  <c r="AB29" i="39"/>
  <c r="AB46" i="39"/>
  <c r="AB44" i="39"/>
  <c r="S33" i="39"/>
  <c r="U11" i="36"/>
  <c r="F80" i="35"/>
  <c r="G80" i="35"/>
  <c r="H80" i="35" s="1"/>
  <c r="I80" i="35"/>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AC11" i="34" s="1"/>
  <c r="S17" i="34"/>
  <c r="AC36" i="33"/>
  <c r="F25" i="40"/>
  <c r="AA25" i="40"/>
  <c r="J11" i="33"/>
  <c r="W11" i="33"/>
  <c r="H33" i="37"/>
  <c r="AB33" i="37" s="1"/>
  <c r="AC15" i="34"/>
  <c r="W23" i="40"/>
  <c r="AP11" i="1"/>
  <c r="B11" i="1"/>
  <c r="E11" i="1" s="1"/>
  <c r="K11" i="1"/>
  <c r="M11" i="1" s="1"/>
  <c r="O11" i="1" s="1"/>
  <c r="P11" i="1" s="1"/>
  <c r="B9" i="1"/>
  <c r="E9" i="1" s="1"/>
  <c r="K9" i="1"/>
  <c r="M9" i="1" s="1"/>
  <c r="B7" i="1"/>
  <c r="E7" i="1"/>
  <c r="K7" i="1"/>
  <c r="M7" i="1" s="1"/>
  <c r="O7" i="1" s="1"/>
  <c r="P7" i="1" s="1"/>
  <c r="F6" i="1"/>
  <c r="M22" i="44"/>
  <c r="AC25" i="36"/>
  <c r="S23" i="36"/>
  <c r="S8"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H99" i="37"/>
  <c r="I99" i="37"/>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W39" i="33"/>
  <c r="U35" i="33"/>
  <c r="AB26" i="33"/>
  <c r="H25" i="33"/>
  <c r="AB25" i="33" s="1"/>
  <c r="J25" i="33"/>
  <c r="F87" i="33"/>
  <c r="G87" i="33" s="1"/>
  <c r="H87" i="33"/>
  <c r="I87" i="33" s="1"/>
  <c r="J87" i="33" s="1"/>
  <c r="K87" i="33" s="1"/>
  <c r="L87" i="33" s="1"/>
  <c r="M87" i="33" s="1"/>
  <c r="F25" i="33"/>
  <c r="F85" i="33"/>
  <c r="G85" i="33"/>
  <c r="J23" i="33"/>
  <c r="F23" i="33"/>
  <c r="H23" i="33"/>
  <c r="U23" i="33" s="1"/>
  <c r="U19" i="33"/>
  <c r="F79" i="33"/>
  <c r="G79" i="33" s="1"/>
  <c r="F17" i="33"/>
  <c r="H17" i="33"/>
  <c r="J17" i="33"/>
  <c r="AB15" i="33"/>
  <c r="AC11"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c r="J23" i="21"/>
  <c r="W23" i="21"/>
  <c r="F23" i="21"/>
  <c r="AA23" i="21" s="1"/>
  <c r="H23" i="21"/>
  <c r="AA17" i="21"/>
  <c r="W17" i="21"/>
  <c r="F15" i="21"/>
  <c r="S15" i="21"/>
  <c r="F77" i="21"/>
  <c r="G77" i="21"/>
  <c r="J15" i="21"/>
  <c r="AC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A18" i="64"/>
  <c r="B74" i="63"/>
  <c r="C53" i="10"/>
  <c r="A25" i="64" s="1"/>
  <c r="A18" i="51"/>
  <c r="B14" i="63"/>
  <c r="BA16" i="3"/>
  <c r="BA17" i="3"/>
  <c r="AZ17" i="3" s="1"/>
  <c r="F3" i="35"/>
  <c r="K1" i="43"/>
  <c r="K1" i="12"/>
  <c r="G1" i="44"/>
  <c r="BK5" i="3"/>
  <c r="BO5" i="3"/>
  <c r="BP5" i="3"/>
  <c r="G29" i="6" s="1"/>
  <c r="BN5" i="3"/>
  <c r="BL18" i="3"/>
  <c r="AZ18" i="3" s="1"/>
  <c r="BR5" i="3"/>
  <c r="BS5" i="3"/>
  <c r="BQ5" i="3"/>
  <c r="BL16" i="3"/>
  <c r="BM5" i="3"/>
  <c r="BA13" i="3"/>
  <c r="G28" i="12"/>
  <c r="D24" i="44"/>
  <c r="D26" i="44"/>
  <c r="N8" i="46"/>
  <c r="N4" i="46"/>
  <c r="N1" i="46"/>
  <c r="F69" i="46" s="1"/>
  <c r="F47" i="46"/>
  <c r="H52" i="46" s="1"/>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c r="A4" i="64"/>
  <c r="A4" i="51"/>
  <c r="B6" i="63" s="1"/>
  <c r="C51" i="10"/>
  <c r="I100" i="46"/>
  <c r="N100" i="46"/>
  <c r="H100" i="46"/>
  <c r="F108" i="46"/>
  <c r="E100" i="46"/>
  <c r="G100" i="46"/>
  <c r="C100" i="46"/>
  <c r="J100" i="46"/>
  <c r="M100" i="46"/>
  <c r="AA12" i="36"/>
  <c r="W11" i="35"/>
  <c r="AA11" i="35"/>
  <c r="S14" i="37"/>
  <c r="U13" i="37"/>
  <c r="S13" i="21"/>
  <c r="C24" i="9"/>
  <c r="C25" i="9"/>
  <c r="L5" i="54"/>
  <c r="B39" i="63"/>
  <c r="K5" i="54"/>
  <c r="B38" i="63" s="1"/>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10" i="48"/>
  <c r="H83" i="46"/>
  <c r="K10" i="1"/>
  <c r="M10" i="1" s="1"/>
  <c r="O10" i="1" s="1"/>
  <c r="P10" i="1" s="1"/>
  <c r="S11" i="1"/>
  <c r="R11" i="1"/>
  <c r="S13" i="1"/>
  <c r="R13" i="1"/>
  <c r="B6" i="1"/>
  <c r="E6" i="1" s="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23" i="33"/>
  <c r="W23" i="33"/>
  <c r="AC23" i="33"/>
  <c r="S23" i="33"/>
  <c r="AA23" i="33"/>
  <c r="W17" i="33"/>
  <c r="AC17" i="33"/>
  <c r="AA17" i="33"/>
  <c r="S17" i="33"/>
  <c r="U17" i="33"/>
  <c r="AB17" i="33"/>
  <c r="U23" i="21"/>
  <c r="AB23" i="21"/>
  <c r="U15" i="21"/>
  <c r="AB15" i="21"/>
  <c r="AB39" i="40"/>
  <c r="U39" i="40"/>
  <c r="AC39" i="40"/>
  <c r="W39" i="40"/>
  <c r="AA39" i="40"/>
  <c r="S39" i="40"/>
  <c r="U37" i="40"/>
  <c r="AB37" i="40"/>
  <c r="AA37" i="40"/>
  <c r="S37" i="40"/>
  <c r="AC29" i="40"/>
  <c r="W29" i="40"/>
  <c r="S29" i="40"/>
  <c r="W19" i="40"/>
  <c r="AC19" i="40"/>
  <c r="W27" i="40"/>
  <c r="W31" i="39"/>
  <c r="AC31" i="39"/>
  <c r="B20" i="31"/>
  <c r="R22" i="31"/>
  <c r="B21" i="31"/>
  <c r="A17" i="51"/>
  <c r="B13" i="63"/>
  <c r="E5" i="6"/>
  <c r="D12" i="11" s="1"/>
  <c r="C12" i="11" s="1"/>
  <c r="AT6" i="3"/>
  <c r="A9" i="64"/>
  <c r="A3" i="55"/>
  <c r="B56" i="63" s="1"/>
  <c r="E4" i="4"/>
  <c r="B21" i="55" s="1"/>
  <c r="B72" i="63" s="1"/>
  <c r="C4" i="4"/>
  <c r="B20" i="55" s="1"/>
  <c r="B70" i="63" s="1"/>
  <c r="J18" i="36"/>
  <c r="W18" i="36" s="1"/>
  <c r="AG6" i="1"/>
  <c r="L20" i="6"/>
  <c r="S9" i="1"/>
  <c r="R9" i="1"/>
  <c r="C45" i="9"/>
  <c r="H14" i="66"/>
  <c r="B7" i="66"/>
  <c r="C44" i="9"/>
  <c r="O40" i="9"/>
  <c r="K31" i="9"/>
  <c r="K32" i="9" s="1"/>
  <c r="R7" i="54"/>
  <c r="B52" i="63"/>
  <c r="K29" i="9"/>
  <c r="K30" i="9"/>
  <c r="N76" i="9"/>
  <c r="C46" i="9"/>
  <c r="K33" i="9"/>
  <c r="O41" i="9"/>
  <c r="R8" i="54" s="1"/>
  <c r="B54" i="63" s="1"/>
  <c r="I14" i="66"/>
  <c r="B8" i="66" s="1"/>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M26" i="44"/>
  <c r="N7" i="65"/>
  <c r="D20" i="9"/>
  <c r="J5" i="65"/>
  <c r="I4" i="65"/>
  <c r="F12" i="67"/>
  <c r="F9" i="44"/>
  <c r="M30" i="44"/>
  <c r="B14" i="67"/>
  <c r="J6" i="65"/>
  <c r="E10" i="67"/>
  <c r="L48" i="75"/>
  <c r="L48" i="15"/>
  <c r="F13" i="67"/>
  <c r="M28" i="44"/>
  <c r="M10" i="44"/>
  <c r="C20" i="9"/>
  <c r="F36" i="15"/>
  <c r="F8" i="67"/>
  <c r="J17" i="44"/>
  <c r="F8" i="44"/>
  <c r="F13" i="15"/>
  <c r="E12" i="67"/>
  <c r="J7" i="65"/>
  <c r="B12" i="67"/>
  <c r="J3" i="65"/>
  <c r="M8" i="15"/>
  <c r="N6" i="65"/>
  <c r="F14" i="67"/>
  <c r="E14" i="67"/>
  <c r="F28" i="44"/>
  <c r="E13" i="67"/>
  <c r="I5" i="65"/>
  <c r="L48" i="44"/>
  <c r="I3" i="65"/>
  <c r="F45" i="44"/>
  <c r="N4" i="65"/>
  <c r="F11" i="67"/>
  <c r="M29" i="44"/>
  <c r="N3" i="65"/>
  <c r="B9" i="67"/>
  <c r="E11" i="67"/>
  <c r="F38" i="44"/>
  <c r="C19" i="9"/>
  <c r="D21" i="9"/>
  <c r="B8" i="67"/>
  <c r="B10" i="67"/>
  <c r="M11" i="44"/>
  <c r="D19" i="9"/>
  <c r="M25" i="44"/>
  <c r="N5" i="65"/>
  <c r="F10" i="67"/>
  <c r="F10" i="44"/>
  <c r="J4" i="65"/>
  <c r="E8" i="67"/>
  <c r="I6" i="65"/>
  <c r="M31" i="44"/>
  <c r="F46" i="44"/>
  <c r="L48" i="76"/>
  <c r="B13" i="67"/>
  <c r="C21" i="9"/>
  <c r="M23" i="15"/>
  <c r="F15" i="44"/>
  <c r="B11" i="67"/>
  <c r="F18" i="44"/>
  <c r="F43" i="44"/>
  <c r="M8" i="44"/>
  <c r="E9" i="67"/>
  <c r="L49" i="44"/>
  <c r="F11" i="44"/>
  <c r="F9" i="67"/>
  <c r="F39" i="44"/>
  <c r="F40" i="44"/>
  <c r="M24" i="44"/>
  <c r="I7" i="65"/>
  <c r="E58" i="46" l="1"/>
  <c r="B56" i="46" s="1"/>
  <c r="C24" i="46" s="1"/>
  <c r="L56" i="75"/>
  <c r="J53" i="75"/>
  <c r="J57" i="75"/>
  <c r="J55" i="75" s="1"/>
  <c r="J58" i="75" s="1"/>
  <c r="Q51" i="75" s="1"/>
  <c r="I54" i="75"/>
  <c r="J59" i="75"/>
  <c r="J60" i="75"/>
  <c r="Q49" i="75" s="1"/>
  <c r="L58" i="75"/>
  <c r="L56" i="76"/>
  <c r="J53" i="76"/>
  <c r="J60" i="76"/>
  <c r="Q49" i="76" s="1"/>
  <c r="J57" i="76"/>
  <c r="J55" i="76" s="1"/>
  <c r="J58" i="76" s="1"/>
  <c r="Q51" i="76" s="1"/>
  <c r="I54" i="76"/>
  <c r="J59" i="76"/>
  <c r="L46" i="76"/>
  <c r="L58" i="76"/>
  <c r="AP6" i="1"/>
  <c r="A26" i="64"/>
  <c r="P25" i="74"/>
  <c r="P24" i="74"/>
  <c r="P21" i="74"/>
  <c r="P22" i="74"/>
  <c r="P25" i="73"/>
  <c r="P21" i="73"/>
  <c r="P23" i="74"/>
  <c r="P23" i="73"/>
  <c r="P24" i="73"/>
  <c r="P22" i="73"/>
  <c r="AP8" i="1"/>
  <c r="I20" i="73"/>
  <c r="I20" i="74"/>
  <c r="BA21" i="3"/>
  <c r="AZ21" i="3" s="1"/>
  <c r="BA15" i="3"/>
  <c r="AZ15" i="3" s="1"/>
  <c r="BC5" i="3"/>
  <c r="BA30" i="3"/>
  <c r="AZ30" i="3" s="1"/>
  <c r="BA14" i="3"/>
  <c r="AZ14" i="3" s="1"/>
  <c r="BL20" i="3"/>
  <c r="F28" i="6"/>
  <c r="AZ19" i="3"/>
  <c r="BD5" i="3"/>
  <c r="BL14" i="3"/>
  <c r="F29" i="6"/>
  <c r="E29" i="6" s="1"/>
  <c r="K15" i="1" s="1"/>
  <c r="E20" i="74"/>
  <c r="E20" i="73"/>
  <c r="G7" i="1"/>
  <c r="N16" i="4"/>
  <c r="H85" i="46"/>
  <c r="H87" i="46"/>
  <c r="H84" i="46"/>
  <c r="H82" i="46"/>
  <c r="H86" i="46"/>
  <c r="H80" i="46"/>
  <c r="F58" i="46"/>
  <c r="H64" i="46" s="1"/>
  <c r="G27" i="12"/>
  <c r="G26" i="12"/>
  <c r="H54" i="46"/>
  <c r="H48" i="46"/>
  <c r="H55" i="46"/>
  <c r="H53" i="46"/>
  <c r="H50" i="46"/>
  <c r="H49" i="46"/>
  <c r="H47" i="46"/>
  <c r="H51" i="46"/>
  <c r="U29" i="40"/>
  <c r="AB29" i="40"/>
  <c r="W25" i="33"/>
  <c r="AC25" i="33"/>
  <c r="AC37" i="40"/>
  <c r="W37" i="40"/>
  <c r="C17" i="59"/>
  <c r="C16" i="59" s="1"/>
  <c r="D18" i="59"/>
  <c r="G14" i="66"/>
  <c r="B6" i="66" s="1"/>
  <c r="O39" i="9"/>
  <c r="R6" i="54" s="1"/>
  <c r="B50" i="63" s="1"/>
  <c r="K34" i="9"/>
  <c r="C7" i="46"/>
  <c r="N69" i="9"/>
  <c r="AB19" i="40"/>
  <c r="U19" i="40"/>
  <c r="AB32" i="40"/>
  <c r="AZ506" i="3"/>
  <c r="AZ522" i="3"/>
  <c r="AZ539" i="3"/>
  <c r="AZ308" i="3"/>
  <c r="AZ303" i="3"/>
  <c r="AC34" i="33"/>
  <c r="W34" i="33"/>
  <c r="AB23" i="40"/>
  <c r="AA33" i="40"/>
  <c r="S33" i="40"/>
  <c r="AA34" i="33"/>
  <c r="S34" i="33"/>
  <c r="AZ16" i="3"/>
  <c r="W15" i="21"/>
  <c r="AC14" i="40"/>
  <c r="AB34" i="33"/>
  <c r="U34" i="33"/>
  <c r="AA32" i="34"/>
  <c r="S32" i="34"/>
  <c r="AB17" i="34"/>
  <c r="U17" i="34"/>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AZ192" i="3"/>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20"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BT5" i="3"/>
  <c r="G28" i="6" s="1"/>
  <c r="BI5" i="3"/>
  <c r="H9" i="35"/>
  <c r="F9" i="35"/>
  <c r="BH5" i="3"/>
  <c r="AA8" i="21"/>
  <c r="AB38" i="33"/>
  <c r="BG5" i="3"/>
  <c r="H5" i="3"/>
  <c r="BF5" i="3"/>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AZ319" i="3" s="1"/>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BA22" i="3"/>
  <c r="AZ22" i="3" s="1"/>
  <c r="AZ26" i="3"/>
  <c r="BA28" i="3"/>
  <c r="AZ28" i="3" s="1"/>
  <c r="BL36" i="3"/>
  <c r="AZ36" i="3" s="1"/>
  <c r="AZ45" i="3"/>
  <c r="BL53" i="3"/>
  <c r="AZ53" i="3" s="1"/>
  <c r="BL77" i="3"/>
  <c r="BL287" i="3"/>
  <c r="AZ287" i="3" s="1"/>
  <c r="AZ186" i="3"/>
  <c r="AZ80" i="3"/>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AZ81" i="3" s="1"/>
  <c r="BA92" i="3"/>
  <c r="AZ92" i="3" s="1"/>
  <c r="BA110" i="3"/>
  <c r="AZ110" i="3" s="1"/>
  <c r="I21" i="57"/>
  <c r="D1" i="57"/>
  <c r="E10" i="57" s="1"/>
  <c r="BA51" i="3"/>
  <c r="AZ51" i="3" s="1"/>
  <c r="G61" i="3"/>
  <c r="BL69" i="3"/>
  <c r="AZ69" i="3" s="1"/>
  <c r="BL78" i="3"/>
  <c r="BL80" i="3"/>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E56" i="59"/>
  <c r="E57" i="59" s="1"/>
  <c r="U57" i="59" s="1"/>
  <c r="A28" i="64"/>
  <c r="S27" i="40"/>
  <c r="D53" i="59"/>
  <c r="D29" i="59"/>
  <c r="D40" i="59"/>
  <c r="O64" i="59"/>
  <c r="AB28" i="59"/>
  <c r="X32" i="59"/>
  <c r="Y35" i="59"/>
  <c r="Z35" i="59" s="1"/>
  <c r="B52" i="59"/>
  <c r="B53" i="59" s="1"/>
  <c r="S53" i="59" s="1"/>
  <c r="F56" i="59"/>
  <c r="F57" i="59" s="1"/>
  <c r="V57" i="59" s="1"/>
  <c r="B37" i="59"/>
  <c r="S37" i="59" s="1"/>
  <c r="AA35" i="59"/>
  <c r="Y27" i="59"/>
  <c r="Z27" i="59" s="1"/>
  <c r="Y29" i="59"/>
  <c r="Z29" i="59" s="1"/>
  <c r="AA32" i="59"/>
  <c r="X34" i="59"/>
  <c r="AB35" i="59"/>
  <c r="F48" i="59"/>
  <c r="F49" i="59" s="1"/>
  <c r="V49" i="59" s="1"/>
  <c r="K76" i="9"/>
  <c r="D23" i="15"/>
  <c r="Q65" i="59"/>
  <c r="AA27" i="59"/>
  <c r="AB30" i="59"/>
  <c r="F16" i="59"/>
  <c r="F15" i="59" s="1"/>
  <c r="F14" i="59" s="1"/>
  <c r="F13" i="59" s="1"/>
  <c r="V17" i="59"/>
  <c r="B16" i="59"/>
  <c r="B15" i="59" s="1"/>
  <c r="B14" i="59" s="1"/>
  <c r="S17" i="59"/>
  <c r="AB26" i="59"/>
  <c r="F27" i="59"/>
  <c r="F28" i="59" s="1"/>
  <c r="F29" i="59" s="1"/>
  <c r="V29" i="59" s="1"/>
  <c r="AA26" i="59"/>
  <c r="AA3"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12" i="59"/>
  <c r="X11" i="59"/>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X10" i="59"/>
  <c r="Y10" i="59"/>
  <c r="Z10" i="59" s="1"/>
  <c r="Y11" i="59"/>
  <c r="Z11" i="59" s="1"/>
  <c r="G13" i="1"/>
  <c r="D96" i="9"/>
  <c r="B41" i="1"/>
  <c r="AP7" i="1"/>
  <c r="G9" i="1"/>
  <c r="G10" i="1"/>
  <c r="K17" i="4"/>
  <c r="A22" i="51" s="1"/>
  <c r="B16" i="63" s="1"/>
  <c r="D70" i="39"/>
  <c r="C72" i="39"/>
  <c r="C67" i="40"/>
  <c r="D65" i="40"/>
  <c r="G17" i="46"/>
  <c r="C16" i="46" s="1"/>
  <c r="D5" i="46" s="1"/>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O8" i="1"/>
  <c r="P8" i="1" s="1"/>
  <c r="AZ13" i="3"/>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I1" i="65"/>
  <c r="M9" i="44"/>
  <c r="J8" i="44" s="1"/>
  <c r="L60" i="44"/>
  <c r="L59" i="44"/>
  <c r="J53" i="15"/>
  <c r="J57" i="15"/>
  <c r="J55" i="15" s="1"/>
  <c r="J58" i="15" s="1"/>
  <c r="Q51" i="15" s="1"/>
  <c r="I54" i="15"/>
  <c r="L56" i="15"/>
  <c r="I55" i="44"/>
  <c r="J54" i="44"/>
  <c r="L57" i="44"/>
  <c r="J58" i="44"/>
  <c r="J56" i="44" s="1"/>
  <c r="J59" i="44" s="1"/>
  <c r="Q52" i="44" s="1"/>
  <c r="J60" i="44"/>
  <c r="J61" i="44"/>
  <c r="Q50" i="44" s="1"/>
  <c r="F63" i="15"/>
  <c r="C4" i="65"/>
  <c r="B39" i="1" s="1"/>
  <c r="F40" i="15"/>
  <c r="F8" i="15"/>
  <c r="C15" i="43"/>
  <c r="J36" i="15"/>
  <c r="C18" i="44"/>
  <c r="F37" i="15"/>
  <c r="L47" i="15"/>
  <c r="E3" i="65"/>
  <c r="M28" i="15"/>
  <c r="M6" i="15"/>
  <c r="J15" i="15"/>
  <c r="F9" i="15"/>
  <c r="M9" i="15"/>
  <c r="M26" i="15"/>
  <c r="M22" i="15"/>
  <c r="F26" i="15"/>
  <c r="D21" i="12"/>
  <c r="F42" i="15"/>
  <c r="F6" i="15"/>
  <c r="F16" i="15"/>
  <c r="F38" i="15"/>
  <c r="M27" i="15"/>
  <c r="M24" i="15"/>
  <c r="E2" i="65"/>
  <c r="M18" i="15" l="1"/>
  <c r="F24" i="78"/>
  <c r="F24" i="77"/>
  <c r="F32" i="76"/>
  <c r="F28" i="75"/>
  <c r="C28" i="75" s="1"/>
  <c r="M18" i="75"/>
  <c r="J18" i="75" s="1"/>
  <c r="F28" i="76"/>
  <c r="C28" i="76" s="1"/>
  <c r="M18" i="76"/>
  <c r="J18" i="76" s="1"/>
  <c r="F32" i="75"/>
  <c r="Q61" i="76"/>
  <c r="Q74" i="76"/>
  <c r="F1" i="76"/>
  <c r="Q53" i="76"/>
  <c r="Q61" i="75"/>
  <c r="Q74" i="75"/>
  <c r="F1" i="75"/>
  <c r="Q53" i="75"/>
  <c r="L46" i="75"/>
  <c r="C19" i="74"/>
  <c r="C19" i="73"/>
  <c r="M11" i="76"/>
  <c r="J10" i="76" s="1"/>
  <c r="J5" i="76" s="1"/>
  <c r="F11" i="76"/>
  <c r="M11" i="75"/>
  <c r="J10" i="75" s="1"/>
  <c r="J5" i="75" s="1"/>
  <c r="F11" i="75"/>
  <c r="E10" i="6"/>
  <c r="E8" i="6"/>
  <c r="E53" i="40" s="1"/>
  <c r="E13" i="6"/>
  <c r="E60" i="40" s="1"/>
  <c r="F30" i="6"/>
  <c r="E15" i="6"/>
  <c r="E67" i="39" s="1"/>
  <c r="E14" i="6"/>
  <c r="E61" i="40" s="1"/>
  <c r="E12" i="6"/>
  <c r="E59" i="40" s="1"/>
  <c r="P28" i="74"/>
  <c r="O28" i="74"/>
  <c r="N28" i="74"/>
  <c r="M28" i="74"/>
  <c r="P28" i="73"/>
  <c r="O28" i="73"/>
  <c r="N28" i="73"/>
  <c r="M28" i="73"/>
  <c r="C21" i="12"/>
  <c r="H65" i="46"/>
  <c r="H59" i="46"/>
  <c r="H66" i="46"/>
  <c r="H58" i="46"/>
  <c r="H63" i="46"/>
  <c r="H61" i="46"/>
  <c r="H62" i="46"/>
  <c r="H60" i="46"/>
  <c r="C5" i="46"/>
  <c r="F7" i="35"/>
  <c r="AA7" i="35" s="1"/>
  <c r="R38" i="35" s="1"/>
  <c r="H7" i="35"/>
  <c r="U7" i="35" s="1"/>
  <c r="J7" i="35"/>
  <c r="AC7" i="35" s="1"/>
  <c r="V38" i="35" s="1"/>
  <c r="I38" i="35" s="1"/>
  <c r="F64" i="15"/>
  <c r="F65" i="15"/>
  <c r="F67" i="15"/>
  <c r="Q72" i="15"/>
  <c r="C27" i="15"/>
  <c r="L58" i="15"/>
  <c r="Q61" i="15" s="1"/>
  <c r="L59" i="15"/>
  <c r="Q62" i="15" s="1"/>
  <c r="F50" i="15"/>
  <c r="G30" i="6"/>
  <c r="G31" i="6" s="1"/>
  <c r="E28" i="6"/>
  <c r="C71" i="59"/>
  <c r="D71" i="59" s="1"/>
  <c r="D72" i="59"/>
  <c r="AC36" i="35"/>
  <c r="W36" i="35"/>
  <c r="AC26" i="33"/>
  <c r="W26" i="33"/>
  <c r="AC14" i="33"/>
  <c r="W14" i="33"/>
  <c r="BA5" i="3"/>
  <c r="D57" i="59"/>
  <c r="T57" i="59"/>
  <c r="P64" i="59"/>
  <c r="E63" i="59"/>
  <c r="D80" i="59"/>
  <c r="C79" i="59"/>
  <c r="D79" i="59" s="1"/>
  <c r="AZ229" i="3"/>
  <c r="AA26" i="33"/>
  <c r="S26" i="33"/>
  <c r="G5" i="3"/>
  <c r="B3" i="3" s="1"/>
  <c r="E460"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AB12" i="35"/>
  <c r="U12" i="35"/>
  <c r="AB27" i="21"/>
  <c r="U27" i="21"/>
  <c r="AC28" i="21"/>
  <c r="W28" i="21"/>
  <c r="AA24" i="35"/>
  <c r="S24" i="35"/>
  <c r="C37" i="59"/>
  <c r="D36" i="59"/>
  <c r="U29" i="21"/>
  <c r="AB29" i="21"/>
  <c r="AB24" i="35"/>
  <c r="U24" i="35"/>
  <c r="M20" i="44"/>
  <c r="J20" i="44" s="1"/>
  <c r="H7" i="36"/>
  <c r="U7" i="36" s="1"/>
  <c r="E11" i="6"/>
  <c r="E63" i="39" s="1"/>
  <c r="T61" i="59"/>
  <c r="D61" i="59"/>
  <c r="AA9" i="35"/>
  <c r="S9" i="35"/>
  <c r="AA24" i="36"/>
  <c r="S24" i="36"/>
  <c r="S29" i="21"/>
  <c r="AA29" i="21"/>
  <c r="W24" i="35"/>
  <c r="AC24" i="35"/>
  <c r="AZ78" i="3"/>
  <c r="AZ163" i="3"/>
  <c r="AZ5" i="3" s="1"/>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B40" i="1"/>
  <c r="F20" i="78" s="1"/>
  <c r="F7" i="37"/>
  <c r="S7" i="37" s="1"/>
  <c r="D67" i="40"/>
  <c r="E65" i="40"/>
  <c r="E70" i="39"/>
  <c r="D72" i="39"/>
  <c r="E62" i="40"/>
  <c r="J7" i="37"/>
  <c r="AC7" i="37" s="1"/>
  <c r="V42" i="37" s="1"/>
  <c r="I42" i="37" s="1"/>
  <c r="H7" i="37"/>
  <c r="U7" i="37" s="1"/>
  <c r="AB7" i="36"/>
  <c r="T36" i="36" s="1"/>
  <c r="G36" i="36" s="1"/>
  <c r="S7" i="36"/>
  <c r="AA7" i="36"/>
  <c r="R36" i="36" s="1"/>
  <c r="S7" i="35"/>
  <c r="E59" i="34"/>
  <c r="E58" i="21"/>
  <c r="E58" i="33"/>
  <c r="W7" i="36"/>
  <c r="AC7" i="36"/>
  <c r="V36" i="36" s="1"/>
  <c r="I36" i="36" s="1"/>
  <c r="M19" i="44"/>
  <c r="C19" i="46"/>
  <c r="F17" i="11"/>
  <c r="L47" i="44"/>
  <c r="C32" i="9"/>
  <c r="N43" i="9"/>
  <c r="M13" i="44"/>
  <c r="J12" i="44" s="1"/>
  <c r="J7" i="44" s="1"/>
  <c r="F11" i="15"/>
  <c r="M11" i="15"/>
  <c r="J10" i="15" s="1"/>
  <c r="F13" i="44"/>
  <c r="C12" i="44" s="1"/>
  <c r="C7" i="44" s="1"/>
  <c r="Q75" i="44"/>
  <c r="Q62" i="44"/>
  <c r="M28" i="46"/>
  <c r="P28" i="46"/>
  <c r="O28" i="46"/>
  <c r="N28" i="46"/>
  <c r="F1" i="44"/>
  <c r="Q54" i="44"/>
  <c r="Q63" i="44"/>
  <c r="Q76" i="44"/>
  <c r="F1" i="15"/>
  <c r="Q53" i="15"/>
  <c r="F33" i="12"/>
  <c r="AE6" i="1"/>
  <c r="AE7" i="1"/>
  <c r="AE8" i="1"/>
  <c r="F59" i="76" l="1"/>
  <c r="C32" i="76"/>
  <c r="C31" i="76" s="1"/>
  <c r="F59" i="75"/>
  <c r="C32" i="75"/>
  <c r="C31" i="75" s="1"/>
  <c r="C20" i="73"/>
  <c r="D20" i="78"/>
  <c r="F24" i="76"/>
  <c r="C24" i="76" s="1"/>
  <c r="F20" i="77"/>
  <c r="C52" i="76"/>
  <c r="C47" i="76" s="1"/>
  <c r="C10" i="76"/>
  <c r="C5" i="76" s="1"/>
  <c r="J24" i="76"/>
  <c r="J26" i="76"/>
  <c r="F20" i="43"/>
  <c r="D20" i="43" s="1"/>
  <c r="F24" i="75"/>
  <c r="C52" i="75"/>
  <c r="C47" i="75" s="1"/>
  <c r="C10" i="75"/>
  <c r="C5" i="75" s="1"/>
  <c r="J24" i="75"/>
  <c r="J26" i="75"/>
  <c r="E65" i="39"/>
  <c r="E58" i="39"/>
  <c r="E66" i="39"/>
  <c r="E64" i="39"/>
  <c r="E450" i="3"/>
  <c r="E58" i="40"/>
  <c r="E16" i="6"/>
  <c r="E41" i="74"/>
  <c r="C41" i="74" s="1"/>
  <c r="C20" i="74"/>
  <c r="C34" i="12"/>
  <c r="D33" i="12" s="1"/>
  <c r="E275" i="3"/>
  <c r="E349" i="3"/>
  <c r="E329" i="3"/>
  <c r="E76" i="3"/>
  <c r="E67" i="3"/>
  <c r="E465" i="3"/>
  <c r="E478" i="3"/>
  <c r="E453" i="3"/>
  <c r="E553" i="3"/>
  <c r="E73" i="3"/>
  <c r="Q74" i="15"/>
  <c r="E41" i="46"/>
  <c r="C41" i="46" s="1"/>
  <c r="C38" i="46" s="1"/>
  <c r="Q75" i="15"/>
  <c r="AB7" i="35"/>
  <c r="T38" i="35" s="1"/>
  <c r="G38" i="35" s="1"/>
  <c r="W7" i="35"/>
  <c r="AA7" i="37"/>
  <c r="R42" i="37" s="1"/>
  <c r="E3" i="6"/>
  <c r="AY6" i="3"/>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E23" i="3"/>
  <c r="AM6" i="3"/>
  <c r="E158" i="3"/>
  <c r="E213" i="3"/>
  <c r="E47" i="3"/>
  <c r="E232" i="3"/>
  <c r="E535" i="3"/>
  <c r="E427" i="3"/>
  <c r="E94" i="3"/>
  <c r="E294" i="3"/>
  <c r="E343" i="3"/>
  <c r="E410" i="3"/>
  <c r="E109" i="3"/>
  <c r="E293" i="3"/>
  <c r="E423" i="3"/>
  <c r="E422" i="3"/>
  <c r="E333" i="3"/>
  <c r="E345" i="3"/>
  <c r="E511" i="3"/>
  <c r="P62" i="59"/>
  <c r="P63" i="59"/>
  <c r="E52" i="3"/>
  <c r="E516" i="3"/>
  <c r="T37" i="59"/>
  <c r="D37" i="59"/>
  <c r="E317" i="3"/>
  <c r="E61" i="3"/>
  <c r="E82" i="3"/>
  <c r="E487" i="3"/>
  <c r="K14" i="1"/>
  <c r="E30"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AB7" i="37"/>
  <c r="T42" i="37" s="1"/>
  <c r="G42" i="37" s="1"/>
  <c r="G46" i="37" s="1"/>
  <c r="H46"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52" i="15"/>
  <c r="F24" i="15"/>
  <c r="C24" i="15" s="1"/>
  <c r="F26" i="12"/>
  <c r="F26" i="44"/>
  <c r="C26" i="44" s="1"/>
  <c r="F41" i="76"/>
  <c r="F41" i="15"/>
  <c r="F41" i="75"/>
  <c r="D16" i="43"/>
  <c r="C15" i="12"/>
  <c r="F68" i="15" l="1"/>
  <c r="F68" i="76"/>
  <c r="J29" i="76"/>
  <c r="F68" i="75"/>
  <c r="J29" i="75"/>
  <c r="E41" i="73"/>
  <c r="C41" i="73" s="1"/>
  <c r="C38" i="73" s="1"/>
  <c r="C16" i="43"/>
  <c r="D20" i="77"/>
  <c r="C20" i="77"/>
  <c r="C23" i="77" s="1"/>
  <c r="C38" i="76"/>
  <c r="C59" i="76"/>
  <c r="C58" i="76" s="1"/>
  <c r="C65" i="76"/>
  <c r="C38" i="75"/>
  <c r="C59" i="75"/>
  <c r="C58" i="75" s="1"/>
  <c r="C65" i="75"/>
  <c r="C24" i="75"/>
  <c r="C23" i="75"/>
  <c r="H6" i="3"/>
  <c r="C35" i="9"/>
  <c r="F42" i="9" s="1"/>
  <c r="T14" i="74"/>
  <c r="V14" i="74" s="1"/>
  <c r="T10" i="74"/>
  <c r="V10" i="74" s="1"/>
  <c r="C35" i="74"/>
  <c r="C36" i="74"/>
  <c r="T8" i="74"/>
  <c r="V8" i="74" s="1"/>
  <c r="T9" i="74"/>
  <c r="V9" i="74" s="1"/>
  <c r="T16" i="74"/>
  <c r="V16" i="74" s="1"/>
  <c r="T11" i="74"/>
  <c r="V11" i="74" s="1"/>
  <c r="T12" i="74"/>
  <c r="V12" i="74" s="1"/>
  <c r="C37" i="74"/>
  <c r="T13" i="74"/>
  <c r="V13" i="74" s="1"/>
  <c r="T15" i="74"/>
  <c r="V15" i="74" s="1"/>
  <c r="C34" i="74"/>
  <c r="C33" i="74"/>
  <c r="C39" i="74"/>
  <c r="C38" i="74"/>
  <c r="T9" i="73"/>
  <c r="V9" i="73" s="1"/>
  <c r="T11" i="73"/>
  <c r="V11" i="73" s="1"/>
  <c r="C35" i="73"/>
  <c r="C36" i="73"/>
  <c r="T13" i="73"/>
  <c r="V13" i="73" s="1"/>
  <c r="C37" i="73"/>
  <c r="T8" i="73"/>
  <c r="V8" i="73" s="1"/>
  <c r="C33" i="73"/>
  <c r="T15" i="73"/>
  <c r="V15" i="73" s="1"/>
  <c r="T10" i="73"/>
  <c r="V10" i="73" s="1"/>
  <c r="C34" i="73"/>
  <c r="T16" i="73"/>
  <c r="V16" i="73" s="1"/>
  <c r="T14" i="73"/>
  <c r="V14" i="73" s="1"/>
  <c r="T12" i="73"/>
  <c r="V12" i="73" s="1"/>
  <c r="C20" i="46"/>
  <c r="T9" i="46" s="1"/>
  <c r="V9" i="46" s="1"/>
  <c r="AC6" i="3"/>
  <c r="C39" i="46"/>
  <c r="E39" i="46" s="1"/>
  <c r="M14" i="1"/>
  <c r="D45" i="9"/>
  <c r="J7" i="21"/>
  <c r="AC7" i="21" s="1"/>
  <c r="V48" i="21" s="1"/>
  <c r="I48" i="21" s="1"/>
  <c r="E6" i="6"/>
  <c r="D13" i="11" s="1"/>
  <c r="C13" i="11" s="1"/>
  <c r="B29" i="1" s="1"/>
  <c r="C21" i="4"/>
  <c r="O5" i="54" s="1"/>
  <c r="B45" i="63" s="1"/>
  <c r="L38" i="9"/>
  <c r="B14" i="66" s="1"/>
  <c r="B1" i="66" s="1"/>
  <c r="C6" i="66" s="1"/>
  <c r="D46" i="9"/>
  <c r="C33" i="9"/>
  <c r="D42" i="9" s="1"/>
  <c r="Q5" i="54" s="1"/>
  <c r="B47" i="63" s="1"/>
  <c r="D44" i="9"/>
  <c r="G47" i="37"/>
  <c r="H47" i="37" s="1"/>
  <c r="T33" i="59"/>
  <c r="D33" i="59"/>
  <c r="D14" i="59"/>
  <c r="C13" i="59"/>
  <c r="C34" i="9"/>
  <c r="E42" i="9" s="1"/>
  <c r="P5" i="54" s="1"/>
  <c r="B46" i="63" s="1"/>
  <c r="G70" i="39"/>
  <c r="F72" i="39"/>
  <c r="F67" i="40"/>
  <c r="G65" i="40"/>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22" i="4"/>
  <c r="D21" i="6"/>
  <c r="D10" i="6"/>
  <c r="D14" i="6"/>
  <c r="D20" i="6"/>
  <c r="F45" i="9"/>
  <c r="E68" i="39"/>
  <c r="D26" i="6"/>
  <c r="D22" i="6"/>
  <c r="D12" i="6"/>
  <c r="D5" i="6"/>
  <c r="F46" i="9"/>
  <c r="E63" i="40"/>
  <c r="D25" i="6"/>
  <c r="D28" i="6"/>
  <c r="E45" i="9"/>
  <c r="K38" i="9"/>
  <c r="C14" i="66" s="1"/>
  <c r="B2" i="66" s="1"/>
  <c r="D29" i="6"/>
  <c r="E44" i="9"/>
  <c r="D13" i="6"/>
  <c r="D23" i="6"/>
  <c r="D8" i="6"/>
  <c r="F44" i="9"/>
  <c r="D24" i="6"/>
  <c r="D11" i="6"/>
  <c r="D9" i="6"/>
  <c r="D15" i="6"/>
  <c r="E46" i="9"/>
  <c r="G22" i="9"/>
  <c r="R5" i="54"/>
  <c r="B48" i="63" s="1"/>
  <c r="D63" i="9"/>
  <c r="N68" i="9"/>
  <c r="C27" i="12"/>
  <c r="D26" i="12" s="1"/>
  <c r="C32" i="12" s="1"/>
  <c r="D30" i="12" s="1"/>
  <c r="K26" i="9"/>
  <c r="K25" i="9"/>
  <c r="Q58" i="44"/>
  <c r="Q67" i="44"/>
  <c r="Q49" i="44"/>
  <c r="Q55" i="44" s="1"/>
  <c r="F7" i="67"/>
  <c r="C19" i="44"/>
  <c r="C39" i="73" l="1"/>
  <c r="G39" i="73" s="1"/>
  <c r="I39" i="73" s="1"/>
  <c r="C29" i="75"/>
  <c r="C56" i="75" s="1"/>
  <c r="C63" i="75" s="1"/>
  <c r="E6" i="3"/>
  <c r="D6" i="6"/>
  <c r="C8" i="66"/>
  <c r="C7" i="66"/>
  <c r="E19" i="6"/>
  <c r="F27" i="6"/>
  <c r="F31" i="6" s="1"/>
  <c r="G34" i="74"/>
  <c r="I34" i="74" s="1"/>
  <c r="E34" i="74"/>
  <c r="G38" i="74"/>
  <c r="I38" i="74" s="1"/>
  <c r="E38" i="74"/>
  <c r="G37" i="74"/>
  <c r="I37" i="74" s="1"/>
  <c r="E37" i="74"/>
  <c r="G36" i="74"/>
  <c r="I36" i="74" s="1"/>
  <c r="E36" i="74"/>
  <c r="E35" i="74"/>
  <c r="G35" i="74"/>
  <c r="I35" i="74" s="1"/>
  <c r="G33" i="74"/>
  <c r="I33" i="74" s="1"/>
  <c r="E33" i="74"/>
  <c r="E39" i="74"/>
  <c r="G39" i="74"/>
  <c r="I39" i="74" s="1"/>
  <c r="G34" i="73"/>
  <c r="I34" i="73" s="1"/>
  <c r="E34" i="73"/>
  <c r="G38" i="73"/>
  <c r="I38" i="73" s="1"/>
  <c r="E38" i="73"/>
  <c r="G36" i="73"/>
  <c r="I36" i="73" s="1"/>
  <c r="E36" i="73"/>
  <c r="G33" i="73"/>
  <c r="I33" i="73" s="1"/>
  <c r="E33" i="73"/>
  <c r="E35" i="73"/>
  <c r="G35" i="73"/>
  <c r="I35" i="73" s="1"/>
  <c r="G37" i="73"/>
  <c r="I37" i="73" s="1"/>
  <c r="E37" i="73"/>
  <c r="T12" i="46"/>
  <c r="V12" i="46" s="1"/>
  <c r="C35" i="46"/>
  <c r="G35" i="46" s="1"/>
  <c r="I35" i="46" s="1"/>
  <c r="T11" i="46"/>
  <c r="V11" i="46" s="1"/>
  <c r="C37" i="46"/>
  <c r="T13" i="46"/>
  <c r="V13" i="46" s="1"/>
  <c r="T16" i="46"/>
  <c r="V16" i="46" s="1"/>
  <c r="C33" i="46"/>
  <c r="T8" i="46"/>
  <c r="V8" i="46" s="1"/>
  <c r="T14" i="46"/>
  <c r="V14" i="46" s="1"/>
  <c r="T10" i="46"/>
  <c r="V10" i="46" s="1"/>
  <c r="T15" i="46"/>
  <c r="V15" i="46" s="1"/>
  <c r="C34" i="46"/>
  <c r="C36" i="46"/>
  <c r="G39" i="46"/>
  <c r="I39" i="46" s="1"/>
  <c r="W7" i="21"/>
  <c r="N38" i="9"/>
  <c r="K28" i="9" s="1"/>
  <c r="O14"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30" i="6"/>
  <c r="D7" i="66"/>
  <c r="D6" i="66"/>
  <c r="D8" i="66"/>
  <c r="A6" i="64"/>
  <c r="A20" i="64"/>
  <c r="A6" i="51"/>
  <c r="B7" i="63" s="1"/>
  <c r="A20" i="51"/>
  <c r="B15" i="63" s="1"/>
  <c r="N5" i="54"/>
  <c r="B43" i="63" s="1"/>
  <c r="E4" i="67"/>
  <c r="D77" i="9"/>
  <c r="N75" i="9" s="1"/>
  <c r="D73" i="9"/>
  <c r="N73" i="9" s="1"/>
  <c r="C111" i="9"/>
  <c r="C104" i="9" s="1"/>
  <c r="C96" i="9"/>
  <c r="C91" i="9" s="1"/>
  <c r="C82" i="9"/>
  <c r="C81" i="9" s="1"/>
  <c r="C85" i="9" s="1"/>
  <c r="C86" i="9" s="1"/>
  <c r="D72" i="9" s="1"/>
  <c r="C103" i="9"/>
  <c r="D70" i="9"/>
  <c r="C90" i="9"/>
  <c r="D71" i="9"/>
  <c r="D66" i="9" s="1"/>
  <c r="N72" i="9" s="1"/>
  <c r="B7" i="67"/>
  <c r="E7" i="67"/>
  <c r="E39" i="73" l="1"/>
  <c r="G37" i="46"/>
  <c r="I37" i="46" s="1"/>
  <c r="C36" i="75"/>
  <c r="C13" i="75"/>
  <c r="C55" i="75" s="1"/>
  <c r="C64" i="75" s="1"/>
  <c r="C57" i="75" s="1"/>
  <c r="C66" i="75" s="1"/>
  <c r="C67" i="75" s="1"/>
  <c r="J14" i="75"/>
  <c r="J22" i="75" s="1"/>
  <c r="J19" i="75"/>
  <c r="J17" i="75" s="1"/>
  <c r="Q50" i="75"/>
  <c r="E32" i="6"/>
  <c r="K6" i="1"/>
  <c r="C9" i="12"/>
  <c r="E27" i="6"/>
  <c r="K19" i="6" s="1"/>
  <c r="D19" i="6"/>
  <c r="D27" i="6" s="1"/>
  <c r="E33" i="46"/>
  <c r="E35" i="46"/>
  <c r="G33" i="46"/>
  <c r="I33" i="46" s="1"/>
  <c r="E37" i="46"/>
  <c r="G36" i="46"/>
  <c r="I36" i="46" s="1"/>
  <c r="E36" i="46"/>
  <c r="G34" i="46"/>
  <c r="I34" i="46" s="1"/>
  <c r="E34" i="46"/>
  <c r="P14" i="1"/>
  <c r="AA7" i="34"/>
  <c r="R49" i="34" s="1"/>
  <c r="E49" i="34" s="1"/>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M29" i="15"/>
  <c r="M23" i="44"/>
  <c r="F7" i="15"/>
  <c r="F43" i="15"/>
  <c r="F37" i="44"/>
  <c r="J13" i="75" l="1"/>
  <c r="J23" i="75" s="1"/>
  <c r="J16" i="75" s="1"/>
  <c r="J25" i="75" s="1"/>
  <c r="J35" i="75"/>
  <c r="Q71" i="75"/>
  <c r="C37" i="75"/>
  <c r="C30" i="75" s="1"/>
  <c r="C39" i="75" s="1"/>
  <c r="Q70" i="75" s="1"/>
  <c r="C70" i="75"/>
  <c r="C6" i="15"/>
  <c r="F31" i="15"/>
  <c r="F49" i="15"/>
  <c r="M7" i="15"/>
  <c r="F70" i="15"/>
  <c r="S6" i="1"/>
  <c r="M19" i="6"/>
  <c r="K26" i="6"/>
  <c r="M26" i="6" s="1"/>
  <c r="I26" i="6" s="1"/>
  <c r="K22" i="6"/>
  <c r="M22" i="6" s="1"/>
  <c r="I22" i="6" s="1"/>
  <c r="E31" i="6"/>
  <c r="K20" i="6"/>
  <c r="K25" i="6"/>
  <c r="M25" i="6" s="1"/>
  <c r="I25" i="6" s="1"/>
  <c r="K24" i="6"/>
  <c r="M24" i="6" s="1"/>
  <c r="I24" i="6" s="1"/>
  <c r="K21" i="6"/>
  <c r="K23" i="6"/>
  <c r="M23" i="6" s="1"/>
  <c r="I23" i="6" s="1"/>
  <c r="M6" i="1"/>
  <c r="H16" i="1"/>
  <c r="Q16" i="1"/>
  <c r="AP16" i="1"/>
  <c r="G16" i="1"/>
  <c r="K16" i="1"/>
  <c r="C11" i="11" s="1"/>
  <c r="C10" i="11" s="1"/>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D16" i="12"/>
  <c r="C16" i="76"/>
  <c r="C16" i="15"/>
  <c r="C14" i="76"/>
  <c r="C17" i="15"/>
  <c r="C13" i="78"/>
  <c r="D22" i="12"/>
  <c r="F21" i="43"/>
  <c r="C14" i="78" l="1"/>
  <c r="C17" i="78"/>
  <c r="C18" i="76"/>
  <c r="C15" i="76"/>
  <c r="Q69" i="75"/>
  <c r="J39" i="75"/>
  <c r="J40" i="75" s="1"/>
  <c r="C40" i="75"/>
  <c r="M21" i="6"/>
  <c r="I21" i="6" s="1"/>
  <c r="S8" i="1"/>
  <c r="M20" i="6"/>
  <c r="I20" i="6" s="1"/>
  <c r="S7" i="1"/>
  <c r="S16" i="1" s="1"/>
  <c r="C22" i="12"/>
  <c r="C20" i="12" s="1"/>
  <c r="C16" i="12"/>
  <c r="D19" i="12"/>
  <c r="C19" i="12" s="1"/>
  <c r="S21" i="6"/>
  <c r="H21" i="6"/>
  <c r="R21" i="6" s="1"/>
  <c r="R8" i="1" s="1"/>
  <c r="I19" i="6"/>
  <c r="M27" i="6"/>
  <c r="H12" i="39"/>
  <c r="F12" i="39"/>
  <c r="F12" i="40"/>
  <c r="J12" i="40"/>
  <c r="J12" i="39"/>
  <c r="H12" i="40"/>
  <c r="S25" i="6"/>
  <c r="H25" i="6"/>
  <c r="R25" i="6" s="1"/>
  <c r="S20" i="6"/>
  <c r="H20" i="6"/>
  <c r="R20" i="6" s="1"/>
  <c r="R7" i="1" s="1"/>
  <c r="M17" i="15"/>
  <c r="J6" i="15"/>
  <c r="S24" i="6"/>
  <c r="H24" i="6"/>
  <c r="R24" i="6" s="1"/>
  <c r="S22" i="6"/>
  <c r="H22" i="6"/>
  <c r="R22" i="6" s="1"/>
  <c r="C48" i="15"/>
  <c r="C47" i="15" s="1"/>
  <c r="F58" i="15"/>
  <c r="G3" i="74"/>
  <c r="G3" i="73"/>
  <c r="G3" i="46"/>
  <c r="O6" i="1"/>
  <c r="O16" i="1" s="1"/>
  <c r="M16" i="1"/>
  <c r="N16" i="1" s="1"/>
  <c r="S26" i="6"/>
  <c r="H26" i="6"/>
  <c r="R26" i="6" s="1"/>
  <c r="S23" i="6"/>
  <c r="H23" i="6"/>
  <c r="R23" i="6" s="1"/>
  <c r="K27" i="6"/>
  <c r="C10" i="15"/>
  <c r="C5" i="15" s="1"/>
  <c r="C38" i="15" s="1"/>
  <c r="C32" i="15"/>
  <c r="C9" i="59"/>
  <c r="D10" i="59"/>
  <c r="K70" i="39"/>
  <c r="J72" i="39"/>
  <c r="K65" i="40"/>
  <c r="J67" i="40"/>
  <c r="Q77" i="9"/>
  <c r="O79" i="9"/>
  <c r="O81" i="9" s="1"/>
  <c r="F22" i="43"/>
  <c r="L51" i="75"/>
  <c r="C18" i="78" l="1"/>
  <c r="C19" i="78" s="1"/>
  <c r="C21" i="78" s="1"/>
  <c r="C19" i="76"/>
  <c r="C20" i="76" s="1"/>
  <c r="C26" i="76" s="1"/>
  <c r="Q68" i="75"/>
  <c r="L57" i="75"/>
  <c r="L60" i="75" s="1"/>
  <c r="Q58" i="75" s="1"/>
  <c r="Q48" i="75"/>
  <c r="Q54" i="75" s="1"/>
  <c r="C10" i="77"/>
  <c r="C6" i="77" s="1"/>
  <c r="J42" i="75"/>
  <c r="J43" i="75" s="1"/>
  <c r="B2" i="75"/>
  <c r="B3" i="75" s="1"/>
  <c r="C43" i="75"/>
  <c r="Q57" i="75"/>
  <c r="Q66" i="75"/>
  <c r="C46" i="75"/>
  <c r="P6" i="1"/>
  <c r="T8" i="1"/>
  <c r="T10" i="1"/>
  <c r="T9" i="1"/>
  <c r="T12" i="1"/>
  <c r="T7" i="1"/>
  <c r="T13" i="1"/>
  <c r="T11" i="1"/>
  <c r="U12" i="40"/>
  <c r="AB12" i="40"/>
  <c r="J101" i="46"/>
  <c r="H101" i="46"/>
  <c r="L101" i="46"/>
  <c r="AB11" i="46"/>
  <c r="AB13" i="46" s="1"/>
  <c r="Y11" i="46"/>
  <c r="Y13" i="46" s="1"/>
  <c r="N104" i="45"/>
  <c r="J22" i="46"/>
  <c r="E101" i="46"/>
  <c r="G22" i="46"/>
  <c r="F22" i="46"/>
  <c r="D101" i="46"/>
  <c r="K101" i="46"/>
  <c r="F101" i="46"/>
  <c r="Z7" i="46"/>
  <c r="I101" i="46"/>
  <c r="AG11" i="46"/>
  <c r="AG13" i="46" s="1"/>
  <c r="M101" i="46"/>
  <c r="E22" i="46"/>
  <c r="N101" i="46"/>
  <c r="Z11" i="46"/>
  <c r="Z13" i="46" s="1"/>
  <c r="AC11" i="46"/>
  <c r="AC13" i="46" s="1"/>
  <c r="AA11" i="46"/>
  <c r="AA13" i="46" s="1"/>
  <c r="AD11" i="46"/>
  <c r="AD13" i="46" s="1"/>
  <c r="AH11" i="46"/>
  <c r="AH13" i="46" s="1"/>
  <c r="AJ11" i="46"/>
  <c r="AJ13" i="46" s="1"/>
  <c r="AF11" i="46"/>
  <c r="AF13" i="46" s="1"/>
  <c r="G101" i="46"/>
  <c r="AI11" i="46"/>
  <c r="AI13" i="46" s="1"/>
  <c r="C101" i="46"/>
  <c r="H22" i="46"/>
  <c r="B113" i="46"/>
  <c r="AE11" i="46"/>
  <c r="AE13" i="46" s="1"/>
  <c r="AC12" i="39"/>
  <c r="W12" i="39"/>
  <c r="S19" i="6"/>
  <c r="S27" i="6" s="1"/>
  <c r="I27" i="6"/>
  <c r="H19" i="6"/>
  <c r="J101" i="73"/>
  <c r="H22" i="73"/>
  <c r="AD11" i="73"/>
  <c r="AD13" i="73" s="1"/>
  <c r="AI11" i="73"/>
  <c r="AI13" i="73" s="1"/>
  <c r="AC11" i="73"/>
  <c r="AC13" i="73" s="1"/>
  <c r="AA11" i="73"/>
  <c r="AA13" i="73" s="1"/>
  <c r="K101" i="73"/>
  <c r="C101" i="73"/>
  <c r="J22" i="73"/>
  <c r="Y11" i="73"/>
  <c r="Y13" i="73" s="1"/>
  <c r="B113" i="73"/>
  <c r="Z11" i="73"/>
  <c r="Z13" i="73" s="1"/>
  <c r="I101" i="73"/>
  <c r="G101" i="73"/>
  <c r="AG11" i="73"/>
  <c r="AG13" i="73" s="1"/>
  <c r="AH11" i="73"/>
  <c r="AH13" i="73" s="1"/>
  <c r="G22" i="73"/>
  <c r="AF11" i="73"/>
  <c r="AF13" i="73" s="1"/>
  <c r="E101" i="73"/>
  <c r="F22" i="73"/>
  <c r="E22" i="73"/>
  <c r="Z7" i="73"/>
  <c r="M101" i="73"/>
  <c r="F101" i="73"/>
  <c r="AE11" i="73"/>
  <c r="AE13" i="73" s="1"/>
  <c r="AB11" i="73"/>
  <c r="AB13" i="73" s="1"/>
  <c r="D101" i="73"/>
  <c r="N101" i="73"/>
  <c r="L101" i="73"/>
  <c r="H101" i="73"/>
  <c r="AJ11" i="73"/>
  <c r="AJ13" i="73" s="1"/>
  <c r="J18" i="15"/>
  <c r="J5" i="15"/>
  <c r="AC12" i="40"/>
  <c r="W12" i="40"/>
  <c r="K101" i="74"/>
  <c r="AC11" i="74"/>
  <c r="AC13" i="74" s="1"/>
  <c r="H22" i="74"/>
  <c r="AF11" i="74"/>
  <c r="AF13" i="74" s="1"/>
  <c r="J22" i="74"/>
  <c r="J101" i="74"/>
  <c r="H101" i="74"/>
  <c r="Y11" i="74"/>
  <c r="Y13" i="74" s="1"/>
  <c r="C101" i="74"/>
  <c r="G22" i="74"/>
  <c r="E22" i="74"/>
  <c r="N101" i="74"/>
  <c r="AJ11" i="74"/>
  <c r="AJ13" i="74" s="1"/>
  <c r="AH11" i="74"/>
  <c r="AH13" i="74" s="1"/>
  <c r="F101" i="74"/>
  <c r="AB11" i="74"/>
  <c r="AB13" i="74" s="1"/>
  <c r="Z11" i="74"/>
  <c r="Z13" i="74" s="1"/>
  <c r="M101" i="74"/>
  <c r="F22" i="74"/>
  <c r="Z7" i="74"/>
  <c r="E101" i="74"/>
  <c r="AI11" i="74"/>
  <c r="AI13" i="74" s="1"/>
  <c r="B113" i="74"/>
  <c r="AE11" i="74"/>
  <c r="AE13" i="74" s="1"/>
  <c r="AA11" i="74"/>
  <c r="AA13" i="74" s="1"/>
  <c r="G101" i="74"/>
  <c r="L101" i="74"/>
  <c r="AD11" i="74"/>
  <c r="AD13" i="74" s="1"/>
  <c r="I101" i="74"/>
  <c r="AG11" i="74"/>
  <c r="AG13" i="74" s="1"/>
  <c r="D101" i="74"/>
  <c r="S12" i="40"/>
  <c r="AA12" i="40"/>
  <c r="S12" i="39"/>
  <c r="AA12" i="39"/>
  <c r="C65" i="15"/>
  <c r="C59" i="15"/>
  <c r="AB12" i="39"/>
  <c r="U12" i="39"/>
  <c r="L16" i="1"/>
  <c r="T6" i="1"/>
  <c r="C8" i="59"/>
  <c r="T9" i="59"/>
  <c r="D9" i="59"/>
  <c r="K67" i="40"/>
  <c r="L65" i="40"/>
  <c r="K72" i="39"/>
  <c r="L70" i="39"/>
  <c r="O80" i="9"/>
  <c r="C13" i="43"/>
  <c r="C13" i="12"/>
  <c r="C14" i="15"/>
  <c r="C16" i="44"/>
  <c r="C20" i="78" l="1"/>
  <c r="C23" i="78" s="1"/>
  <c r="C23" i="76"/>
  <c r="C29" i="76" s="1"/>
  <c r="Q67" i="75"/>
  <c r="Q76" i="75" s="1"/>
  <c r="Q63" i="75"/>
  <c r="C24" i="77"/>
  <c r="C25" i="77"/>
  <c r="D22" i="46"/>
  <c r="C15" i="15"/>
  <c r="C18" i="15"/>
  <c r="C20" i="44"/>
  <c r="C17" i="44"/>
  <c r="C17" i="12"/>
  <c r="C14" i="12"/>
  <c r="C18" i="12" s="1"/>
  <c r="C23" i="12" s="1"/>
  <c r="C105" i="46"/>
  <c r="C102" i="46"/>
  <c r="C109" i="46"/>
  <c r="C104" i="46"/>
  <c r="C106" i="46"/>
  <c r="C103" i="46"/>
  <c r="C107" i="46"/>
  <c r="F104" i="46"/>
  <c r="F109" i="46"/>
  <c r="F102" i="46"/>
  <c r="F107" i="46"/>
  <c r="F103" i="46"/>
  <c r="F105" i="46"/>
  <c r="F106" i="46"/>
  <c r="D22" i="74"/>
  <c r="C29" i="74" s="1"/>
  <c r="C10" i="69" s="1"/>
  <c r="N106" i="73"/>
  <c r="N109" i="73"/>
  <c r="N104" i="73"/>
  <c r="N102" i="73"/>
  <c r="N107" i="73"/>
  <c r="N105" i="73"/>
  <c r="N103" i="73"/>
  <c r="T16" i="1"/>
  <c r="D107" i="73"/>
  <c r="D109" i="73"/>
  <c r="D105" i="73"/>
  <c r="D103" i="73"/>
  <c r="D106" i="73"/>
  <c r="D104" i="73"/>
  <c r="D102" i="73"/>
  <c r="E104" i="73"/>
  <c r="E102" i="73"/>
  <c r="E109" i="73"/>
  <c r="E107" i="73"/>
  <c r="E105" i="73"/>
  <c r="E103" i="73"/>
  <c r="E106" i="73"/>
  <c r="I116" i="73"/>
  <c r="J116" i="73" s="1"/>
  <c r="K116" i="73" s="1"/>
  <c r="L116" i="73" s="1"/>
  <c r="M116" i="73" s="1"/>
  <c r="I117" i="73"/>
  <c r="J117" i="73" s="1"/>
  <c r="K117" i="73" s="1"/>
  <c r="L117" i="73" s="1"/>
  <c r="M117" i="73" s="1"/>
  <c r="D117" i="73"/>
  <c r="E117" i="73" s="1"/>
  <c r="F117" i="73" s="1"/>
  <c r="G117" i="73" s="1"/>
  <c r="H117" i="73" s="1"/>
  <c r="I115" i="73"/>
  <c r="J115" i="73" s="1"/>
  <c r="K115" i="73" s="1"/>
  <c r="L115" i="73" s="1"/>
  <c r="M115" i="73" s="1"/>
  <c r="D115" i="73"/>
  <c r="E115" i="73" s="1"/>
  <c r="F115" i="73" s="1"/>
  <c r="G115" i="73" s="1"/>
  <c r="H115" i="73" s="1"/>
  <c r="D118" i="73"/>
  <c r="E118" i="73" s="1"/>
  <c r="F118" i="73" s="1"/>
  <c r="B117" i="73"/>
  <c r="C117" i="73" s="1"/>
  <c r="D116" i="73"/>
  <c r="E116" i="73" s="1"/>
  <c r="F116" i="73" s="1"/>
  <c r="G116" i="73" s="1"/>
  <c r="H116" i="73" s="1"/>
  <c r="B115" i="73"/>
  <c r="B118" i="73"/>
  <c r="C118" i="73" s="1"/>
  <c r="G118" i="73"/>
  <c r="H118" i="73" s="1"/>
  <c r="B116" i="73"/>
  <c r="C116" i="73" s="1"/>
  <c r="I118" i="73"/>
  <c r="J118" i="73" s="1"/>
  <c r="K118" i="73" s="1"/>
  <c r="L118" i="73" s="1"/>
  <c r="M118" i="73" s="1"/>
  <c r="D109" i="74"/>
  <c r="D103" i="74"/>
  <c r="D106" i="74"/>
  <c r="D104" i="74"/>
  <c r="D102" i="74"/>
  <c r="D107" i="74"/>
  <c r="D105" i="74"/>
  <c r="I118" i="74"/>
  <c r="J118" i="74" s="1"/>
  <c r="K118" i="74" s="1"/>
  <c r="L118" i="74" s="1"/>
  <c r="M118" i="74" s="1"/>
  <c r="I116" i="74"/>
  <c r="J116" i="74" s="1"/>
  <c r="K116" i="74" s="1"/>
  <c r="L116" i="74" s="1"/>
  <c r="M116" i="74" s="1"/>
  <c r="I117" i="74"/>
  <c r="J117" i="74" s="1"/>
  <c r="K117" i="74" s="1"/>
  <c r="L117" i="74" s="1"/>
  <c r="M117" i="74" s="1"/>
  <c r="D117" i="74"/>
  <c r="E117" i="74" s="1"/>
  <c r="F117" i="74" s="1"/>
  <c r="G117" i="74" s="1"/>
  <c r="H117" i="74" s="1"/>
  <c r="I115" i="74"/>
  <c r="J115" i="74" s="1"/>
  <c r="K115" i="74" s="1"/>
  <c r="L115" i="74" s="1"/>
  <c r="M115" i="74" s="1"/>
  <c r="D115" i="74"/>
  <c r="E115" i="74" s="1"/>
  <c r="F115" i="74" s="1"/>
  <c r="G115" i="74" s="1"/>
  <c r="H115" i="74" s="1"/>
  <c r="D118" i="74"/>
  <c r="E118" i="74" s="1"/>
  <c r="F118" i="74" s="1"/>
  <c r="G118" i="74"/>
  <c r="H118" i="74" s="1"/>
  <c r="D116" i="74"/>
  <c r="E116" i="74" s="1"/>
  <c r="F116" i="74" s="1"/>
  <c r="G116" i="74" s="1"/>
  <c r="H116" i="74" s="1"/>
  <c r="B117" i="74"/>
  <c r="C117" i="74" s="1"/>
  <c r="B118" i="74"/>
  <c r="C118" i="74" s="1"/>
  <c r="B115" i="74"/>
  <c r="B116" i="74"/>
  <c r="C116" i="74" s="1"/>
  <c r="F109" i="74"/>
  <c r="F106" i="74"/>
  <c r="F104" i="74"/>
  <c r="F102" i="74"/>
  <c r="F107" i="74"/>
  <c r="F105" i="74"/>
  <c r="F103" i="74"/>
  <c r="H109" i="74"/>
  <c r="H105" i="74"/>
  <c r="H103" i="74"/>
  <c r="H106" i="74"/>
  <c r="H104" i="74"/>
  <c r="H102" i="74"/>
  <c r="H107" i="74"/>
  <c r="J103" i="73"/>
  <c r="J106" i="73"/>
  <c r="J104" i="73"/>
  <c r="J102" i="73"/>
  <c r="J109" i="73"/>
  <c r="J107" i="73"/>
  <c r="J105" i="73"/>
  <c r="K107" i="46"/>
  <c r="K102" i="46"/>
  <c r="K104" i="46"/>
  <c r="K109" i="46"/>
  <c r="K103" i="46"/>
  <c r="K105" i="46"/>
  <c r="K106" i="46"/>
  <c r="C17" i="43"/>
  <c r="C14" i="43"/>
  <c r="J109" i="74"/>
  <c r="J105" i="74"/>
  <c r="J103" i="74"/>
  <c r="J106" i="74"/>
  <c r="J104" i="74"/>
  <c r="J102" i="74"/>
  <c r="J107" i="74"/>
  <c r="J24" i="15"/>
  <c r="J26" i="15"/>
  <c r="J29" i="15" s="1"/>
  <c r="F109" i="73"/>
  <c r="F105" i="73"/>
  <c r="F103" i="73"/>
  <c r="F102" i="73"/>
  <c r="F104" i="73"/>
  <c r="F107" i="73"/>
  <c r="F106" i="73"/>
  <c r="C106" i="73"/>
  <c r="C104" i="73"/>
  <c r="C109" i="73"/>
  <c r="C105" i="73"/>
  <c r="C107" i="73"/>
  <c r="C102" i="73"/>
  <c r="C103" i="73"/>
  <c r="R19" i="6"/>
  <c r="H27" i="6"/>
  <c r="G104" i="46"/>
  <c r="G107" i="46"/>
  <c r="G109" i="46"/>
  <c r="G103" i="46"/>
  <c r="G105" i="46"/>
  <c r="G102" i="46"/>
  <c r="G106" i="46"/>
  <c r="N109" i="46"/>
  <c r="N103" i="46"/>
  <c r="N107" i="46"/>
  <c r="N102" i="46"/>
  <c r="N106" i="46"/>
  <c r="N105" i="46"/>
  <c r="N104" i="46"/>
  <c r="D107" i="46"/>
  <c r="D103" i="46"/>
  <c r="D105" i="46"/>
  <c r="D104" i="46"/>
  <c r="D106" i="46"/>
  <c r="D109" i="46"/>
  <c r="D102" i="46"/>
  <c r="L102" i="46"/>
  <c r="L104" i="46"/>
  <c r="L109" i="46"/>
  <c r="L107" i="46"/>
  <c r="L106" i="46"/>
  <c r="L105" i="46"/>
  <c r="L103" i="46"/>
  <c r="H106" i="46"/>
  <c r="H105" i="46"/>
  <c r="H102" i="46"/>
  <c r="H104" i="46"/>
  <c r="H103" i="46"/>
  <c r="H107" i="46"/>
  <c r="H109" i="46"/>
  <c r="L105" i="74"/>
  <c r="L109" i="74"/>
  <c r="L103" i="74"/>
  <c r="L106" i="74"/>
  <c r="L104" i="74"/>
  <c r="L102" i="74"/>
  <c r="L107" i="74"/>
  <c r="G109" i="74"/>
  <c r="G103" i="74"/>
  <c r="G104" i="74"/>
  <c r="G102" i="74"/>
  <c r="G106" i="74"/>
  <c r="G107" i="74"/>
  <c r="G105" i="74"/>
  <c r="M107" i="74"/>
  <c r="M105" i="74"/>
  <c r="M103" i="74"/>
  <c r="M106" i="74"/>
  <c r="M109" i="74"/>
  <c r="M104" i="74"/>
  <c r="M102" i="74"/>
  <c r="C105" i="74"/>
  <c r="C103" i="74"/>
  <c r="C107" i="74"/>
  <c r="C109" i="74"/>
  <c r="C106" i="74"/>
  <c r="C104" i="74"/>
  <c r="C102" i="74"/>
  <c r="K102" i="74"/>
  <c r="K103" i="74"/>
  <c r="K107" i="74"/>
  <c r="K105" i="74"/>
  <c r="K106" i="74"/>
  <c r="K104" i="74"/>
  <c r="K109" i="74"/>
  <c r="I104" i="74"/>
  <c r="I102" i="74"/>
  <c r="I109" i="74"/>
  <c r="I107" i="74"/>
  <c r="I105" i="74"/>
  <c r="I103" i="74"/>
  <c r="I106" i="74"/>
  <c r="E109" i="74"/>
  <c r="E105" i="74"/>
  <c r="E103" i="74"/>
  <c r="E106" i="74"/>
  <c r="E104" i="74"/>
  <c r="E102" i="74"/>
  <c r="E107" i="74"/>
  <c r="M109" i="73"/>
  <c r="M104" i="73"/>
  <c r="M102" i="73"/>
  <c r="M107" i="73"/>
  <c r="M105" i="73"/>
  <c r="M103" i="73"/>
  <c r="M106" i="73"/>
  <c r="K106" i="73"/>
  <c r="K109" i="73"/>
  <c r="K103" i="73"/>
  <c r="K105" i="73"/>
  <c r="K107" i="73"/>
  <c r="K102" i="73"/>
  <c r="K104" i="73"/>
  <c r="N109" i="74"/>
  <c r="N106" i="74"/>
  <c r="N104" i="74"/>
  <c r="N102" i="74"/>
  <c r="N107" i="74"/>
  <c r="N105" i="74"/>
  <c r="N103" i="74"/>
  <c r="H109" i="73"/>
  <c r="H102" i="73"/>
  <c r="H107" i="73"/>
  <c r="H105" i="73"/>
  <c r="H103" i="73"/>
  <c r="H106" i="73"/>
  <c r="H104" i="73"/>
  <c r="G102" i="73"/>
  <c r="G107" i="73"/>
  <c r="G105" i="73"/>
  <c r="G103" i="73"/>
  <c r="G106" i="73"/>
  <c r="G104" i="73"/>
  <c r="G109" i="73"/>
  <c r="M107" i="46"/>
  <c r="M105" i="46"/>
  <c r="M104" i="46"/>
  <c r="M103" i="46"/>
  <c r="M109" i="46"/>
  <c r="M106" i="46"/>
  <c r="M102" i="46"/>
  <c r="J104" i="46"/>
  <c r="J109" i="46"/>
  <c r="J103" i="46"/>
  <c r="J106" i="46"/>
  <c r="J107" i="46"/>
  <c r="J105" i="46"/>
  <c r="J102" i="46"/>
  <c r="L109" i="73"/>
  <c r="L106" i="73"/>
  <c r="L104" i="73"/>
  <c r="L103" i="73"/>
  <c r="L102" i="73"/>
  <c r="L107" i="73"/>
  <c r="L105" i="73"/>
  <c r="D22" i="73"/>
  <c r="C29" i="73" s="1"/>
  <c r="C2" i="69" s="1"/>
  <c r="I109" i="73"/>
  <c r="I106" i="73"/>
  <c r="I104" i="73"/>
  <c r="I102" i="73"/>
  <c r="I107" i="73"/>
  <c r="I105" i="73"/>
  <c r="I103" i="73"/>
  <c r="E106" i="46"/>
  <c r="E103" i="46"/>
  <c r="E107" i="46"/>
  <c r="E109" i="46"/>
  <c r="E104" i="46"/>
  <c r="E102" i="46"/>
  <c r="E105" i="46"/>
  <c r="D115" i="46"/>
  <c r="E115" i="46" s="1"/>
  <c r="F115" i="46" s="1"/>
  <c r="G115" i="46" s="1"/>
  <c r="H115" i="46" s="1"/>
  <c r="B117" i="46"/>
  <c r="C117" i="46" s="1"/>
  <c r="G118" i="46"/>
  <c r="H118" i="46" s="1"/>
  <c r="I115" i="46"/>
  <c r="J115" i="46" s="1"/>
  <c r="K115" i="46" s="1"/>
  <c r="L115" i="46" s="1"/>
  <c r="M115" i="46" s="1"/>
  <c r="B118" i="46"/>
  <c r="C118" i="46" s="1"/>
  <c r="B115" i="46"/>
  <c r="C115" i="46" s="1"/>
  <c r="D113" i="46" s="1"/>
  <c r="I116" i="46"/>
  <c r="J116" i="46" s="1"/>
  <c r="K116" i="46" s="1"/>
  <c r="L116" i="46" s="1"/>
  <c r="M116" i="46" s="1"/>
  <c r="I118" i="46"/>
  <c r="J118" i="46" s="1"/>
  <c r="K118" i="46" s="1"/>
  <c r="L118" i="46" s="1"/>
  <c r="M118" i="46" s="1"/>
  <c r="B116" i="46"/>
  <c r="C116" i="46" s="1"/>
  <c r="D116" i="46"/>
  <c r="E116" i="46" s="1"/>
  <c r="F116" i="46" s="1"/>
  <c r="G116" i="46" s="1"/>
  <c r="H116" i="46" s="1"/>
  <c r="I117" i="46"/>
  <c r="J117" i="46" s="1"/>
  <c r="K117" i="46" s="1"/>
  <c r="L117" i="46" s="1"/>
  <c r="M117" i="46" s="1"/>
  <c r="D117" i="46"/>
  <c r="E117" i="46" s="1"/>
  <c r="F117" i="46" s="1"/>
  <c r="G117" i="46" s="1"/>
  <c r="H117" i="46" s="1"/>
  <c r="D118" i="46"/>
  <c r="E118" i="46" s="1"/>
  <c r="F118" i="46" s="1"/>
  <c r="I102" i="46"/>
  <c r="I105" i="46"/>
  <c r="I107" i="46"/>
  <c r="I104" i="46"/>
  <c r="I103" i="46"/>
  <c r="I109" i="46"/>
  <c r="I106" i="46"/>
  <c r="P16" i="1"/>
  <c r="D8" i="59"/>
  <c r="C7" i="59"/>
  <c r="L67" i="40"/>
  <c r="M65" i="40"/>
  <c r="M70" i="39"/>
  <c r="L72" i="39"/>
  <c r="J14" i="76" l="1"/>
  <c r="J19" i="76"/>
  <c r="J17" i="76" s="1"/>
  <c r="Q50" i="76"/>
  <c r="C13" i="76"/>
  <c r="C56" i="76"/>
  <c r="C63" i="76" s="1"/>
  <c r="C36" i="76"/>
  <c r="C27" i="77"/>
  <c r="B2" i="77" s="1"/>
  <c r="C21" i="44"/>
  <c r="C22" i="44" s="1"/>
  <c r="C28" i="44" s="1"/>
  <c r="C19" i="15"/>
  <c r="C20" i="15" s="1"/>
  <c r="C23" i="15" s="1"/>
  <c r="C18" i="43"/>
  <c r="C19" i="43" s="1"/>
  <c r="C21" i="43" s="1"/>
  <c r="E29" i="74"/>
  <c r="C26" i="74" s="1"/>
  <c r="B2" i="74" s="1"/>
  <c r="C30" i="74"/>
  <c r="E30" i="74" s="1"/>
  <c r="C27" i="74" s="1"/>
  <c r="C115" i="73"/>
  <c r="D113" i="73"/>
  <c r="C23" i="74"/>
  <c r="S5" i="74"/>
  <c r="T5" i="74" s="1"/>
  <c r="V5" i="74" s="1"/>
  <c r="S6" i="74"/>
  <c r="T6" i="74" s="1"/>
  <c r="V6" i="74" s="1"/>
  <c r="S4" i="74"/>
  <c r="T4" i="74" s="1"/>
  <c r="V4" i="74" s="1"/>
  <c r="S2" i="74"/>
  <c r="T2" i="74" s="1"/>
  <c r="V2" i="74" s="1"/>
  <c r="S7" i="74"/>
  <c r="T7" i="74" s="1"/>
  <c r="V7" i="74" s="1"/>
  <c r="S3" i="74"/>
  <c r="T3" i="74" s="1"/>
  <c r="V3" i="74" s="1"/>
  <c r="R6" i="1"/>
  <c r="R27" i="6"/>
  <c r="D113" i="74"/>
  <c r="C115" i="74"/>
  <c r="C23" i="46"/>
  <c r="C29" i="46" s="1"/>
  <c r="C6" i="69" s="1"/>
  <c r="S6" i="73"/>
  <c r="T6" i="73" s="1"/>
  <c r="V6" i="73" s="1"/>
  <c r="S4" i="73"/>
  <c r="T4" i="73" s="1"/>
  <c r="V4" i="73" s="1"/>
  <c r="S7" i="73"/>
  <c r="T7" i="73" s="1"/>
  <c r="V7" i="73" s="1"/>
  <c r="S3" i="73"/>
  <c r="T3" i="73" s="1"/>
  <c r="V3" i="73" s="1"/>
  <c r="C23" i="73"/>
  <c r="S2" i="73"/>
  <c r="T2" i="73" s="1"/>
  <c r="V2" i="73" s="1"/>
  <c r="S5" i="73"/>
  <c r="T5" i="73" s="1"/>
  <c r="V5" i="73" s="1"/>
  <c r="E29" i="73"/>
  <c r="C26" i="73" s="1"/>
  <c r="B2" i="73" s="1"/>
  <c r="C30" i="73"/>
  <c r="E30" i="73" s="1"/>
  <c r="C27" i="73" s="1"/>
  <c r="S3" i="46"/>
  <c r="T3" i="46" s="1"/>
  <c r="V3" i="46" s="1"/>
  <c r="S7" i="46"/>
  <c r="T7" i="46" s="1"/>
  <c r="V7" i="46" s="1"/>
  <c r="S2" i="46"/>
  <c r="T2" i="46" s="1"/>
  <c r="V2" i="46" s="1"/>
  <c r="S5" i="46"/>
  <c r="T5" i="46" s="1"/>
  <c r="V5" i="46" s="1"/>
  <c r="S4" i="46"/>
  <c r="T4" i="46" s="1"/>
  <c r="V4" i="46" s="1"/>
  <c r="S6" i="46"/>
  <c r="T6" i="46" s="1"/>
  <c r="V6" i="46" s="1"/>
  <c r="C33" i="15"/>
  <c r="J59" i="15"/>
  <c r="J60" i="15" s="1"/>
  <c r="Q49" i="15" s="1"/>
  <c r="D7" i="59"/>
  <c r="C6" i="59"/>
  <c r="C5" i="59" s="1"/>
  <c r="M72" i="39"/>
  <c r="N70" i="39"/>
  <c r="N72" i="39" s="1"/>
  <c r="J9" i="39" s="1"/>
  <c r="F9" i="39"/>
  <c r="H9" i="39"/>
  <c r="N65" i="40"/>
  <c r="N67" i="40" s="1"/>
  <c r="M67" i="40"/>
  <c r="H9" i="40" s="1"/>
  <c r="M21" i="15"/>
  <c r="F35" i="15"/>
  <c r="B3" i="77"/>
  <c r="B5" i="77"/>
  <c r="J35" i="76" l="1"/>
  <c r="C37" i="76"/>
  <c r="C30" i="76" s="1"/>
  <c r="C39" i="76" s="1"/>
  <c r="Q71" i="76"/>
  <c r="C55" i="76"/>
  <c r="C64" i="76" s="1"/>
  <c r="C57" i="76" s="1"/>
  <c r="C66" i="76" s="1"/>
  <c r="C67" i="76" s="1"/>
  <c r="J13" i="76"/>
  <c r="J23" i="76" s="1"/>
  <c r="J22" i="76"/>
  <c r="D5" i="59"/>
  <c r="M20" i="74"/>
  <c r="D6" i="69"/>
  <c r="D8" i="69" s="1"/>
  <c r="C20" i="43"/>
  <c r="C23" i="43" s="1"/>
  <c r="C26" i="15"/>
  <c r="C29" i="15" s="1"/>
  <c r="C25" i="44"/>
  <c r="C31" i="44" s="1"/>
  <c r="J20" i="15"/>
  <c r="F62" i="15"/>
  <c r="C61" i="15" s="1"/>
  <c r="C34" i="15"/>
  <c r="C31" i="15" s="1"/>
  <c r="D4" i="73"/>
  <c r="B4" i="73"/>
  <c r="B3" i="73"/>
  <c r="E29" i="46"/>
  <c r="C26" i="46" s="1"/>
  <c r="B2" i="46" s="1"/>
  <c r="C30" i="46"/>
  <c r="E30" i="46" s="1"/>
  <c r="C27" i="46" s="1"/>
  <c r="R16" i="1"/>
  <c r="C8" i="11"/>
  <c r="C7" i="11" s="1"/>
  <c r="B3" i="74"/>
  <c r="B4" i="74"/>
  <c r="D4" i="74"/>
  <c r="D6" i="59"/>
  <c r="M20" i="73" s="1"/>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B4" i="77"/>
  <c r="L51" i="76"/>
  <c r="Q68" i="76" l="1"/>
  <c r="L57" i="76"/>
  <c r="L60" i="76" s="1"/>
  <c r="C70" i="76"/>
  <c r="Q70" i="76"/>
  <c r="Q69" i="76" s="1"/>
  <c r="C40" i="76"/>
  <c r="J16" i="76"/>
  <c r="J25" i="76" s="1"/>
  <c r="J39" i="76"/>
  <c r="J40" i="76" s="1"/>
  <c r="E6" i="69"/>
  <c r="F8" i="69" s="1"/>
  <c r="C8" i="69"/>
  <c r="C18" i="11"/>
  <c r="C17" i="11"/>
  <c r="C13" i="15"/>
  <c r="J14" i="15"/>
  <c r="Q50" i="15"/>
  <c r="J19" i="15"/>
  <c r="J17" i="15" s="1"/>
  <c r="C56" i="15"/>
  <c r="C36" i="15"/>
  <c r="D4" i="46"/>
  <c r="B3" i="46"/>
  <c r="B4" i="46"/>
  <c r="Q51" i="44"/>
  <c r="J21" i="44"/>
  <c r="J19" i="44" s="1"/>
  <c r="C38" i="44"/>
  <c r="C15" i="44"/>
  <c r="C35" i="44"/>
  <c r="C33" i="44" s="1"/>
  <c r="J16" i="44"/>
  <c r="W9" i="40"/>
  <c r="E49" i="39"/>
  <c r="R50" i="39"/>
  <c r="I53" i="39"/>
  <c r="J53" i="39" s="1"/>
  <c r="G53" i="39"/>
  <c r="H53" i="39" s="1"/>
  <c r="G54" i="39"/>
  <c r="H54" i="39" s="1"/>
  <c r="AA9" i="40"/>
  <c r="R44" i="40" s="1"/>
  <c r="S9" i="40"/>
  <c r="G49" i="40"/>
  <c r="H49" i="40" s="1"/>
  <c r="I48" i="40"/>
  <c r="J48" i="40" s="1"/>
  <c r="C19" i="11" l="1"/>
  <c r="C20" i="11" s="1"/>
  <c r="C21" i="11" s="1"/>
  <c r="C22" i="11" s="1"/>
  <c r="C23" i="11" s="1"/>
  <c r="B2" i="11" s="1"/>
  <c r="B5" i="11" s="1"/>
  <c r="C10" i="78"/>
  <c r="C6" i="78" s="1"/>
  <c r="B2" i="76"/>
  <c r="B3" i="76" s="1"/>
  <c r="Q66" i="76"/>
  <c r="C43" i="76"/>
  <c r="Q48" i="76"/>
  <c r="Q54" i="76" s="1"/>
  <c r="Q57" i="76"/>
  <c r="J42" i="76"/>
  <c r="J43" i="76" s="1"/>
  <c r="C46" i="76"/>
  <c r="Q67" i="76"/>
  <c r="Q58" i="76"/>
  <c r="J13" i="15"/>
  <c r="J23" i="15" s="1"/>
  <c r="J22" i="15"/>
  <c r="J35" i="15"/>
  <c r="Q71" i="15"/>
  <c r="C55" i="15"/>
  <c r="C64" i="15" s="1"/>
  <c r="C37" i="15"/>
  <c r="C30" i="15" s="1"/>
  <c r="C39" i="15" s="1"/>
  <c r="J15" i="44"/>
  <c r="J25" i="44" s="1"/>
  <c r="J24" i="44"/>
  <c r="Q72" i="44"/>
  <c r="C39" i="44"/>
  <c r="C32" i="44" s="1"/>
  <c r="C42" i="44" s="1"/>
  <c r="C43" i="44"/>
  <c r="C60" i="15"/>
  <c r="C58" i="15" s="1"/>
  <c r="C63" i="15"/>
  <c r="R45" i="40"/>
  <c r="E44" i="40"/>
  <c r="E54" i="39"/>
  <c r="F54" i="39" s="1"/>
  <c r="E53" i="39"/>
  <c r="F53" i="39" s="1"/>
  <c r="I54" i="39"/>
  <c r="J54" i="39" s="1"/>
  <c r="C49" i="39"/>
  <c r="C50" i="39"/>
  <c r="L51" i="15"/>
  <c r="Q63" i="76" l="1"/>
  <c r="B4" i="11"/>
  <c r="B3" i="11"/>
  <c r="G2" i="69" s="1"/>
  <c r="G6" i="69" s="1"/>
  <c r="G10" i="69" s="1"/>
  <c r="Q76" i="76"/>
  <c r="C25" i="78"/>
  <c r="C24" i="78"/>
  <c r="J18" i="44"/>
  <c r="J27" i="44" s="1"/>
  <c r="J16" i="15"/>
  <c r="J25" i="15" s="1"/>
  <c r="L57" i="15"/>
  <c r="L60" i="15" s="1"/>
  <c r="Q68" i="15"/>
  <c r="C40" i="15"/>
  <c r="C10" i="43" s="1"/>
  <c r="C6" i="43" s="1"/>
  <c r="Q70" i="15"/>
  <c r="Q69" i="15" s="1"/>
  <c r="J39" i="15"/>
  <c r="J40" i="15" s="1"/>
  <c r="Q71" i="44"/>
  <c r="Q70" i="44" s="1"/>
  <c r="C44" i="44"/>
  <c r="C45" i="44" s="1"/>
  <c r="C57" i="15"/>
  <c r="C66" i="15" s="1"/>
  <c r="C67" i="15"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27" i="78" l="1"/>
  <c r="B2" i="78" s="1"/>
  <c r="H7" i="69"/>
  <c r="C25" i="43"/>
  <c r="C24" i="43"/>
  <c r="L52" i="44"/>
  <c r="B2" i="44"/>
  <c r="C10" i="12"/>
  <c r="C6" i="12" s="1"/>
  <c r="Q48" i="15"/>
  <c r="Q54" i="15" s="1"/>
  <c r="J42" i="15"/>
  <c r="J43" i="15" s="1"/>
  <c r="Q66" i="15"/>
  <c r="Q57" i="15"/>
  <c r="C43" i="15"/>
  <c r="C70" i="15"/>
  <c r="C46" i="15"/>
  <c r="L46" i="15"/>
  <c r="B2" i="15" s="1"/>
  <c r="B3" i="15" s="1"/>
  <c r="Q58" i="15"/>
  <c r="Q67" i="15"/>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78"/>
  <c r="B4" i="78"/>
  <c r="H8" i="69" l="1"/>
  <c r="F13" i="79"/>
  <c r="R5" i="79" s="1"/>
  <c r="J7" i="69"/>
  <c r="C27" i="43"/>
  <c r="B2" i="43" s="1"/>
  <c r="Q63" i="15"/>
  <c r="Q76" i="15"/>
  <c r="C24" i="12"/>
  <c r="C29" i="12"/>
  <c r="B4" i="44"/>
  <c r="B5" i="44"/>
  <c r="B3" i="44"/>
  <c r="Q69" i="44"/>
  <c r="L58" i="44"/>
  <c r="L61" i="44" s="1"/>
  <c r="B3" i="40"/>
  <c r="B5" i="40"/>
  <c r="B4" i="40"/>
  <c r="B3" i="43"/>
  <c r="B5" i="43"/>
  <c r="B4" i="43"/>
  <c r="B3" i="78"/>
  <c r="D10" i="69" l="1"/>
  <c r="C12" i="69" s="1"/>
  <c r="D2" i="69"/>
  <c r="Q59" i="44"/>
  <c r="Q64" i="44" s="1"/>
  <c r="Q68" i="44"/>
  <c r="Q77" i="44" s="1"/>
  <c r="C35" i="12"/>
  <c r="C33" i="12" s="1"/>
  <c r="C28" i="12"/>
  <c r="C26" i="12" s="1"/>
  <c r="C31" i="12" s="1"/>
  <c r="C30" i="12" s="1"/>
  <c r="D12" i="69" l="1"/>
  <c r="E10" i="69"/>
  <c r="F12" i="69" s="1"/>
  <c r="H11" i="69" s="1"/>
  <c r="F11" i="79" s="1"/>
  <c r="U5" i="79" s="1"/>
  <c r="C36" i="12"/>
  <c r="B2" i="12" s="1"/>
  <c r="D4" i="69"/>
  <c r="C4" i="69"/>
  <c r="E2" i="69"/>
  <c r="B3" i="12"/>
  <c r="B4" i="12"/>
  <c r="B5" i="12"/>
  <c r="F9" i="79" l="1"/>
  <c r="S5" i="79" s="1"/>
  <c r="F10" i="79"/>
  <c r="T5" i="79" s="1"/>
  <c r="J11" i="69"/>
  <c r="H12" i="69"/>
  <c r="F4" i="69"/>
  <c r="K4" i="69" s="1"/>
  <c r="F12" i="79" l="1"/>
  <c r="H3" i="69"/>
  <c r="F7" i="79" s="1"/>
  <c r="Q5" i="79" s="1"/>
  <c r="K3" i="69"/>
  <c r="F5" i="79" l="1"/>
  <c r="O5" i="79" s="1"/>
  <c r="F6" i="79"/>
  <c r="P5" i="79" s="1"/>
  <c r="J3" i="69"/>
  <c r="J13" i="69" s="1"/>
  <c r="L13" i="69" s="1"/>
  <c r="F4" i="79"/>
  <c r="N5" i="79" s="1"/>
  <c r="H4" i="69"/>
  <c r="F8" i="79" l="1"/>
  <c r="F14" i="79" s="1"/>
  <c r="E14" i="66"/>
  <c r="H13" i="69"/>
  <c r="B5" i="66"/>
  <c r="D5" i="66" s="1"/>
  <c r="F14"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<sst xmlns="http://schemas.openxmlformats.org/spreadsheetml/2006/main" count="8965" uniqueCount="3374">
  <si>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</si>
  <si>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</si>
  <si>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</si>
  <si>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</si>
  <si>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</si>
  <si>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</si>
  <si>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</si>
  <si>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</si>
  <si>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</si>
  <si>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</si>
  <si>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</si>
  <si>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</si>
  <si>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</si>
  <si>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</si>
  <si>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</si>
  <si>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</si>
  <si>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</si>
  <si>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</si>
  <si>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</si>
  <si>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</si>
  <si>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</si>
  <si>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</si>
  <si>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</si>
  <si>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</si>
  <si>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</si>
  <si>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</si>
  <si>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</si>
  <si>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</si>
  <si>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</si>
  <si>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</si>
  <si>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</si>
  <si>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</si>
  <si>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</si>
  <si>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</si>
  <si>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</si>
  <si>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</si>
  <si>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</si>
  <si>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</si>
  <si>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</si>
  <si>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</si>
  <si>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</si>
  <si>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</si>
  <si>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</si>
  <si>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</si>
  <si>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</si>
  <si>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</si>
  <si>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</si>
  <si>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</si>
  <si>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</si>
  <si>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</si>
  <si>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</si>
  <si>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</si>
  <si>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</si>
  <si>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</si>
  <si>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</si>
  <si>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</si>
  <si>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</si>
  <si>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</si>
  <si>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</si>
  <si>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</si>
  <si>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</si>
  <si>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</si>
  <si>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</si>
  <si>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</si>
  <si>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</si>
  <si>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</si>
  <si>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</si>
  <si>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</si>
  <si>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</si>
  <si>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</si>
  <si>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</si>
  <si>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</si>
  <si>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</si>
  <si>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</si>
  <si>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</si>
  <si>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</si>
  <si>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</si>
  <si>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</si>
  <si>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</si>
  <si>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</si>
  <si>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</si>
  <si>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</si>
  <si>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</si>
  <si>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</si>
  <si>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</si>
  <si>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</si>
  <si>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</si>
  <si>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</si>
  <si>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</si>
  <si>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</si>
  <si>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</si>
  <si>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</si>
  <si>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</si>
  <si>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</si>
  <si>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</si>
  <si>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</si>
  <si>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</si>
  <si>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</si>
  <si>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</si>
  <si>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</si>
  <si>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</si>
  <si>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</si>
  <si>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</si>
  <si>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</si>
  <si>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</si>
  <si>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</si>
  <si>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</si>
  <si>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</si>
  <si>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</si>
  <si>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</si>
  <si>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</si>
  <si>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</si>
  <si>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</si>
  <si>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</si>
  <si>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</si>
  <si>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</si>
  <si>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</si>
  <si>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</si>
  <si>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</si>
  <si>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</si>
  <si>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</si>
  <si>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</si>
  <si>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</si>
  <si>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</si>
  <si>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</si>
  <si>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</si>
  <si>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</si>
  <si>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</si>
  <si>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</si>
  <si>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</si>
  <si>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</si>
  <si>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</si>
  <si>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</si>
  <si>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</si>
  <si>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</si>
  <si>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</si>
  <si>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</si>
  <si>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</si>
  <si>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</si>
  <si>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</si>
  <si>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</si>
  <si>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</si>
  <si>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</si>
  <si>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</si>
  <si>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</si>
  <si>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</si>
  <si>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</si>
  <si>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</si>
  <si>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</si>
  <si>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</si>
  <si>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</si>
  <si>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</si>
  <si>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</si>
  <si>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</si>
  <si>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</si>
  <si>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</si>
  <si>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</si>
  <si>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</si>
  <si>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</si>
  <si>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</si>
  <si>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</si>
  <si>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</si>
  <si>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</si>
  <si>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</si>
  <si>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</si>
  <si>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</si>
  <si>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</si>
  <si>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</si>
  <si>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</si>
  <si>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</si>
  <si>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</si>
  <si>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</si>
  <si>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</si>
  <si>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</si>
  <si>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</si>
  <si>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</si>
  <si>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</si>
  <si>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</si>
  <si>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</si>
  <si>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</si>
  <si>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</si>
  <si>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</si>
  <si>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</si>
  <si>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</si>
  <si>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</si>
  <si>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</si>
  <si>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</si>
  <si>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</si>
  <si>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</si>
  <si>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</si>
  <si>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</si>
  <si>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</si>
  <si>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</si>
  <si>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</si>
  <si>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</si>
  <si>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</si>
  <si>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</si>
  <si>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</si>
  <si>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</si>
  <si>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</si>
  <si>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</si>
  <si>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</si>
  <si>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</si>
  <si>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</si>
  <si>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</si>
  <si>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</si>
  <si>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</si>
  <si>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</si>
  <si>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</si>
  <si>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</si>
  <si>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</si>
  <si>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</si>
  <si>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</si>
  <si>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</si>
  <si>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</si>
  <si>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</si>
  <si>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</si>
  <si>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</si>
  <si>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</si>
  <si>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</si>
  <si>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</si>
  <si>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</si>
  <si>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</si>
  <si>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</si>
  <si>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</si>
  <si>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</si>
  <si>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</si>
  <si>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</si>
  <si>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</si>
  <si>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</si>
  <si>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</si>
  <si>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</si>
  <si>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</si>
  <si>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</si>
  <si>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</si>
  <si>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</si>
  <si>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</si>
  <si>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</si>
  <si>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</si>
  <si>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</si>
  <si>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</si>
  <si>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</si>
  <si>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</si>
  <si>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</si>
  <si>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</si>
  <si>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</si>
  <si>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</si>
  <si>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</si>
  <si>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</si>
  <si>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</si>
  <si>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</si>
  <si>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</si>
  <si>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</si>
  <si>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</si>
  <si>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</si>
  <si>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</si>
  <si>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</si>
  <si>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</si>
  <si>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</si>
  <si>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</si>
  <si>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</si>
  <si>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</si>
  <si>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</si>
  <si>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</si>
  <si>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</si>
  <si>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</si>
  <si>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</si>
  <si>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</si>
  <si>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</si>
  <si>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</si>
  <si>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</si>
  <si>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</si>
  <si>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</si>
  <si>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</si>
  <si>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</si>
  <si>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</si>
  <si>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</si>
  <si>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</si>
  <si>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</si>
  <si>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</si>
  <si>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</si>
  <si>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</si>
  <si>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</si>
  <si>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</si>
  <si>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</si>
  <si>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</si>
  <si>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</si>
  <si>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</si>
  <si>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</si>
  <si>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</si>
  <si>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</si>
  <si>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</si>
  <si>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</si>
  <si>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</si>
  <si>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</si>
  <si>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</si>
  <si>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</si>
  <si>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</si>
  <si>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</si>
  <si>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</si>
  <si>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</si>
  <si>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</si>
  <si>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</si>
  <si>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</si>
  <si>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</si>
  <si>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</si>
  <si>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</si>
  <si>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</si>
  <si>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</si>
  <si>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</si>
  <si>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</si>
  <si>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</si>
  <si>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</si>
  <si>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</si>
  <si>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</si>
  <si>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</si>
  <si>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</si>
  <si>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</si>
  <si>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</si>
  <si>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</si>
  <si>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</si>
  <si>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</si>
  <si>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</si>
  <si>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</si>
  <si>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</si>
  <si>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</si>
  <si>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</si>
  <si>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</si>
  <si>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</si>
  <si>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</si>
  <si>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</si>
  <si>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</si>
  <si>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</si>
  <si>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</si>
  <si>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</si>
  <si>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</si>
  <si>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</si>
  <si>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</si>
  <si>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</si>
  <si>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</si>
  <si>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</si>
  <si>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</si>
  <si>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</si>
  <si>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</si>
  <si>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</si>
  <si>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</si>
  <si>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</si>
  <si>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</si>
  <si>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</si>
  <si>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</si>
  <si>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</si>
  <si>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</si>
  <si>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</si>
  <si>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</si>
  <si>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</si>
  <si>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</si>
  <si>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</si>
  <si>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</si>
  <si>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</si>
  <si>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</si>
  <si>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</si>
  <si>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</si>
  <si>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</si>
  <si>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</si>
  <si>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</si>
  <si>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</si>
  <si>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</si>
  <si>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</si>
  <si>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</si>
  <si>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</si>
  <si>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</si>
  <si>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</si>
  <si>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</si>
  <si>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</si>
  <si>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</si>
  <si>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</si>
  <si>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</si>
  <si>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</si>
  <si>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</si>
  <si>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</si>
  <si>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</si>
  <si>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</si>
  <si>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</si>
  <si>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</si>
  <si>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</si>
  <si>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</si>
  <si>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</si>
  <si>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</si>
  <si>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</si>
  <si>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</si>
  <si>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</si>
  <si>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</si>
  <si>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</si>
  <si>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</si>
  <si>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</si>
  <si>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</si>
  <si>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</si>
  <si>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</si>
  <si>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</si>
  <si>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</si>
  <si>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</si>
  <si>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</si>
  <si>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</si>
  <si>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</si>
  <si>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</si>
  <si>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</si>
  <si>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</si>
  <si>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</si>
  <si>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</si>
  <si>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</si>
  <si>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</si>
  <si>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</si>
  <si>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</si>
  <si>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</si>
  <si>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</si>
  <si>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</si>
  <si>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</si>
  <si>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</si>
  <si>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</si>
  <si>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</si>
  <si>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</si>
  <si>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</si>
  <si>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</si>
  <si>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</si>
  <si>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</si>
  <si>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</si>
  <si>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</si>
  <si>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</si>
  <si>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</si>
  <si>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</si>
  <si>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</si>
  <si>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</si>
  <si>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</si>
  <si>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</si>
  <si>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</si>
  <si>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</si>
  <si>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</si>
  <si>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</si>
  <si>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</si>
  <si>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</si>
  <si>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</si>
  <si>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</si>
  <si>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</si>
  <si>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</si>
  <si>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</si>
  <si>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</si>
  <si>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</si>
  <si>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</si>
  <si>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</si>
  <si>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</si>
  <si>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</si>
  <si>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</si>
  <si>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</si>
  <si>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</si>
  <si>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</si>
  <si>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</si>
  <si>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</si>
  <si>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</si>
  <si>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</si>
  <si>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</si>
  <si>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</si>
  <si>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</si>
  <si>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</si>
  <si>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</si>
  <si>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</si>
  <si>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</si>
  <si>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</si>
  <si>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</si>
  <si>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</si>
  <si>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</si>
  <si>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</si>
  <si>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</si>
  <si>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</si>
  <si>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</si>
  <si>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</si>
  <si>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</si>
  <si>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</si>
  <si>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</si>
  <si>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</si>
  <si>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</si>
  <si>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</si>
  <si>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</si>
  <si>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</si>
  <si>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</si>
  <si>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</si>
  <si>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</si>
  <si>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</si>
  <si>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</si>
  <si>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</si>
  <si>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</si>
  <si>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</si>
  <si>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</si>
  <si>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</si>
  <si>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</si>
  <si>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</si>
  <si>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</si>
  <si>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</si>
  <si>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</si>
  <si>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</si>
  <si>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</si>
  <si>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</si>
  <si>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</si>
  <si>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</si>
  <si>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</si>
  <si>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</si>
  <si>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</si>
  <si>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</si>
  <si>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</si>
  <si>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</si>
  <si>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</si>
  <si>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</si>
  <si>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</si>
  <si>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</si>
  <si>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</si>
  <si>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</si>
  <si>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</si>
  <si>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</si>
  <si>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</si>
  <si>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</si>
  <si>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</si>
  <si>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</si>
  <si>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</si>
  <si>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</si>
  <si>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</si>
  <si>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</si>
  <si>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</si>
  <si>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</si>
  <si>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</si>
  <si>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</si>
  <si>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</si>
  <si>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</si>
  <si>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</si>
  <si>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</si>
  <si>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</si>
  <si>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</si>
  <si>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</si>
  <si>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</si>
  <si>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</si>
  <si>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</si>
  <si>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</si>
  <si>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</si>
  <si>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</si>
  <si>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</si>
  <si>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</si>
  <si>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</si>
  <si>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</si>
  <si>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</si>
  <si>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</si>
  <si>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</si>
  <si>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</si>
  <si>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</si>
  <si>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</si>
  <si>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</si>
  <si>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</si>
  <si>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</si>
  <si>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</si>
  <si>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</si>
  <si>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</si>
  <si>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</si>
  <si>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</si>
  <si>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</si>
  <si>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</si>
  <si>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</si>
  <si>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</si>
  <si>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</si>
  <si>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</si>
  <si>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</si>
  <si>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</si>
  <si>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</si>
  <si>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</si>
  <si>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</si>
  <si>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</si>
  <si>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</si>
  <si>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</si>
  <si>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</si>
  <si>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</si>
  <si>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</si>
  <si>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</si>
  <si>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</si>
  <si>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</si>
  <si>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</si>
  <si>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</si>
  <si>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</si>
  <si>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</si>
  <si>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</si>
  <si>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</si>
  <si>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</si>
  <si>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</si>
  <si>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</si>
  <si>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</si>
  <si>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</si>
  <si>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</si>
  <si>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</si>
  <si>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</si>
  <si>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</si>
  <si>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</si>
  <si>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</si>
  <si>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</si>
  <si>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</si>
  <si>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</si>
  <si>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</si>
  <si>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</si>
  <si>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</si>
  <si>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</si>
  <si>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</si>
  <si>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</si>
  <si>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</si>
  <si>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</si>
  <si>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</si>
  <si>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</si>
  <si>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</si>
  <si>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</si>
  <si>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</si>
  <si>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</si>
  <si>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</si>
  <si>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</si>
  <si>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</si>
  <si>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</si>
  <si>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</si>
  <si>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</si>
  <si>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</si>
  <si>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</si>
  <si>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</si>
  <si>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</si>
  <si>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</si>
  <si>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</si>
  <si>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</si>
  <si>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</si>
  <si>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</si>
  <si>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</si>
  <si>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</si>
  <si>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</si>
  <si>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</si>
  <si>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</si>
  <si>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</si>
  <si>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</si>
  <si>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</si>
  <si>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</si>
  <si>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</si>
  <si>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</si>
  <si>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</si>
  <si>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</si>
  <si>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</si>
  <si>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</si>
  <si>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</si>
  <si>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</si>
  <si>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</si>
  <si>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</si>
  <si>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</si>
  <si>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</si>
  <si>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</si>
  <si>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</si>
  <si>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</si>
  <si>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</si>
  <si>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</si>
  <si>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</si>
  <si>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</si>
  <si>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</si>
  <si>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</si>
  <si>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</si>
  <si>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</si>
  <si>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</si>
  <si>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</si>
  <si>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</si>
  <si>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</si>
  <si>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</si>
  <si>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</si>
  <si>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</si>
  <si>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</si>
  <si>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</si>
  <si>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</si>
  <si>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</si>
  <si>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</si>
  <si>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</si>
  <si>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</si>
  <si>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</si>
  <si>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</si>
  <si>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</si>
  <si>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</si>
  <si>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</si>
  <si>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</si>
  <si>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</si>
  <si>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</si>
  <si>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</si>
  <si>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</si>
  <si>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</si>
  <si>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</si>
  <si>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</si>
  <si>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</si>
  <si>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</si>
  <si>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</si>
  <si>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</si>
  <si>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</si>
  <si>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</si>
  <si>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</si>
  <si>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</si>
  <si>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</si>
  <si>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</si>
  <si>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</si>
  <si>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</si>
  <si>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</si>
  <si>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</si>
  <si>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</si>
  <si>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</si>
  <si>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</si>
  <si>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</si>
  <si>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</si>
  <si>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</si>
  <si>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</si>
  <si>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</si>
  <si>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</si>
  <si>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</si>
  <si>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</si>
  <si>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</si>
  <si>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</si>
  <si>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</si>
  <si>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</si>
  <si>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</si>
  <si>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</si>
  <si>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</si>
  <si>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</si>
  <si>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</si>
  <si>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</si>
  <si>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</si>
  <si>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</si>
  <si>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</si>
  <si>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</si>
  <si>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</si>
  <si>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</si>
  <si>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</si>
  <si>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</si>
  <si>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</si>
  <si>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</si>
  <si>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</si>
  <si>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</si>
  <si>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</si>
  <si>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</si>
  <si>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</si>
  <si>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</si>
  <si>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</si>
  <si>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</si>
  <si>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</si>
  <si>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</si>
  <si>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</si>
  <si>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</si>
  <si>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</si>
  <si>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</si>
  <si>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</si>
  <si>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</si>
  <si>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</si>
  <si>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</si>
  <si>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</si>
  <si>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</si>
  <si>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</si>
  <si>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</si>
  <si>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</si>
  <si>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</si>
  <si>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</si>
  <si>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</si>
  <si>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</si>
  <si>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</si>
  <si>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</si>
  <si>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</si>
  <si>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</si>
  <si>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</si>
  <si>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</si>
  <si>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</si>
  <si>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</si>
  <si>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</si>
  <si>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</si>
  <si>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</si>
  <si>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</si>
  <si>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</si>
  <si>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</si>
  <si>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</si>
  <si>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</si>
  <si>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</si>
  <si>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</si>
  <si>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</si>
  <si>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</si>
  <si>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</si>
  <si>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</si>
  <si>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</si>
  <si>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</si>
  <si>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</si>
  <si>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</si>
  <si>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</si>
  <si>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</si>
  <si>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</si>
  <si>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</si>
  <si>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</si>
  <si>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</si>
  <si>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</si>
  <si>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</si>
  <si>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</si>
  <si>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</si>
  <si>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</si>
  <si>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</si>
  <si>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</si>
  <si>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</si>
  <si>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</si>
  <si>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</si>
  <si>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</si>
  <si>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</si>
  <si>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</si>
  <si>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</si>
  <si>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</si>
  <si>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</si>
  <si>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</si>
  <si>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</si>
  <si>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</si>
  <si>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</si>
  <si>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</si>
  <si>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</si>
  <si>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</si>
  <si>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</si>
  <si>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</si>
  <si>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</si>
  <si>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</si>
  <si>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</si>
  <si>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</si>
  <si>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</si>
  <si>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</si>
  <si>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</si>
  <si>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</si>
  <si>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</si>
  <si>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</si>
  <si>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</si>
  <si>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</si>
  <si>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</si>
  <si>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</si>
  <si>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</si>
  <si>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</si>
  <si>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</si>
  <si>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</si>
  <si>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</si>
  <si>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</si>
  <si>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</si>
  <si>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</si>
  <si>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</si>
  <si>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</si>
  <si>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</si>
  <si>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</si>
  <si>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</si>
  <si>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</si>
  <si>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</si>
  <si>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</si>
  <si>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</si>
  <si>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</si>
  <si>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</si>
  <si>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</si>
  <si>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</si>
  <si>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</si>
  <si>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</si>
  <si>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</si>
  <si>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</si>
  <si>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</si>
  <si>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</si>
  <si>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</si>
  <si>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</si>
  <si>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</si>
  <si>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</si>
  <si>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</si>
  <si>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</si>
  <si>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</si>
  <si>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</si>
  <si>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</si>
  <si>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</si>
  <si>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</si>
  <si>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</si>
  <si>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</si>
  <si>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</si>
  <si>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</si>
  <si>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</si>
  <si>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</si>
  <si>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</si>
  <si>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</si>
  <si>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</si>
  <si>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</si>
  <si>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</si>
  <si>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</si>
  <si>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</si>
  <si>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</si>
  <si>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</si>
  <si>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</si>
  <si>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</si>
  <si>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</si>
  <si>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</si>
  <si>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</si>
  <si>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</si>
  <si>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</si>
  <si>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</si>
  <si>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</si>
  <si>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</si>
  <si>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</si>
  <si>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</si>
  <si>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</si>
  <si>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</si>
  <si>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</si>
  <si>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</si>
  <si>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</si>
  <si>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</si>
  <si>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</si>
  <si>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</si>
  <si>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</si>
  <si>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</si>
  <si>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</si>
  <si>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</si>
  <si>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</si>
  <si>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</si>
  <si>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</si>
  <si>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</si>
  <si>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</si>
  <si>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</si>
  <si>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</si>
  <si>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</si>
  <si>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</si>
  <si>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</si>
  <si>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</si>
  <si>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</si>
  <si>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</si>
  <si>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</si>
  <si>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</si>
  <si>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</si>
  <si>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</si>
  <si>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</si>
  <si>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</si>
  <si>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</si>
  <si>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</si>
  <si>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</si>
  <si>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</si>
  <si>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</si>
  <si>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</si>
  <si>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</si>
  <si>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</si>
  <si>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</si>
  <si>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</si>
  <si>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</si>
  <si>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</si>
  <si>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</si>
  <si>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</si>
  <si>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</si>
  <si>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</si>
  <si>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</si>
  <si>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</si>
  <si>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</si>
  <si>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</si>
  <si>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</si>
  <si>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</si>
  <si>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</si>
  <si>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</si>
  <si>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</si>
  <si>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</si>
  <si>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</si>
  <si>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</si>
  <si>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</si>
  <si>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</si>
  <si>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</si>
  <si>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</si>
  <si>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</si>
  <si>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</si>
  <si>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</si>
  <si>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</si>
  <si>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</si>
  <si>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</si>
  <si>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</si>
  <si>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</si>
  <si>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</si>
  <si>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</si>
  <si>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</si>
  <si>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</si>
  <si>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</si>
  <si>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</si>
  <si>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</si>
  <si>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</si>
  <si>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</si>
  <si>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</si>
  <si>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</si>
  <si>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</si>
  <si>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</si>
  <si>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</si>
  <si>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</si>
  <si>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</si>
  <si>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</si>
  <si>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</si>
  <si>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</si>
  <si>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</si>
  <si>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</si>
  <si>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</si>
  <si>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</si>
  <si>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</si>
  <si>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</si>
  <si>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</si>
  <si>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</si>
  <si>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</si>
  <si>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</si>
  <si>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</si>
  <si>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</si>
  <si>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</si>
  <si>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</si>
  <si>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</si>
  <si>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</si>
  <si>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</si>
  <si>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</si>
  <si>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</si>
  <si>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</si>
  <si>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</si>
  <si>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</si>
  <si>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</si>
  <si>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</si>
  <si>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</si>
  <si>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</si>
  <si>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</si>
  <si>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</si>
  <si>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</si>
  <si>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</si>
  <si>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</si>
  <si>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</si>
  <si>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</si>
  <si>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</si>
  <si>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</si>
  <si>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</si>
  <si>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</si>
  <si>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</si>
  <si>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</si>
  <si>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</si>
  <si>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</si>
  <si>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</si>
  <si>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</si>
  <si>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</si>
  <si>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</si>
  <si>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</si>
  <si>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</si>
  <si>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</si>
  <si>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</si>
  <si>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</si>
  <si>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</si>
  <si>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</si>
  <si>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</si>
  <si>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</si>
  <si>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</si>
  <si>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</si>
  <si>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</si>
  <si>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</si>
  <si>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</si>
  <si>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</si>
  <si>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</si>
  <si>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</si>
  <si>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</si>
  <si>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</si>
  <si>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</si>
  <si>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</si>
  <si>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</si>
  <si>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</si>
  <si>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</si>
  <si>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</si>
  <si>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</si>
  <si>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</si>
  <si>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</si>
  <si>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</si>
  <si>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</si>
  <si>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</si>
  <si>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</si>
  <si>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</si>
  <si>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</si>
  <si>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</si>
  <si>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</si>
  <si>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</si>
  <si>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</si>
  <si>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</si>
  <si>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</si>
  <si>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</si>
  <si>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</si>
  <si>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</si>
  <si>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</si>
  <si>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</si>
  <si>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</si>
  <si>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</si>
  <si>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</si>
  <si>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</si>
  <si>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</si>
  <si>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</si>
  <si>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</si>
  <si>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</si>
  <si>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</si>
  <si>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</si>
  <si>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</si>
  <si>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</si>
  <si>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</si>
  <si>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</si>
  <si>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</si>
  <si>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</si>
  <si>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</si>
  <si>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</si>
  <si>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</si>
  <si>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</si>
  <si>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</si>
  <si>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</si>
  <si>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</si>
  <si>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</si>
  <si>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</si>
  <si>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</si>
  <si>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</si>
  <si>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</si>
  <si>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</si>
  <si>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</si>
  <si>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</si>
  <si>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</si>
  <si>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</si>
  <si>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</si>
  <si>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</si>
  <si>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</si>
  <si>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</si>
  <si>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</si>
  <si>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</si>
  <si>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</si>
  <si>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</si>
  <si>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</si>
  <si>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</si>
  <si>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</si>
  <si>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</si>
  <si>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</si>
  <si>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</si>
  <si>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</si>
  <si>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</si>
  <si>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</si>
  <si>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</si>
  <si>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</si>
  <si>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</si>
  <si>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</si>
  <si>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</si>
  <si>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</si>
  <si>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</si>
  <si>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</si>
  <si>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</si>
  <si>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</si>
  <si>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</si>
  <si>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</si>
  <si>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</si>
  <si>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</si>
  <si>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</si>
  <si>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</si>
  <si>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</si>
  <si>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</si>
  <si>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</si>
  <si>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</si>
  <si>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</si>
  <si>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</si>
  <si>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</si>
  <si>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</si>
  <si>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</si>
  <si>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</si>
  <si>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</si>
  <si>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</si>
  <si>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</si>
  <si>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</si>
  <si>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</si>
  <si>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</si>
  <si>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</si>
  <si>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</si>
  <si>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</si>
  <si>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</si>
  <si>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</si>
  <si>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</si>
  <si>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</si>
  <si>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</si>
  <si>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</si>
  <si>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</si>
  <si>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</si>
  <si>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</si>
  <si>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</si>
  <si>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</si>
  <si>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</si>
  <si>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</si>
  <si>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</si>
  <si>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</si>
  <si>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</si>
  <si>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</si>
  <si>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</si>
  <si>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</si>
  <si>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</si>
  <si>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</si>
  <si>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</si>
  <si>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</si>
  <si>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</si>
  <si>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</si>
  <si>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</si>
  <si>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</si>
  <si>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</si>
  <si>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</si>
  <si>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</si>
  <si>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</si>
  <si>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</si>
  <si>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</si>
  <si>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</si>
  <si>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</si>
  <si>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</si>
  <si>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</si>
  <si>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</si>
  <si>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</si>
  <si>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</si>
  <si>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</si>
  <si>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</si>
  <si>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</si>
  <si>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</si>
  <si>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</si>
  <si>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</si>
  <si>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</si>
  <si>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</si>
  <si>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</si>
  <si>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</si>
  <si>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</si>
  <si>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</si>
  <si>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</si>
  <si>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</si>
  <si>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</si>
  <si>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</si>
  <si>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</si>
  <si>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</si>
  <si>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</si>
  <si>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</si>
  <si>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</si>
  <si>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</si>
  <si>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</si>
  <si>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</si>
  <si>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</si>
  <si>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</si>
  <si>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</si>
  <si>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</si>
  <si>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</si>
  <si>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</si>
  <si>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</si>
  <si>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</si>
  <si>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</si>
  <si>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</si>
  <si>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</si>
  <si>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</si>
  <si>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</si>
  <si>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</si>
  <si>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</si>
  <si>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</si>
  <si>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</si>
  <si>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</si>
  <si>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</si>
  <si>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</si>
  <si>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</si>
  <si>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</si>
  <si>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</si>
  <si>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</si>
  <si>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</si>
  <si>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</si>
  <si>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</si>
  <si>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</si>
  <si>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</si>
  <si>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</si>
  <si>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</si>
  <si>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</si>
  <si>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</si>
  <si>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</si>
  <si>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</si>
  <si>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</si>
  <si>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</si>
  <si>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</si>
  <si>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</si>
  <si>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</si>
  <si>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</si>
  <si>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</si>
  <si>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</si>
  <si>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</si>
  <si>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</si>
  <si>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</si>
  <si>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</si>
  <si>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</si>
  <si>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</si>
  <si>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</si>
  <si>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</si>
  <si>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</si>
  <si>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</si>
  <si>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</si>
  <si>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</si>
  <si>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</si>
  <si>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</si>
  <si>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</si>
  <si>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</si>
  <si>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</si>
  <si>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</si>
  <si>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</si>
  <si>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</si>
  <si>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</si>
  <si>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</si>
  <si>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</si>
  <si>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</si>
  <si>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</si>
  <si>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</si>
  <si>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</si>
  <si>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</si>
  <si>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</si>
  <si>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</si>
  <si>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</si>
  <si>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</si>
  <si>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</si>
  <si>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</si>
  <si>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</si>
  <si>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</si>
  <si>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</si>
  <si>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</si>
  <si>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</si>
  <si>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</si>
  <si>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</si>
  <si>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</si>
  <si>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</si>
  <si>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</si>
  <si>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</si>
  <si>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</si>
  <si>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</si>
  <si>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</si>
  <si>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</si>
  <si>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</si>
  <si>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</si>
  <si>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</si>
  <si>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</si>
  <si>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</si>
  <si>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</si>
  <si>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</si>
  <si>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</si>
  <si>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</si>
  <si>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</si>
  <si>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</si>
  <si>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</si>
  <si>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</si>
  <si>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</si>
  <si>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</si>
  <si>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</si>
  <si>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</si>
  <si>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</si>
  <si>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</si>
  <si>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</si>
  <si>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</si>
  <si>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</si>
  <si>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</si>
  <si>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</si>
  <si>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</si>
  <si>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</si>
  <si>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</si>
  <si>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</si>
  <si>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</si>
  <si>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</si>
  <si>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</si>
  <si>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</si>
  <si>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</si>
  <si>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</si>
  <si>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</si>
  <si>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</si>
  <si>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</si>
  <si>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</si>
  <si>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</si>
  <si>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</si>
  <si>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</si>
  <si>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</si>
  <si>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</si>
  <si>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</si>
  <si>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</si>
  <si>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</si>
  <si>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</si>
  <si>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</si>
  <si>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</si>
  <si>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</si>
  <si>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</si>
  <si>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</si>
  <si>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</si>
  <si>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</si>
  <si>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</si>
  <si>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</si>
  <si>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</si>
  <si>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</si>
  <si>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</si>
  <si>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</si>
  <si>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</si>
  <si>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</si>
  <si>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</si>
  <si>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</si>
  <si>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</si>
  <si>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</si>
  <si>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</si>
  <si>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</si>
  <si>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</si>
  <si>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</si>
  <si>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</si>
  <si>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</si>
  <si>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</si>
  <si>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</si>
  <si>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</si>
  <si>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</si>
  <si>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</si>
  <si>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</si>
  <si>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</si>
  <si>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</si>
  <si>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</si>
  <si>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</si>
  <si>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</si>
  <si>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</si>
  <si>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</si>
  <si>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</si>
  <si>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</si>
  <si>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</si>
  <si>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</si>
  <si>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</si>
  <si>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</si>
  <si>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</si>
  <si>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</si>
  <si>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</si>
  <si>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</si>
  <si>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</si>
  <si>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</si>
  <si>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</si>
  <si>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</si>
  <si>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</si>
  <si>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</si>
  <si>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</si>
  <si>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</si>
  <si>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</si>
  <si>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</si>
  <si>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</si>
  <si>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</si>
  <si>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</si>
  <si>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</si>
  <si>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</si>
  <si>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</si>
  <si>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</si>
  <si>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</si>
  <si>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</si>
  <si>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</si>
  <si>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</si>
  <si>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</si>
  <si>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</si>
  <si>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</si>
  <si>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</si>
  <si>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</si>
  <si>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</si>
  <si>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</si>
  <si>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</si>
  <si>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</si>
  <si>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</si>
  <si>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</si>
  <si>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</si>
  <si>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</si>
  <si>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</si>
  <si>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</si>
  <si>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</si>
  <si>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</si>
  <si>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</si>
  <si>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</si>
  <si>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</si>
  <si>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</si>
  <si>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</si>
  <si>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</si>
  <si>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</si>
  <si>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</si>
  <si>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</si>
  <si>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</si>
  <si>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</si>
  <si>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</si>
  <si>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</si>
  <si>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</si>
  <si>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</si>
  <si>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</si>
  <si>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</si>
  <si>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</si>
  <si>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</si>
  <si>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</si>
  <si>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</si>
  <si>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</si>
  <si>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</si>
  <si>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</si>
  <si>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</si>
  <si>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</si>
  <si>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</si>
  <si>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</si>
  <si>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</si>
  <si>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</si>
  <si>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</si>
  <si>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</si>
  <si>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</si>
  <si>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</si>
  <si>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</si>
  <si>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</si>
  <si>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</si>
  <si>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</si>
  <si>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</si>
  <si>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</si>
  <si>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</si>
  <si>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</si>
  <si>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</si>
  <si>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</si>
  <si>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</si>
  <si>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</si>
  <si>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</si>
  <si>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</si>
  <si>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</si>
  <si>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</si>
  <si>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</si>
  <si>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</si>
  <si>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</si>
  <si>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</si>
  <si>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</si>
  <si>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</si>
  <si>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</si>
  <si>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</si>
  <si>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</si>
  <si>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</si>
  <si>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</si>
  <si>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</si>
  <si>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</si>
  <si>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</si>
  <si>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</si>
  <si>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</si>
  <si>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</si>
  <si>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</si>
  <si>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</si>
  <si>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</si>
  <si>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</si>
  <si>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</si>
  <si>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</si>
  <si>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</si>
  <si>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</si>
  <si>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</si>
  <si>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</si>
  <si>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</si>
  <si>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</si>
  <si>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</si>
  <si>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</si>
  <si>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</si>
  <si>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</si>
  <si>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</si>
  <si>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</si>
  <si>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</si>
  <si>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</si>
  <si>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</si>
  <si>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</si>
  <si>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</si>
  <si>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</si>
  <si>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</si>
  <si>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</si>
  <si>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</si>
  <si>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</si>
  <si>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</si>
  <si>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</si>
  <si>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</si>
  <si>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</si>
  <si>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</si>
  <si>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</si>
  <si>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</si>
  <si>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</si>
  <si>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</si>
  <si>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</si>
  <si>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</si>
  <si>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</si>
  <si>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</si>
  <si>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</si>
  <si>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</si>
  <si>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</si>
  <si>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</si>
  <si>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</si>
  <si>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</si>
  <si>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</si>
  <si>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</si>
  <si>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</si>
  <si>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</si>
  <si>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</si>
  <si>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</si>
  <si>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</si>
  <si>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</si>
  <si>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</si>
  <si>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</si>
  <si>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</si>
  <si>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</si>
  <si>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</si>
  <si>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</si>
  <si>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</si>
  <si>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</si>
  <si>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</si>
  <si>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</si>
  <si>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</si>
  <si>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</si>
  <si>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</si>
  <si>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</si>
  <si>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</si>
  <si>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</si>
  <si>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</si>
  <si>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</si>
  <si>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</si>
  <si>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</si>
  <si>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</si>
  <si>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</si>
  <si>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</si>
  <si>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</si>
  <si>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</si>
  <si>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</si>
  <si>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</si>
  <si>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</si>
  <si>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</si>
  <si>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</si>
  <si>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</si>
  <si>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</si>
  <si>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</si>
  <si>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</si>
  <si>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</si>
  <si>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</si>
  <si>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</si>
  <si>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</si>
  <si>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</si>
  <si>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</si>
  <si>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</si>
  <si>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</si>
  <si>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</si>
  <si>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</si>
  <si>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</si>
  <si>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</si>
  <si>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</si>
  <si>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</si>
  <si>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</si>
  <si>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</si>
  <si>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</si>
  <si>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</si>
  <si>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</si>
  <si>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</si>
  <si>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</si>
  <si>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</si>
  <si>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</si>
  <si>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</si>
  <si>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</si>
  <si>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</si>
  <si>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</si>
  <si>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</si>
  <si>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</si>
  <si>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</si>
  <si>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</si>
  <si>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</si>
  <si>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</si>
  <si>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</si>
  <si>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</si>
  <si>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</si>
  <si>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</si>
  <si>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</si>
  <si>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</si>
  <si>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</si>
  <si>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</si>
  <si>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</si>
  <si>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</si>
  <si>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</si>
  <si>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</si>
  <si>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</si>
  <si>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</si>
  <si>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</si>
  <si>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</si>
  <si>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</si>
  <si>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</si>
  <si>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</si>
  <si>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</si>
  <si>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</si>
  <si>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</si>
  <si>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</si>
  <si>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</si>
  <si>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</si>
  <si>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</si>
  <si>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</si>
  <si>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</si>
  <si>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</si>
  <si>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</si>
  <si>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</si>
  <si>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</si>
  <si>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</si>
  <si>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</si>
  <si>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</si>
  <si>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</si>
  <si>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</si>
  <si>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</si>
  <si>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</si>
  <si>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</si>
  <si>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</si>
  <si>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</si>
  <si>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</si>
  <si>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</si>
  <si>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</si>
  <si>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</si>
  <si>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</si>
  <si>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</si>
  <si>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</si>
  <si>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</si>
  <si>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</si>
  <si>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</si>
  <si>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</si>
  <si>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</si>
  <si>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</si>
  <si>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</si>
  <si>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</si>
  <si>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</si>
  <si>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</si>
  <si>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</si>
  <si>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</si>
  <si>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</si>
  <si>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</si>
  <si>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</si>
  <si>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</si>
  <si>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</si>
  <si>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</si>
  <si>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</si>
  <si>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</si>
  <si>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</si>
  <si>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</si>
  <si>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</si>
  <si>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</si>
  <si>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</si>
  <si>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</si>
  <si>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</si>
  <si>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</si>
  <si>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</si>
  <si>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</si>
  <si>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</si>
  <si>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</si>
  <si>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</si>
  <si>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</si>
  <si>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</si>
  <si>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</si>
  <si>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</si>
  <si>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</si>
  <si>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</si>
  <si>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</si>
  <si>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</si>
  <si>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</si>
  <si>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</si>
  <si>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</si>
  <si>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</si>
  <si>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</si>
  <si>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</si>
  <si>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</si>
  <si>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</si>
  <si>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</si>
  <si>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</si>
  <si>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</si>
  <si>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</si>
  <si>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</si>
  <si>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</si>
  <si>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</si>
  <si>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</si>
  <si>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</si>
  <si>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</si>
  <si>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</si>
  <si>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</si>
  <si>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</si>
  <si>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</si>
  <si>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</si>
  <si>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</si>
  <si>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</si>
  <si>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</si>
  <si>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</si>
  <si>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</si>
  <si>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</si>
  <si>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</si>
  <si>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</si>
  <si>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</si>
  <si>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</si>
  <si>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</si>
  <si>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</si>
  <si>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</si>
  <si>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</si>
  <si>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</si>
  <si>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</si>
  <si>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</si>
  <si>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</si>
  <si>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</si>
  <si>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</si>
  <si>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</si>
  <si>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</si>
  <si>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</si>
  <si>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</si>
  <si>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</si>
  <si>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</si>
  <si>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</si>
  <si>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</si>
  <si>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</si>
  <si>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</si>
  <si>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</si>
  <si>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</si>
  <si>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</si>
  <si>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</si>
  <si>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</si>
  <si>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</si>
  <si>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</si>
  <si>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</si>
  <si>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</si>
  <si>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</si>
  <si>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</si>
  <si>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</si>
  <si>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</si>
  <si>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</si>
  <si>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</si>
  <si>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</si>
  <si>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</si>
  <si>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</si>
  <si>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</si>
  <si>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</si>
  <si>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</si>
  <si>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</si>
  <si>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</si>
  <si>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</si>
  <si>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</si>
  <si>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</si>
  <si>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</si>
  <si>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</si>
  <si>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</si>
  <si>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</si>
  <si>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</si>
  <si>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</si>
  <si>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</si>
  <si>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</si>
  <si>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</si>
  <si>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</si>
  <si>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</si>
  <si>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</si>
  <si>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</si>
  <si>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</si>
  <si>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</si>
  <si>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</si>
  <si>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</si>
  <si>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</si>
  <si>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</si>
  <si>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</si>
  <si>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</si>
  <si>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</si>
  <si>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</si>
  <si>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</si>
  <si>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</si>
  <si>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</si>
  <si>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</si>
  <si>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</si>
  <si>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</si>
  <si>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</si>
  <si>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</si>
  <si>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</si>
  <si>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</si>
  <si>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</si>
  <si>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</si>
  <si>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</si>
  <si>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</si>
  <si>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</si>
  <si>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</si>
  <si>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</si>
  <si>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</si>
  <si>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</si>
  <si>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</si>
  <si>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</si>
  <si>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</si>
  <si>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</si>
  <si>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</si>
  <si>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</si>
  <si>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</si>
  <si>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</si>
  <si>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</si>
  <si>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</si>
  <si>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</si>
  <si>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</si>
  <si>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</si>
  <si>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</si>
  <si>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</si>
  <si>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</si>
  <si>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</si>
  <si>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</si>
  <si>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</si>
  <si>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</si>
  <si>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</si>
  <si>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</si>
  <si>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</si>
  <si>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</si>
  <si>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</si>
  <si>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</si>
  <si>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</si>
  <si>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</si>
  <si>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</si>
  <si>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</si>
  <si>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</si>
  <si>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</si>
  <si>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</si>
  <si>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</si>
  <si>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</si>
  <si>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</si>
  <si>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</si>
  <si>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</si>
  <si>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</si>
  <si>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</si>
  <si>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</si>
  <si>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</si>
  <si>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</si>
  <si>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</si>
  <si>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</si>
  <si>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</si>
  <si>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</si>
  <si>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</si>
  <si>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</si>
  <si>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</si>
  <si>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</si>
  <si>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</si>
  <si>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</si>
  <si>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</si>
  <si>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</si>
  <si>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</si>
  <si>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</si>
  <si>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</si>
  <si>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</si>
  <si>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</si>
  <si>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</si>
  <si>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</si>
  <si>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</si>
  <si>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</si>
  <si>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</si>
  <si>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</si>
  <si>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</si>
  <si>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</si>
  <si>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</si>
  <si>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</si>
  <si>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</si>
  <si>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</si>
  <si>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</si>
  <si>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</si>
  <si>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</si>
  <si>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</si>
  <si>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</si>
  <si>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</si>
  <si>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</si>
  <si>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</si>
  <si>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</si>
  <si>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</si>
  <si>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</si>
  <si>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</si>
  <si>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</si>
  <si>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</si>
  <si>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</si>
  <si>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</si>
  <si>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</si>
  <si>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</si>
  <si>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</si>
  <si>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</si>
  <si>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</si>
  <si>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</si>
  <si>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</si>
  <si>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</si>
  <si>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</si>
  <si>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</si>
  <si>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</si>
  <si>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</si>
  <si>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</si>
  <si>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</si>
  <si>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</si>
  <si>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</si>
  <si>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</si>
  <si>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</si>
  <si>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</si>
  <si>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</si>
  <si>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</si>
  <si>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</si>
  <si>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</si>
  <si>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</si>
  <si>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</si>
  <si>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</si>
  <si>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</si>
  <si>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</si>
  <si>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</si>
  <si>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</si>
  <si>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</si>
  <si>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</si>
  <si>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</si>
  <si>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</si>
  <si>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</si>
  <si>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</si>
  <si>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</si>
  <si>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</si>
  <si>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</si>
  <si>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</si>
  <si>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</si>
  <si>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</si>
  <si>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</si>
  <si>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</si>
  <si>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</si>
  <si>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</si>
  <si>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</si>
  <si>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</si>
  <si>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</si>
  <si>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</si>
  <si>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</si>
  <si>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</si>
  <si>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</si>
  <si>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</si>
  <si>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</si>
  <si>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</si>
  <si>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</si>
  <si>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</si>
  <si>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</si>
  <si>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</si>
  <si>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</si>
  <si>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</si>
  <si>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</si>
  <si>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</si>
  <si>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</si>
  <si>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</si>
  <si>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</si>
  <si>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</si>
  <si>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</si>
  <si>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</si>
  <si>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</si>
  <si>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</si>
  <si>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</si>
  <si>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</si>
  <si>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</si>
  <si>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</si>
  <si>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</si>
  <si>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</si>
  <si>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</si>
  <si>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</si>
  <si>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</si>
  <si>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</si>
  <si>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</si>
  <si>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</si>
  <si>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</si>
  <si>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</si>
  <si>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</si>
  <si>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</si>
  <si>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</si>
  <si>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</si>
  <si>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</si>
  <si>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</si>
  <si>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</si>
  <si>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</si>
  <si>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</si>
  <si>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</si>
  <si>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</si>
  <si>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</si>
  <si>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</si>
  <si>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</si>
  <si>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</si>
  <si>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</si>
  <si>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</si>
  <si>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</si>
  <si>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</si>
  <si>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</si>
  <si>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</si>
  <si>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</si>
  <si>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</si>
  <si>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</si>
  <si>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</si>
  <si>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</si>
  <si>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</si>
  <si>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</si>
  <si>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</si>
  <si>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</si>
  <si>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</si>
  <si>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</si>
  <si>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</si>
  <si>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</si>
  <si>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</si>
  <si>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</si>
  <si>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</si>
  <si>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</si>
  <si>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</si>
  <si>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</si>
  <si>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</si>
  <si>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</si>
  <si>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</si>
  <si>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</si>
  <si>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</si>
  <si>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</si>
  <si>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</si>
  <si>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</si>
  <si>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</si>
  <si>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</si>
  <si>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</si>
  <si>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</si>
  <si>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</si>
  <si>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</si>
  <si>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</si>
  <si>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</si>
  <si>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</si>
  <si>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</si>
  <si>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</si>
  <si>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</si>
  <si>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</si>
  <si>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</si>
  <si>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</si>
  <si>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</si>
  <si>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</si>
  <si>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</si>
  <si>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</si>
  <si>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</si>
  <si>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</si>
  <si>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</si>
  <si>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</si>
  <si>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</si>
  <si>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</si>
  <si>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</si>
  <si>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</si>
  <si>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</si>
  <si>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</si>
  <si>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</si>
  <si>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</si>
  <si>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</si>
  <si>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</si>
  <si>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</si>
  <si>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</si>
  <si>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</si>
  <si>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</si>
  <si>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</si>
  <si>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</si>
  <si>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</si>
  <si>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</si>
  <si>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</si>
  <si>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</si>
  <si>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</si>
  <si>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</si>
  <si>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</si>
  <si>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</si>
  <si>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</si>
  <si>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</si>
  <si>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</si>
  <si>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</si>
  <si>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</si>
  <si>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</si>
  <si>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</si>
  <si>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</si>
  <si>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</si>
  <si>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</si>
  <si>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</si>
  <si>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</si>
  <si>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</si>
  <si>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</si>
  <si>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</si>
  <si>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</si>
  <si>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</si>
  <si>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</si>
  <si>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</si>
  <si>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</si>
  <si>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</si>
  <si>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</si>
  <si>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</si>
  <si>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</si>
  <si>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</si>
  <si>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</si>
  <si>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</si>
  <si>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</si>
  <si>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</si>
  <si>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</si>
  <si>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</si>
  <si>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</si>
  <si>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</si>
  <si>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</si>
  <si>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</si>
  <si>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</si>
  <si>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</si>
  <si>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</si>
  <si>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</si>
  <si>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</si>
  <si>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</si>
  <si>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</si>
  <si>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</si>
  <si>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</si>
  <si>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</si>
  <si>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</si>
  <si>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</si>
  <si>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</si>
  <si>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</si>
  <si>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</si>
  <si>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</si>
  <si>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</si>
  <si>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</si>
  <si>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</si>
  <si>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</si>
  <si>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</si>
  <si>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</si>
  <si>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</si>
  <si>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</si>
  <si>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</si>
  <si>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</si>
  <si>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</si>
  <si>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</si>
  <si>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</si>
  <si>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</si>
  <si>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</si>
  <si>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</si>
  <si>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</si>
  <si>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</si>
  <si>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</si>
  <si>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</si>
  <si>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</si>
  <si>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</si>
  <si>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</si>
  <si>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</si>
  <si>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</si>
  <si>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</si>
  <si>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</si>
  <si>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</si>
  <si>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</si>
  <si>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</si>
  <si>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</si>
  <si>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</si>
  <si>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</si>
  <si>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</si>
  <si>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</si>
  <si>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</si>
  <si>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</si>
  <si>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</si>
  <si>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</si>
  <si>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</si>
  <si>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</si>
  <si>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</si>
  <si>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</si>
  <si>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</si>
  <si>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</si>
  <si>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</si>
  <si>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</si>
  <si>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</si>
  <si>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</si>
  <si>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</si>
  <si>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</si>
  <si>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</si>
  <si>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</si>
  <si>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</si>
  <si>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</si>
  <si>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</si>
  <si>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</si>
  <si>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</si>
  <si>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</si>
  <si>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</si>
  <si>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</si>
  <si>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</si>
  <si>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</si>
  <si>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</si>
  <si>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</si>
  <si>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</si>
  <si>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</si>
  <si>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</si>
  <si>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</si>
  <si>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</si>
  <si>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</si>
  <si>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</si>
  <si>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</si>
  <si>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</si>
  <si>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</si>
  <si>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</si>
  <si>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</si>
  <si>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</si>
  <si>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</si>
  <si>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</si>
  <si>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</si>
  <si>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</si>
  <si>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</si>
  <si>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</si>
  <si>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</si>
  <si>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</si>
  <si>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</si>
  <si>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</si>
  <si>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</si>
  <si>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</si>
  <si>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</si>
  <si>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</si>
  <si>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</si>
  <si>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</si>
  <si>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</si>
  <si>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</si>
  <si>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</si>
  <si>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</si>
  <si>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</si>
  <si>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</si>
  <si>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</si>
  <si>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</si>
  <si>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</si>
  <si>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</si>
  <si>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</si>
  <si>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</si>
  <si>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</si>
  <si>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</si>
  <si>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</si>
  <si>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</si>
  <si>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</si>
  <si>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</si>
  <si>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</si>
  <si>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</si>
  <si>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</si>
  <si>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</si>
  <si>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</si>
  <si>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</si>
  <si>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</si>
  <si>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</si>
  <si>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</si>
  <si>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</si>
  <si>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</si>
  <si>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</si>
  <si>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</si>
  <si>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</si>
  <si>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</si>
  <si>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</si>
  <si>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</si>
  <si>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</si>
  <si>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</si>
  <si>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</si>
  <si>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</si>
  <si>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</si>
  <si>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</si>
  <si>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</si>
  <si>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</si>
  <si>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</si>
  <si>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</si>
  <si>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</si>
  <si>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</si>
  <si>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</si>
  <si>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</si>
  <si>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</si>
  <si>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</si>
  <si>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</si>
  <si>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</si>
  <si>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</si>
  <si>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</si>
  <si>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</si>
  <si>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</si>
  <si>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</si>
  <si>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</si>
  <si>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</si>
  <si>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</si>
  <si>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</si>
  <si>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</si>
  <si>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</si>
  <si>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</si>
  <si>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</si>
  <si>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</si>
  <si>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</si>
  <si>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</si>
  <si>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</si>
  <si>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</si>
  <si>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</si>
  <si>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</si>
  <si>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</si>
  <si>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</si>
  <si>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</si>
  <si>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</si>
  <si>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</si>
  <si>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</si>
  <si>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</si>
  <si>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</si>
  <si>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</si>
  <si>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</si>
  <si>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</si>
  <si>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</si>
  <si>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</si>
  <si>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</si>
  <si>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</si>
  <si>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</si>
  <si>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</si>
  <si>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</si>
  <si>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</si>
  <si>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</si>
  <si>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</si>
  <si>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</si>
  <si>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</si>
  <si>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</si>
  <si>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</si>
  <si>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</si>
  <si>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</si>
  <si>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</si>
  <si>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</si>
  <si>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</si>
  <si>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</si>
  <si>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</si>
  <si>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</si>
  <si>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</si>
  <si>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</si>
  <si>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</si>
  <si>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</si>
  <si>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</si>
  <si>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</si>
  <si>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</si>
  <si>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</si>
  <si>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</si>
  <si>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</si>
  <si>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</si>
  <si>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</si>
  <si>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</si>
  <si>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</si>
  <si>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</si>
  <si>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</si>
  <si>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</si>
  <si>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</si>
  <si>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</si>
  <si>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</si>
  <si>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</si>
  <si>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</si>
  <si>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</si>
  <si>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</si>
  <si>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</si>
  <si>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</si>
  <si>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</si>
  <si>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</si>
  <si>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</si>
  <si>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</si>
  <si>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</si>
  <si>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</si>
  <si>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</si>
  <si>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</si>
  <si>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</si>
  <si>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</si>
  <si>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</si>
  <si>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</si>
  <si>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</si>
  <si>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</si>
  <si>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</si>
  <si>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</si>
  <si>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</si>
  <si>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</si>
  <si>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</si>
  <si>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</si>
  <si>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</si>
  <si>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</si>
  <si>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</si>
  <si>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</si>
  <si>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</si>
  <si>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</si>
  <si>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</si>
  <si>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</si>
  <si>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</si>
  <si>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</si>
  <si>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</si>
  <si>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</si>
  <si>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</si>
  <si>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</si>
  <si>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</si>
  <si>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</si>
  <si>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</si>
  <si>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</si>
  <si>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</si>
  <si>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</si>
  <si>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</si>
  <si>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</si>
  <si>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</si>
  <si>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</si>
  <si>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</si>
  <si>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</si>
  <si>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</si>
  <si>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</si>
  <si>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</si>
  <si>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</si>
  <si>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</si>
  <si>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</si>
  <si>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</si>
  <si>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</si>
  <si>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</si>
  <si>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</si>
  <si>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</si>
  <si>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</si>
  <si>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</si>
  <si>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</si>
  <si>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</si>
  <si>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</si>
  <si>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</si>
  <si>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</si>
  <si>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</si>
  <si>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</si>
  <si>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</si>
  <si>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</si>
  <si>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</si>
  <si>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</si>
  <si>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</si>
  <si>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</si>
  <si>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</si>
  <si>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</si>
  <si>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</si>
  <si>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</si>
  <si>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</si>
  <si>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</si>
  <si>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</si>
  <si>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</si>
  <si>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</si>
  <si>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</si>
  <si>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</si>
  <si>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</si>
  <si>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</si>
  <si>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</si>
  <si>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</si>
  <si>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</si>
  <si>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</si>
  <si>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</si>
  <si>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</si>
  <si>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</si>
  <si>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</si>
  <si>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</si>
  <si>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</si>
  <si>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</si>
  <si>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</si>
  <si>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</si>
  <si>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</si>
  <si>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</si>
  <si>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</si>
  <si>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</si>
  <si>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</si>
  <si>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</si>
  <si>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</si>
  <si>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</si>
  <si>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</si>
  <si>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</si>
  <si>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</si>
  <si>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</si>
  <si>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</si>
  <si>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</si>
  <si>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</si>
  <si>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</si>
  <si>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</si>
  <si>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</si>
  <si>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</si>
  <si>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</si>
  <si>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</si>
  <si>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</si>
  <si>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</si>
  <si>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</si>
  <si>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</si>
  <si>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</si>
  <si>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</si>
  <si>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</si>
  <si>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</si>
  <si>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</si>
  <si>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</si>
  <si>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</si>
  <si>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</si>
  <si>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</si>
  <si>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</si>
  <si>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</si>
  <si>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</si>
  <si>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</si>
  <si>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</si>
  <si>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</si>
  <si>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</si>
  <si>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</si>
  <si>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</si>
  <si>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</si>
  <si>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</si>
  <si>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</si>
  <si>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</si>
  <si>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</si>
  <si>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</si>
  <si>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</si>
  <si>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</si>
  <si>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</si>
  <si>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</si>
  <si>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</si>
  <si>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</si>
  <si>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</si>
  <si>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</si>
  <si>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</si>
  <si>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</si>
  <si>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</si>
  <si>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</si>
  <si>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</si>
  <si>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</si>
  <si>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</si>
  <si>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</si>
  <si>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</si>
  <si>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</si>
  <si>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</si>
  <si>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</si>
  <si>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</si>
  <si>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</si>
  <si>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</si>
  <si>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</si>
  <si>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</si>
  <si>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</si>
  <si>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</si>
  <si>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</si>
  <si>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</si>
  <si>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</si>
  <si>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</si>
  <si>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</si>
  <si>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</si>
  <si>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</si>
  <si>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</si>
  <si>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</si>
  <si>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</si>
  <si>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</si>
  <si>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</si>
  <si>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</si>
  <si>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</si>
  <si>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</si>
  <si>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</si>
  <si>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</si>
  <si>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</si>
  <si>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</si>
  <si>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</si>
  <si>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</si>
  <si>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</si>
  <si>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</si>
  <si>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</si>
  <si>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</si>
  <si>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</si>
  <si>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</si>
  <si>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</si>
  <si>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</si>
  <si>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</si>
  <si>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</si>
  <si>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</si>
  <si>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</si>
  <si>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</si>
  <si>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</si>
  <si>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</si>
  <si>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</si>
  <si>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</si>
  <si>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</si>
  <si>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</si>
  <si>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</si>
  <si>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</si>
  <si>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</si>
  <si>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</si>
  <si>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</si>
  <si>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</si>
  <si>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</si>
  <si>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</si>
  <si>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</si>
  <si>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</si>
  <si>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</si>
  <si>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</si>
  <si>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</si>
  <si>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</si>
  <si>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</si>
  <si>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</si>
  <si>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</si>
  <si>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</si>
  <si>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</si>
  <si>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</si>
  <si>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</si>
  <si>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</si>
  <si>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</si>
  <si>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</si>
  <si>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</si>
  <si>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</si>
  <si>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</si>
  <si>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</si>
  <si>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</si>
  <si>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</si>
  <si>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</si>
  <si>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</si>
  <si>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</si>
  <si>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</si>
  <si>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</si>
  <si>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</si>
  <si>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</si>
  <si>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</si>
  <si>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</si>
  <si>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</si>
  <si>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</si>
  <si>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</si>
  <si>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</si>
  <si>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</si>
  <si>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</si>
  <si>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</si>
  <si>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</si>
  <si>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</si>
  <si>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</si>
  <si>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</si>
  <si>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</si>
  <si>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</si>
  <si>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</si>
  <si>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</si>
  <si>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</si>
  <si>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</si>
  <si>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</si>
  <si>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</si>
  <si>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</si>
  <si>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</si>
  <si>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</si>
  <si>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</si>
  <si>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</si>
  <si>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</si>
  <si>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</si>
  <si>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</si>
  <si>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</si>
  <si>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</si>
  <si>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</si>
  <si>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</si>
  <si>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</si>
  <si>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</si>
  <si>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</si>
  <si>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</si>
  <si>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</si>
  <si>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</si>
  <si>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</si>
  <si>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</si>
  <si>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</si>
  <si>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</si>
  <si>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</si>
  <si>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</si>
  <si>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</si>
  <si>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</si>
  <si>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</si>
  <si>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</si>
  <si>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</si>
  <si>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</si>
  <si>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</si>
  <si>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</si>
  <si>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</si>
  <si>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</si>
  <si>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</si>
  <si>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</si>
  <si>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</si>
  <si>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</si>
  <si>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</si>
  <si>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</si>
  <si>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</si>
  <si>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</si>
  <si>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</si>
  <si>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</si>
  <si>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</si>
  <si>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</si>
  <si>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</si>
  <si>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</si>
  <si>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</si>
  <si>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</si>
  <si>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</si>
  <si>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</si>
  <si>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</si>
  <si>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</si>
  <si>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</si>
  <si>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</si>
  <si>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</si>
  <si>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</si>
  <si>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</si>
  <si>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</si>
  <si>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</si>
  <si>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</si>
  <si>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</si>
  <si>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</si>
  <si>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</si>
  <si>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</si>
  <si>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</si>
  <si>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</si>
  <si>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</si>
  <si>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</si>
  <si>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</si>
  <si>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</si>
  <si>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</si>
  <si>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</si>
  <si>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</si>
  <si>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</si>
  <si>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</si>
  <si>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</si>
  <si>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</si>
  <si>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</si>
  <si>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</si>
  <si>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</si>
  <si>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</si>
  <si>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</si>
  <si>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</si>
  <si>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</si>
  <si>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</si>
  <si>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</si>
  <si>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</si>
  <si>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</si>
  <si>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</si>
  <si>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</si>
  <si>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</si>
  <si>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</si>
  <si>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</si>
  <si>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</si>
  <si>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</si>
  <si>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</si>
  <si>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</si>
  <si>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</si>
  <si>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</si>
  <si>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</si>
  <si>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</si>
  <si>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</si>
  <si>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</si>
  <si>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</si>
  <si>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</si>
  <si>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</si>
  <si>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</si>
  <si>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</si>
  <si>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</si>
  <si>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</si>
  <si>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</si>
  <si>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</si>
  <si>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</si>
  <si>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</si>
  <si>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</si>
  <si>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</si>
  <si>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</si>
  <si>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</si>
  <si>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</si>
  <si>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</si>
  <si>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</si>
  <si>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</si>
  <si>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</si>
  <si>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</si>
  <si>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</si>
  <si>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</si>
  <si>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</si>
  <si>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</si>
  <si>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</si>
  <si>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</si>
  <si>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</si>
  <si>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</si>
  <si>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</si>
  <si>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</si>
  <si>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</si>
  <si>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</si>
  <si>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</si>
  <si>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</si>
  <si>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</si>
  <si>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</si>
  <si>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</si>
  <si>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</si>
  <si>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</si>
  <si>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</si>
  <si>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</si>
  <si>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</si>
  <si>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</si>
  <si>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</si>
  <si>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</si>
  <si>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</si>
  <si>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</si>
  <si>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</si>
  <si>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</si>
  <si>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</si>
  <si>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</si>
  <si>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</si>
  <si>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</si>
  <si>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</si>
  <si>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</si>
  <si>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</si>
  <si>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</si>
  <si>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</si>
  <si>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</si>
  <si>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</si>
  <si>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</si>
  <si>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</si>
  <si>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</si>
  <si>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</si>
  <si>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</si>
  <si>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</si>
  <si>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</si>
  <si>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</si>
  <si>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</si>
  <si>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</si>
  <si>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</si>
  <si>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</si>
  <si>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</si>
  <si>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</si>
  <si>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</si>
  <si>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</si>
  <si>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</si>
  <si>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</si>
  <si>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</si>
  <si>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</si>
  <si>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</si>
  <si>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</si>
  <si>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</si>
  <si>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</si>
  <si>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</si>
  <si>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</si>
  <si>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</si>
  <si>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</si>
  <si>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</si>
  <si>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</si>
  <si>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</si>
  <si>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</si>
  <si>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</si>
  <si>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</si>
  <si>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</si>
  <si>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</si>
  <si>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</si>
  <si>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</si>
  <si>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</si>
  <si>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</si>
  <si>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</si>
  <si>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</si>
  <si>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</si>
  <si>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</si>
  <si>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</si>
  <si>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</si>
  <si>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</si>
  <si>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</si>
  <si>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</si>
  <si>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</si>
  <si>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</si>
  <si>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</si>
  <si>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</si>
  <si>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</si>
  <si>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</si>
  <si>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</si>
  <si>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</si>
  <si>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</si>
  <si>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</si>
  <si>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</si>
  <si>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</si>
  <si>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</si>
  <si>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</si>
  <si>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</si>
  <si>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</si>
  <si>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</si>
  <si>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</si>
  <si>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</si>
  <si>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</si>
  <si>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</si>
  <si>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</si>
  <si>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</si>
  <si>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</si>
  <si>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</si>
  <si>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</si>
  <si>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</si>
  <si>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</si>
  <si>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</si>
  <si>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</si>
  <si>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</si>
  <si>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</si>
  <si>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</si>
  <si>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</si>
  <si>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</si>
  <si>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</si>
  <si>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</si>
  <si>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</si>
  <si>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</si>
  <si>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</si>
  <si>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</si>
  <si>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</si>
  <si>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</si>
  <si>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</si>
  <si>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</si>
  <si>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</si>
  <si>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</si>
  <si>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</si>
  <si>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</si>
  <si>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</si>
  <si>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</si>
  <si>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</si>
  <si>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</si>
  <si>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</si>
  <si>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</si>
  <si>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</si>
  <si>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</si>
  <si>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</si>
  <si>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</si>
  <si>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</si>
  <si>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</si>
  <si>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</si>
  <si>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</si>
  <si>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</si>
  <si>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</si>
  <si>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</si>
  <si>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</si>
  <si>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</si>
  <si>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</si>
  <si>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</si>
  <si>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</si>
  <si>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</si>
  <si>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</si>
  <si>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</si>
  <si>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</si>
  <si>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</si>
  <si>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</si>
  <si>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</si>
  <si>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</si>
  <si>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</si>
  <si>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</si>
  <si>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</si>
  <si>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</si>
  <si>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</si>
  <si>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</si>
  <si>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</si>
  <si>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</si>
  <si>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</si>
  <si>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</si>
  <si>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</si>
  <si>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</si>
  <si>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</si>
  <si>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</si>
  <si>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</si>
  <si>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</si>
  <si>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</si>
  <si>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</si>
  <si>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</si>
  <si>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</si>
  <si>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</si>
  <si>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</si>
  <si>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</si>
  <si>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</si>
  <si>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</si>
  <si>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</si>
  <si>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</si>
  <si>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</si>
  <si>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</si>
  <si>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</si>
  <si>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</si>
  <si>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</si>
  <si>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</si>
  <si>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</si>
  <si>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</si>
  <si>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</si>
  <si>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</si>
  <si>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</si>
  <si>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</si>
  <si>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</si>
  <si>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</si>
  <si>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</si>
  <si>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</si>
  <si>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</si>
  <si>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</si>
  <si>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</si>
  <si>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</si>
  <si>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</si>
  <si>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</si>
  <si>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</si>
  <si>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</si>
  <si>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</si>
  <si>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</si>
  <si>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</si>
  <si>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</si>
  <si>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</si>
  <si>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</si>
  <si>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</si>
  <si>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</si>
  <si>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</si>
  <si>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</si>
  <si>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</si>
  <si>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</si>
  <si>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</si>
  <si>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</si>
  <si>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</si>
  <si>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</si>
  <si>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</si>
  <si>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</si>
  <si>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</si>
  <si>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</si>
  <si>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</si>
  <si>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</si>
  <si>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</si>
  <si>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</si>
  <si>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</si>
  <si>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</si>
  <si>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</si>
  <si>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</si>
  <si>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</si>
  <si>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</si>
  <si>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</si>
  <si>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</si>
  <si>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</si>
  <si>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</si>
  <si>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</si>
  <si>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</si>
  <si>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</si>
  <si>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</si>
  <si>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</si>
  <si>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</si>
  <si>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</si>
  <si>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</si>
  <si>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</si>
  <si>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</si>
  <si>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</si>
  <si>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</si>
  <si>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</si>
  <si>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</si>
  <si>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</si>
  <si>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</si>
  <si>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</si>
  <si>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</si>
  <si>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</si>
  <si>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</si>
  <si>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</si>
  <si>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</si>
  <si>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</si>
  <si>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</si>
  <si>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</si>
  <si>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</si>
  <si>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</si>
  <si>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</si>
  <si>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</si>
  <si>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</si>
  <si>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</si>
  <si>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</si>
  <si>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</si>
  <si>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</si>
  <si>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</si>
  <si>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</si>
  <si>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</si>
  <si>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</si>
  <si>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</si>
  <si>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</si>
  <si>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</si>
  <si>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</si>
  <si>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</si>
  <si>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</si>
  <si>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</si>
  <si>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</si>
  <si>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</si>
  <si>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</si>
  <si>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</si>
  <si>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</si>
  <si>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</si>
  <si>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</si>
  <si>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</si>
  <si>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</si>
  <si>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</si>
  <si>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</si>
  <si>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</si>
  <si>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</si>
  <si>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</si>
  <si>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</si>
  <si>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</si>
  <si>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</si>
  <si>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</si>
  <si>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</si>
  <si>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</si>
  <si>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</si>
  <si>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</si>
  <si>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</si>
  <si>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</si>
  <si>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</si>
  <si>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</si>
  <si>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</si>
  <si>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</si>
  <si>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</si>
  <si>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</si>
  <si>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商业</t>
  </si>
  <si>
    <t>科教用地</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</si>
  <si>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</si>
  <si>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</si>
  <si>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</si>
  <si>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</si>
  <si>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</si>
  <si>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</si>
  <si>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</si>
  <si>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</si>
  <si>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</si>
  <si>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估价对象容积率</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</si>
  <si>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</si>
  <si>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</si>
  <si>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</si>
  <si>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</si>
  <si>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</si>
  <si>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</si>
  <si>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</si>
  <si>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</si>
  <si>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</si>
  <si>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</si>
  <si>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</si>
  <si>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</si>
  <si>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</si>
  <si>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</si>
  <si>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</si>
  <si>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</si>
  <si>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</si>
  <si>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</si>
  <si>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</si>
  <si>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</si>
  <si>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</si>
  <si>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</si>
  <si>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</si>
  <si>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</si>
  <si>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</si>
  <si>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</si>
  <si>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</si>
  <si>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</si>
  <si>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</si>
  <si>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</si>
  <si>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</si>
  <si>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</si>
  <si>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</si>
  <si>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</si>
  <si>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</si>
  <si>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</si>
  <si>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</si>
  <si>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</si>
  <si>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</si>
  <si>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</si>
  <si>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</si>
  <si>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</si>
  <si>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</si>
  <si>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</si>
  <si>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</si>
  <si>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</si>
  <si>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</si>
  <si>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</si>
  <si>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</si>
  <si>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</si>
  <si>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</si>
  <si>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</si>
  <si>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</si>
  <si>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</si>
  <si>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</si>
  <si>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</si>
  <si>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</si>
  <si>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</si>
  <si>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</si>
  <si>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</si>
  <si>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</si>
  <si>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</si>
  <si>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</si>
  <si>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</si>
  <si>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</si>
  <si>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</si>
  <si>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</si>
  <si>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</si>
  <si>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</si>
  <si>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</si>
  <si>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</si>
  <si>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</si>
  <si>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</si>
  <si>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</si>
  <si>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</si>
  <si>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</si>
  <si>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</si>
  <si>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</si>
  <si>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</si>
  <si>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</si>
  <si>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</si>
  <si>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</si>
  <si>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</si>
  <si>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</si>
  <si>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</si>
  <si>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</si>
  <si>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</si>
  <si>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</si>
  <si>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</si>
  <si>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</si>
  <si>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</si>
  <si>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</si>
  <si>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</si>
  <si>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</si>
  <si>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</si>
  <si>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</si>
  <si>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</si>
  <si>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</si>
  <si>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</si>
  <si>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</si>
  <si>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</si>
  <si>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</si>
  <si>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</si>
  <si>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</si>
  <si>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</si>
  <si>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</si>
  <si>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</si>
  <si>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</si>
  <si>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</si>
  <si>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</si>
  <si>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</si>
  <si>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</si>
  <si>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</si>
  <si>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</si>
  <si>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</si>
  <si>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</si>
  <si>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</si>
  <si>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</si>
  <si>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</si>
  <si>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</si>
  <si>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</si>
  <si>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</si>
  <si>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地块名称</t>
  </si>
  <si>
    <t>用地性质</t>
  </si>
  <si>
    <t>建设用地面积(㎡)</t>
  </si>
  <si>
    <t>规划建筑面积(㎡)</t>
  </si>
  <si>
    <t>详细规划</t>
  </si>
  <si>
    <t>成交日期</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</si>
  <si>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</si>
  <si>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</si>
  <si>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</si>
  <si>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</si>
  <si>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</si>
  <si>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商业/办公用地</t>
  </si>
  <si>
    <t xml:space="preserve"> B4综合性商业金融服务业用地</t>
  </si>
  <si>
    <t xml:space="preserve">北京经济技术开发区亦庄新城0902街区JG01-07地块F3其他类多功能用地   </t>
  </si>
  <si>
    <t xml:space="preserve"> F3其他类多功能用地</t>
  </si>
  <si>
    <t xml:space="preserve">北京城市副中心0101街区FZX-0101-0902地块F3其他类多功能用地   </t>
  </si>
  <si>
    <t>北京市大兴区黄村镇DX00-0201-6001地块B14旅馆用地   32021</t>
  </si>
  <si>
    <t xml:space="preserve"> B14旅馆用地</t>
  </si>
  <si>
    <t xml:space="preserve">北京市通州区张家湾车辆段综合利用供地项目FZX-1202-0079-02(上盖区)、FZX-1202-0079-03(落地区)、FZX-1202-0079-04(落地区)地块F3其他类多功能用地   </t>
  </si>
  <si>
    <t xml:space="preserve">北京城市副中心FZX-0902-0229、0230地块    </t>
  </si>
  <si>
    <t xml:space="preserve"> ≤3.1</t>
  </si>
  <si>
    <t xml:space="preserve"> B2商务用地</t>
  </si>
  <si>
    <t xml:space="preserve">北京城市副中心12组团西北部    </t>
  </si>
  <si>
    <t xml:space="preserve"> ≤2.15</t>
  </si>
  <si>
    <t xml:space="preserve">北京市房山区长阳镇06、07街区棚户区改造土地开发七片区项目FS10-0107-0005地块F3其他类多功能用地    </t>
  </si>
  <si>
    <t xml:space="preserve"> ≤3</t>
  </si>
  <si>
    <t xml:space="preserve">北京经济技术开发区路东区G4F-4、G6F-1、G6F-5、G7F-1、G7F-2、G7F-3地块F3其他类多功能用地国有建设用地    </t>
  </si>
  <si>
    <t xml:space="preserve"> g4f-4≤3,g6f-1、g6f-5、g7f-1、g7f-2≤2.5,g7f-3≤1.96</t>
  </si>
  <si>
    <t xml:space="preserve">北京市昌平区朱辛庄新区(二期)土地一级开发项目ZXZ-010地块F3其他类多功能用地    </t>
  </si>
  <si>
    <t xml:space="preserve">北京市通州区潞城镇FZX-0901-0162地块F3其他类多功能用地    </t>
  </si>
  <si>
    <t xml:space="preserve"> ≤2.5</t>
  </si>
  <si>
    <t xml:space="preserve">北京经济技术开发区河西区X78C2地块B4综合性商业金融服务业用地    </t>
  </si>
  <si>
    <t xml:space="preserve"> ≤2</t>
  </si>
  <si>
    <t xml:space="preserve">北京经济技术开发区南海子郊野公园B片区B-04/ B-06/B-11地块F3其他类多功能用地    </t>
  </si>
  <si>
    <t xml:space="preserve"> b-04、b-06≤1.5,b-11≤2</t>
  </si>
  <si>
    <t>基准地价办公</t>
    <phoneticPr fontId="14" type="noConversion"/>
  </si>
  <si>
    <t>基准地价工业</t>
    <phoneticPr fontId="14" type="noConversion"/>
  </si>
  <si>
    <t>基准地价商业</t>
    <phoneticPr fontId="14" type="noConversion"/>
  </si>
  <si>
    <t>工业</t>
    <phoneticPr fontId="225" type="noConversion"/>
  </si>
  <si>
    <t>合计</t>
    <phoneticPr fontId="225" type="noConversion"/>
  </si>
  <si>
    <t>Ⅷ-顺1</t>
  </si>
  <si>
    <t>京顺机动车检测场</t>
    <phoneticPr fontId="3" type="noConversion"/>
  </si>
  <si>
    <t>顺交综合性能检测站</t>
    <phoneticPr fontId="3" type="noConversion"/>
  </si>
  <si>
    <t>顺交通达汽车网驾驶员培训中心</t>
    <phoneticPr fontId="3" type="noConversion"/>
  </si>
  <si>
    <t>北京通达实业总公司</t>
    <phoneticPr fontId="3" type="noConversion"/>
  </si>
  <si>
    <t>工业</t>
    <phoneticPr fontId="7" type="noConversion"/>
  </si>
  <si>
    <t>商业</t>
    <phoneticPr fontId="7" type="noConversion"/>
  </si>
  <si>
    <t>教卫</t>
  </si>
  <si>
    <t>教卫</t>
    <phoneticPr fontId="7" type="noConversion"/>
  </si>
  <si>
    <r>
      <rPr>
        <sz val="11"/>
        <color indexed="8"/>
        <rFont val="仿宋_GB2312"/>
        <family val="3"/>
        <charset val="134"/>
      </rPr>
      <t>不动产收益法</t>
    </r>
    <r>
      <rPr>
        <sz val="11"/>
        <color theme="1"/>
        <rFont val="宋体"/>
        <family val="2"/>
        <charset val="134"/>
      </rPr>
      <t>办公</t>
    </r>
    <phoneticPr fontId="14" type="noConversion"/>
  </si>
  <si>
    <t>不动产收益法商业</t>
  </si>
  <si>
    <t>不动产收益法商业</t>
    <phoneticPr fontId="14" type="noConversion"/>
  </si>
  <si>
    <t>不动产收益法工业</t>
  </si>
  <si>
    <t>不动产收益法工业</t>
    <phoneticPr fontId="14" type="noConversion"/>
  </si>
  <si>
    <t>剩余法工业</t>
    <phoneticPr fontId="14" type="noConversion"/>
  </si>
  <si>
    <t>剩余法商业</t>
    <phoneticPr fontId="14" type="noConversion"/>
  </si>
  <si>
    <t>剩余法办公</t>
    <phoneticPr fontId="14" type="noConversion"/>
  </si>
  <si>
    <t>商业繁华度、办公聚集度、产业聚集度</t>
    <phoneticPr fontId="225" type="noConversion"/>
  </si>
  <si>
    <t>商业</t>
    <phoneticPr fontId="225" type="noConversion"/>
  </si>
  <si>
    <t>批发零售用地</t>
  </si>
  <si>
    <t>不临58条商业街</t>
  </si>
  <si>
    <t>工业用地</t>
  </si>
  <si>
    <t>不动产收益法办公</t>
  </si>
  <si>
    <t>成新度</t>
  </si>
  <si>
    <t xml:space="preserve">顺义区马坡聚源工业区A02-2-2地块    </t>
  </si>
  <si>
    <t xml:space="preserve"> 工业用地</t>
  </si>
  <si>
    <t xml:space="preserve"> ≤1.6</t>
  </si>
  <si>
    <t xml:space="preserve"> M1工业用地</t>
  </si>
  <si>
    <t xml:space="preserve">顺义区赵全营镇SY04-0100-6006-1-2地块    </t>
  </si>
  <si>
    <t xml:space="preserve"> ≤1.80</t>
  </si>
  <si>
    <t xml:space="preserve">北京市顺义临空国际(科创功能区)6-1-1地块M1一类工业用地国有建设用地    </t>
  </si>
  <si>
    <t xml:space="preserve"> ≥0.8;≤2</t>
  </si>
  <si>
    <t xml:space="preserve"> 一类工业用地</t>
  </si>
  <si>
    <t xml:space="preserve">顺义区赵全营板桥SY04-0100-6006-2地块M4工业研发用地   </t>
  </si>
  <si>
    <t xml:space="preserve"> ≤1.8</t>
  </si>
  <si>
    <t xml:space="preserve"> 工业研发M4</t>
  </si>
  <si>
    <t xml:space="preserve">顺义区赵全营镇SY04-0100-6006-3地块M4工业研发项目   </t>
  </si>
  <si>
    <t xml:space="preserve"> M4工业研发</t>
  </si>
  <si>
    <t xml:space="preserve">顺义区SY02-0200-6001、6002地块M4工业研发项目   </t>
  </si>
  <si>
    <t xml:space="preserve">顺义区赵全营镇SY04-0100-6006-4地块M4工业研发项目   </t>
  </si>
  <si>
    <t>土地开发补偿费</t>
  </si>
  <si>
    <t>储备</t>
  </si>
  <si>
    <t>公共服务设施</t>
    <phoneticPr fontId="225" type="noConversion"/>
  </si>
  <si>
    <t>权利人</t>
  </si>
  <si>
    <t>用途</t>
  </si>
  <si>
    <t>土地证号</t>
  </si>
  <si>
    <t>土地面积</t>
  </si>
  <si>
    <t>（平方米）</t>
  </si>
  <si>
    <t>房产证号</t>
  </si>
  <si>
    <t>北京顺交综合性能检测站</t>
  </si>
  <si>
    <r>
      <t>京顺国用（</t>
    </r>
    <r>
      <rPr>
        <sz val="8"/>
        <color theme="1"/>
        <rFont val="Arial"/>
        <family val="2"/>
      </rPr>
      <t>2001</t>
    </r>
    <r>
      <rPr>
        <sz val="8"/>
        <color theme="1"/>
        <rFont val="宋体"/>
        <family val="3"/>
        <charset val="134"/>
      </rPr>
      <t>）字第</t>
    </r>
    <r>
      <rPr>
        <sz val="8"/>
        <color theme="1"/>
        <rFont val="Arial"/>
        <family val="2"/>
      </rPr>
      <t>0160</t>
    </r>
    <r>
      <rPr>
        <sz val="8"/>
        <color theme="1"/>
        <rFont val="宋体"/>
        <family val="3"/>
        <charset val="134"/>
      </rPr>
      <t>号</t>
    </r>
  </si>
  <si>
    <r>
      <t>京房权证顺集字第</t>
    </r>
    <r>
      <rPr>
        <sz val="8"/>
        <color theme="1"/>
        <rFont val="Arial"/>
        <family val="2"/>
      </rPr>
      <t>00214</t>
    </r>
    <r>
      <rPr>
        <sz val="8"/>
        <color theme="1"/>
        <rFont val="宋体"/>
        <family val="3"/>
        <charset val="134"/>
      </rPr>
      <t>号</t>
    </r>
  </si>
  <si>
    <t>北京通达实业总公司</t>
  </si>
  <si>
    <r>
      <t>京顺国用（</t>
    </r>
    <r>
      <rPr>
        <sz val="8"/>
        <color theme="1"/>
        <rFont val="Arial"/>
        <family val="2"/>
      </rPr>
      <t>1996</t>
    </r>
    <r>
      <rPr>
        <sz val="8"/>
        <color theme="1"/>
        <rFont val="宋体"/>
        <family val="3"/>
        <charset val="134"/>
      </rPr>
      <t>）字第</t>
    </r>
    <r>
      <rPr>
        <sz val="8"/>
        <color theme="1"/>
        <rFont val="Arial"/>
        <family val="2"/>
      </rPr>
      <t>00058</t>
    </r>
    <r>
      <rPr>
        <sz val="8"/>
        <color theme="1"/>
        <rFont val="宋体"/>
        <family val="3"/>
        <charset val="134"/>
      </rPr>
      <t>号</t>
    </r>
  </si>
  <si>
    <r>
      <t>京房权证顺集字第</t>
    </r>
    <r>
      <rPr>
        <sz val="8"/>
        <color theme="1"/>
        <rFont val="Arial"/>
        <family val="2"/>
      </rPr>
      <t>00231</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</si>
  <si>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00059</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</si>
  <si>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00060</t>
    </r>
    <r>
      <rPr>
        <sz val="8"/>
        <color theme="1"/>
        <rFont val="宋体"/>
        <family val="3"/>
        <charset val="134"/>
      </rPr>
      <t>号</t>
    </r>
  </si>
  <si>
    <t>北京市京顺机动车检测场</t>
  </si>
  <si>
    <r>
      <t>顺全字第</t>
    </r>
    <r>
      <rPr>
        <sz val="8"/>
        <color theme="1"/>
        <rFont val="Arial"/>
        <family val="2"/>
      </rPr>
      <t>00749</t>
    </r>
    <r>
      <rPr>
        <sz val="8"/>
        <color theme="1"/>
        <rFont val="宋体"/>
        <family val="3"/>
        <charset val="134"/>
      </rPr>
      <t>号</t>
    </r>
  </si>
  <si>
    <r>
      <t>京顺国用（</t>
    </r>
    <r>
      <rPr>
        <sz val="8"/>
        <color theme="1"/>
        <rFont val="Arial"/>
        <family val="2"/>
      </rPr>
      <t>2001</t>
    </r>
    <r>
      <rPr>
        <sz val="8"/>
        <color theme="1"/>
        <rFont val="宋体"/>
        <family val="3"/>
        <charset val="134"/>
      </rPr>
      <t>）字第</t>
    </r>
    <r>
      <rPr>
        <sz val="8"/>
        <color theme="1"/>
        <rFont val="Arial"/>
        <family val="2"/>
      </rPr>
      <t>0194</t>
    </r>
    <r>
      <rPr>
        <sz val="8"/>
        <color theme="1"/>
        <rFont val="宋体"/>
        <family val="3"/>
        <charset val="134"/>
      </rPr>
      <t>号</t>
    </r>
  </si>
  <si>
    <r>
      <t>京顺国用（</t>
    </r>
    <r>
      <rPr>
        <sz val="8"/>
        <color theme="1"/>
        <rFont val="Arial"/>
        <family val="2"/>
      </rPr>
      <t>1996</t>
    </r>
    <r>
      <rPr>
        <sz val="8"/>
        <color theme="1"/>
        <rFont val="宋体"/>
        <family val="3"/>
        <charset val="134"/>
      </rPr>
      <t>）字第</t>
    </r>
    <r>
      <rPr>
        <sz val="8"/>
        <color theme="1"/>
        <rFont val="Arial"/>
        <family val="2"/>
      </rPr>
      <t>00057</t>
    </r>
    <r>
      <rPr>
        <sz val="8"/>
        <color theme="1"/>
        <rFont val="宋体"/>
        <family val="3"/>
        <charset val="134"/>
      </rPr>
      <t>号</t>
    </r>
  </si>
  <si>
    <r>
      <t>京房权证顺集更字第</t>
    </r>
    <r>
      <rPr>
        <sz val="8"/>
        <color theme="1"/>
        <rFont val="Arial"/>
        <family val="2"/>
      </rPr>
      <t>00341</t>
    </r>
    <r>
      <rPr>
        <sz val="8"/>
        <color theme="1"/>
        <rFont val="宋体"/>
        <family val="3"/>
        <charset val="134"/>
      </rPr>
      <t>号</t>
    </r>
  </si>
  <si>
    <t>北京顺交通达汽车驾驶员培训中心</t>
  </si>
  <si>
    <r>
      <t>京顺国用（</t>
    </r>
    <r>
      <rPr>
        <sz val="8"/>
        <color theme="1"/>
        <rFont val="Arial"/>
        <family val="2"/>
      </rPr>
      <t>2001</t>
    </r>
    <r>
      <rPr>
        <sz val="8"/>
        <color theme="1"/>
        <rFont val="宋体"/>
        <family val="3"/>
        <charset val="134"/>
      </rPr>
      <t>）字第</t>
    </r>
    <r>
      <rPr>
        <sz val="8"/>
        <color theme="1"/>
        <rFont val="Arial"/>
        <family val="2"/>
      </rPr>
      <t>0242</t>
    </r>
    <r>
      <rPr>
        <sz val="8"/>
        <color theme="1"/>
        <rFont val="宋体"/>
        <family val="3"/>
        <charset val="134"/>
      </rPr>
      <t>号</t>
    </r>
  </si>
  <si>
    <t>土地总价</t>
    <phoneticPr fontId="225" type="noConversion"/>
  </si>
  <si>
    <t>（万元）</t>
    <phoneticPr fontId="225" type="noConversion"/>
  </si>
  <si>
    <t>好</t>
  </si>
  <si>
    <r>
      <t>顺</t>
    </r>
    <r>
      <rPr>
        <sz val="8"/>
        <color theme="1"/>
        <rFont val="Arial"/>
        <family val="2"/>
      </rPr>
      <t>-</t>
    </r>
    <r>
      <rPr>
        <sz val="8"/>
        <color theme="1"/>
        <rFont val="宋体"/>
        <family val="3"/>
        <charset val="134"/>
      </rPr>
      <t>南法信国用（证）字第</t>
    </r>
    <r>
      <rPr>
        <sz val="8"/>
        <color theme="1"/>
        <rFont val="Arial"/>
        <family val="2"/>
      </rPr>
      <t>004</t>
    </r>
    <r>
      <rPr>
        <sz val="8"/>
        <color theme="1"/>
        <rFont val="宋体"/>
        <family val="3"/>
        <charset val="134"/>
      </rPr>
      <t>号</t>
    </r>
    <phoneticPr fontId="225" type="noConversion"/>
  </si>
  <si>
    <t>土地使用权价格</t>
  </si>
  <si>
    <t>建（构）筑物价格</t>
  </si>
  <si>
    <t>附属物价格</t>
  </si>
  <si>
    <t>停产停业损失补偿费用</t>
  </si>
  <si>
    <t>搬迁、临时安置补偿费用</t>
  </si>
  <si>
    <t>土地收购补偿价格</t>
  </si>
  <si>
    <t>预评估价格（万元）</t>
    <phoneticPr fontId="225" type="noConversion"/>
  </si>
  <si>
    <t>合计</t>
    <phoneticPr fontId="225" type="noConversion"/>
  </si>
  <si>
    <t>土地证号</t>
    <phoneticPr fontId="225" type="noConversion"/>
  </si>
  <si>
    <t>——</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</si>
</sst>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 numFmtId="198" formatCode="0.0000%"/>
    <numFmt numFmtId="199" formatCode="0.0000"/>
    <numFmt numFmtId="200" formatCode="0.000000_ "/>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
      <sz val="11"/>
      <color theme="1"/>
      <name val="Arial"/>
      <family val="3"/>
      <charset val="134"/>
    </font>
    <font>
      <sz val="8"/>
      <color theme="1"/>
      <name val="宋体"/>
      <family val="3"/>
      <charset val="134"/>
    </font>
    <font>
      <sz val="8"/>
      <color theme="1"/>
      <name val="Arial"/>
      <family val="2"/>
    </font>
    <font>
      <b/>
      <sz val="8"/>
      <color theme="1"/>
      <name val="宋体"/>
      <family val="3"/>
      <charset val="134"/>
    </font>
    <font>
      <b/>
      <sz val="8"/>
      <color theme="1"/>
      <name val="Arial"/>
      <family val="2"/>
    </font>
    <font>
      <b/>
      <sz val="10.5"/>
      <color theme="1"/>
      <name val="宋体"/>
      <family val="3"/>
      <charset val="134"/>
    </font>
    <font>
      <sz val="10.5"/>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3" fillId="0" borderId="0" applyNumberFormat="0" applyFill="0" applyBorder="0" applyAlignment="0" applyProtection="0">
      <alignment vertical="center"/>
    </xf>
  </cellStyleXfs>
  <cellXfs count="39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73" fillId="5" borderId="8" xfId="0" applyFont="1" applyFill="1" applyBorder="1" applyAlignment="1" applyProtection="1">
      <alignment horizontal="center" vertical="center"/>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2" fillId="0" borderId="2" xfId="0" applyNumberFormat="1" applyFont="1" applyBorder="1" applyAlignment="1" applyProtection="1">
      <alignment horizontal="center" vertical="center"/>
      <protection locked="0"/>
    </xf>
    <xf numFmtId="0" fontId="283" fillId="0" borderId="0" xfId="16">
      <alignment vertical="center"/>
    </xf>
    <xf numFmtId="0" fontId="143" fillId="0" borderId="0" xfId="0" applyFont="1">
      <alignment vertical="center"/>
    </xf>
    <xf numFmtId="0" fontId="284"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4" fillId="0" borderId="2" xfId="0" applyFont="1" applyBorder="1" applyAlignment="1">
      <alignment horizontal="center" vertical="center" wrapText="1"/>
    </xf>
    <xf numFmtId="185" fontId="284"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7" fillId="0" borderId="2" xfId="3" applyFont="1" applyBorder="1" applyAlignment="1">
      <alignment horizontal="center" vertical="center" wrapText="1"/>
    </xf>
    <xf numFmtId="180" fontId="287" fillId="0" borderId="2" xfId="0" applyNumberFormat="1" applyFont="1" applyBorder="1" applyAlignment="1">
      <alignment horizontal="center" vertical="center" readingOrder="1"/>
    </xf>
    <xf numFmtId="0" fontId="288"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197" fontId="0" fillId="6" borderId="0" xfId="0" applyNumberFormat="1" applyFill="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9" fillId="6" borderId="0" xfId="0" applyNumberFormat="1" applyFont="1" applyFill="1" applyAlignment="1"/>
    <xf numFmtId="0" fontId="281" fillId="0" borderId="2" xfId="0" applyFont="1" applyBorder="1" applyAlignment="1" applyProtection="1">
      <alignment horizontal="center" vertical="center"/>
      <protection locked="0"/>
    </xf>
    <xf numFmtId="0" fontId="290" fillId="0" borderId="2" xfId="0" applyFont="1" applyBorder="1" applyAlignment="1" applyProtection="1">
      <alignment horizontal="center" vertical="center"/>
      <protection locked="0"/>
    </xf>
    <xf numFmtId="0" fontId="143" fillId="6" borderId="0" xfId="0" applyFont="1" applyFill="1">
      <alignment vertical="center"/>
    </xf>
    <xf numFmtId="198" fontId="0" fillId="0" borderId="0" xfId="0" applyNumberFormat="1" applyAlignment="1"/>
    <xf numFmtId="198" fontId="0" fillId="6" borderId="0" xfId="0" applyNumberFormat="1" applyFill="1" applyAlignment="1"/>
    <xf numFmtId="0" fontId="40" fillId="22" borderId="2" xfId="4" applyFont="1" applyFill="1" applyBorder="1" applyAlignment="1">
      <alignment horizontal="center" vertical="center" wrapText="1"/>
    </xf>
    <xf numFmtId="0" fontId="83" fillId="22" borderId="2" xfId="4" applyFont="1" applyFill="1" applyBorder="1" applyAlignment="1">
      <alignment horizontal="center" vertical="center" wrapText="1"/>
    </xf>
    <xf numFmtId="9" fontId="92" fillId="22" borderId="5" xfId="2" applyNumberFormat="1" applyFont="1" applyFill="1" applyBorder="1" applyAlignment="1" applyProtection="1">
      <alignment horizontal="center" vertical="center"/>
      <protection locked="0"/>
    </xf>
    <xf numFmtId="0" fontId="68" fillId="22" borderId="11" xfId="0" applyFont="1" applyFill="1" applyBorder="1" applyAlignment="1" applyProtection="1">
      <alignment vertical="center"/>
      <protection locked="0"/>
    </xf>
    <xf numFmtId="9" fontId="0" fillId="22" borderId="0" xfId="0" applyNumberFormat="1" applyFill="1">
      <alignment vertical="center"/>
    </xf>
    <xf numFmtId="198" fontId="0" fillId="0" borderId="0" xfId="0" applyNumberFormat="1">
      <alignment vertical="center"/>
    </xf>
    <xf numFmtId="178" fontId="83" fillId="22" borderId="2" xfId="2" applyNumberFormat="1" applyFont="1" applyFill="1" applyBorder="1" applyAlignment="1" applyProtection="1">
      <alignment horizontal="center" vertical="center"/>
      <protection locked="0"/>
    </xf>
    <xf numFmtId="10" fontId="144" fillId="23" borderId="0" xfId="0" applyNumberFormat="1" applyFont="1" applyFill="1">
      <alignment vertical="center"/>
    </xf>
    <xf numFmtId="10" fontId="144" fillId="6" borderId="0" xfId="0" applyNumberFormat="1" applyFont="1" applyFill="1">
      <alignment vertical="center"/>
    </xf>
    <xf numFmtId="0" fontId="149" fillId="14" borderId="0" xfId="13" applyFont="1" applyFill="1" applyAlignment="1">
      <alignment horizontal="left" vertical="center"/>
    </xf>
    <xf numFmtId="0" fontId="149" fillId="0" borderId="0" xfId="13" applyFont="1" applyAlignment="1">
      <alignment horizontal="left" vertical="center"/>
    </xf>
    <xf numFmtId="0" fontId="256" fillId="9" borderId="2"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68" fillId="9" borderId="21" xfId="0" applyFont="1" applyFill="1" applyBorder="1" applyAlignment="1" applyProtection="1">
      <alignment horizontal="center" vertical="center" wrapText="1"/>
      <protection locked="0"/>
    </xf>
    <xf numFmtId="0" fontId="160" fillId="9" borderId="2" xfId="1" applyFont="1" applyFill="1" applyBorder="1" applyAlignment="1" applyProtection="1">
      <alignment horizontal="center" vertical="center" wrapText="1"/>
      <protection locked="0"/>
    </xf>
    <xf numFmtId="9" fontId="0" fillId="9" borderId="0" xfId="0" applyNumberFormat="1" applyFill="1">
      <alignment vertical="center"/>
    </xf>
    <xf numFmtId="0" fontId="142" fillId="9" borderId="0" xfId="0" applyFont="1" applyFill="1">
      <alignment vertical="center"/>
    </xf>
    <xf numFmtId="0" fontId="0" fillId="9" borderId="0" xfId="0" applyFill="1">
      <alignment vertical="center"/>
    </xf>
    <xf numFmtId="0" fontId="291" fillId="0" borderId="162" xfId="0" applyFont="1" applyBorder="1" applyAlignment="1">
      <alignment horizontal="center" vertical="center" wrapText="1"/>
    </xf>
    <xf numFmtId="0" fontId="291" fillId="0" borderId="163" xfId="0" applyFont="1" applyBorder="1" applyAlignment="1">
      <alignment horizontal="center" vertical="center" wrapText="1"/>
    </xf>
    <xf numFmtId="0" fontId="292" fillId="0" borderId="160" xfId="0" applyFont="1" applyBorder="1" applyAlignment="1">
      <alignment horizontal="center" vertical="center" wrapText="1"/>
    </xf>
    <xf numFmtId="0" fontId="292" fillId="0" borderId="163" xfId="0" applyFont="1" applyBorder="1" applyAlignment="1">
      <alignment horizontal="center" vertical="center" wrapText="1"/>
    </xf>
    <xf numFmtId="0" fontId="293" fillId="0" borderId="163" xfId="0" applyFont="1" applyBorder="1" applyAlignment="1">
      <alignment horizontal="center" vertical="center" wrapText="1"/>
    </xf>
    <xf numFmtId="0" fontId="294" fillId="0" borderId="163" xfId="0" applyFont="1" applyBorder="1" applyAlignment="1">
      <alignment horizontal="center" vertical="center" wrapText="1"/>
    </xf>
    <xf numFmtId="0" fontId="291" fillId="0" borderId="160" xfId="0" applyFont="1" applyBorder="1" applyAlignment="1">
      <alignment horizontal="center" vertical="center" wrapText="1"/>
    </xf>
    <xf numFmtId="0" fontId="291" fillId="0" borderId="164" xfId="0" applyFont="1" applyBorder="1" applyAlignment="1">
      <alignment horizontal="center" vertical="center" wrapText="1"/>
    </xf>
    <xf numFmtId="199" fontId="292" fillId="0" borderId="163" xfId="0" applyNumberFormat="1" applyFont="1" applyBorder="1" applyAlignment="1">
      <alignment horizontal="center" vertical="center" wrapText="1"/>
    </xf>
    <xf numFmtId="199" fontId="294" fillId="0" borderId="163" xfId="0" applyNumberFormat="1" applyFont="1" applyBorder="1" applyAlignment="1">
      <alignment horizontal="center" vertical="center" wrapText="1"/>
    </xf>
    <xf numFmtId="200" fontId="294" fillId="0" borderId="163" xfId="0" applyNumberFormat="1" applyFont="1" applyBorder="1" applyAlignment="1">
      <alignment horizontal="center" vertical="center" wrapText="1"/>
    </xf>
    <xf numFmtId="0" fontId="296" fillId="0" borderId="80" xfId="0" applyFont="1" applyBorder="1" applyAlignment="1">
      <alignment horizontal="center" vertical="center" wrapText="1"/>
    </xf>
    <xf numFmtId="0" fontId="296" fillId="0" borderId="66" xfId="0" applyFont="1" applyBorder="1" applyAlignment="1">
      <alignment horizontal="center" vertical="center" wrapText="1"/>
    </xf>
    <xf numFmtId="199" fontId="296" fillId="0" borderId="66" xfId="0" applyNumberFormat="1" applyFont="1" applyBorder="1" applyAlignment="1">
      <alignment horizontal="center"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96" fillId="0" borderId="36" xfId="0" applyFont="1" applyBorder="1" applyAlignment="1">
      <alignment horizontal="center" vertical="center" wrapText="1"/>
    </xf>
    <xf numFmtId="0" fontId="296" fillId="0" borderId="37" xfId="0" applyFont="1" applyBorder="1" applyAlignment="1">
      <alignment horizontal="center" vertical="center" wrapText="1"/>
    </xf>
    <xf numFmtId="0" fontId="296" fillId="0" borderId="38" xfId="0" applyFont="1" applyBorder="1" applyAlignment="1">
      <alignment horizontal="center" vertical="center" wrapText="1"/>
    </xf>
    <xf numFmtId="199" fontId="296" fillId="0" borderId="36" xfId="0" applyNumberFormat="1" applyFont="1" applyBorder="1" applyAlignment="1">
      <alignment horizontal="center" vertical="center" wrapText="1"/>
    </xf>
    <xf numFmtId="199" fontId="296" fillId="0" borderId="37" xfId="0" applyNumberFormat="1" applyFont="1" applyBorder="1" applyAlignment="1">
      <alignment horizontal="center" vertical="center" wrapText="1"/>
    </xf>
    <xf numFmtId="199" fontId="296" fillId="0" borderId="38" xfId="0" applyNumberFormat="1" applyFont="1" applyBorder="1" applyAlignment="1">
      <alignment horizontal="center" vertical="center" wrapText="1"/>
    </xf>
    <xf numFmtId="0" fontId="295" fillId="0" borderId="35" xfId="0" applyFont="1" applyBorder="1" applyAlignment="1">
      <alignment horizontal="center" vertical="center" wrapText="1"/>
    </xf>
    <xf numFmtId="0" fontId="295" fillId="0" borderId="79" xfId="0" applyFont="1" applyBorder="1" applyAlignment="1">
      <alignment horizontal="center" vertical="center" wrapText="1"/>
    </xf>
    <xf numFmtId="0" fontId="295" fillId="0" borderId="80" xfId="0" applyFont="1" applyBorder="1" applyAlignment="1">
      <alignment horizontal="center" vertical="center" wrapText="1"/>
    </xf>
    <xf numFmtId="0" fontId="295" fillId="0" borderId="26" xfId="0" applyFont="1" applyBorder="1" applyAlignment="1">
      <alignment horizontal="center" vertical="center" wrapText="1"/>
    </xf>
    <xf numFmtId="0" fontId="295" fillId="0" borderId="31" xfId="0" applyFont="1" applyBorder="1" applyAlignment="1">
      <alignment horizontal="center" vertical="center" wrapText="1"/>
    </xf>
    <xf numFmtId="0" fontId="295" fillId="0" borderId="54" xfId="0" applyFont="1" applyBorder="1" applyAlignment="1">
      <alignment horizontal="center" vertical="center" wrapText="1"/>
    </xf>
    <xf numFmtId="0" fontId="296" fillId="0" borderId="35" xfId="0" applyFont="1" applyBorder="1" applyAlignment="1">
      <alignment horizontal="center" vertical="center" wrapText="1"/>
    </xf>
    <xf numFmtId="0" fontId="296" fillId="0" borderId="80" xfId="0" applyFont="1" applyBorder="1" applyAlignment="1">
      <alignment horizontal="center" vertical="center" wrapText="1"/>
    </xf>
    <xf numFmtId="0" fontId="291" fillId="0" borderId="159" xfId="0" applyFont="1" applyBorder="1" applyAlignment="1">
      <alignment horizontal="center" vertical="center" wrapText="1"/>
    </xf>
    <xf numFmtId="0" fontId="291" fillId="0" borderId="160" xfId="0" applyFont="1" applyBorder="1" applyAlignment="1">
      <alignment horizontal="center" vertical="center" wrapText="1"/>
    </xf>
    <xf numFmtId="0" fontId="292" fillId="0" borderId="159" xfId="0" applyFont="1" applyBorder="1" applyAlignment="1">
      <alignment horizontal="center" vertical="center" wrapText="1"/>
    </xf>
    <xf numFmtId="0" fontId="292" fillId="0" borderId="164" xfId="0" applyFont="1" applyBorder="1" applyAlignment="1">
      <alignment horizontal="center" vertical="center" wrapText="1"/>
    </xf>
    <xf numFmtId="0" fontId="292" fillId="0" borderId="160" xfId="0" applyFont="1" applyBorder="1" applyAlignment="1">
      <alignment horizontal="center" vertical="center" wrapText="1"/>
    </xf>
    <xf numFmtId="0" fontId="293" fillId="0" borderId="165" xfId="0" applyFont="1" applyBorder="1" applyAlignment="1">
      <alignment horizontal="center" vertical="center" wrapText="1"/>
    </xf>
    <xf numFmtId="0" fontId="293" fillId="0" borderId="161" xfId="0" applyFont="1" applyBorder="1" applyAlignment="1">
      <alignment horizontal="center" vertical="center" wrapText="1"/>
    </xf>
    <xf numFmtId="0" fontId="291" fillId="0" borderId="164" xfId="0" applyFont="1" applyBorder="1" applyAlignment="1">
      <alignment horizontal="center" vertical="center" wrapText="1"/>
    </xf>
    <xf numFmtId="0" fontId="291" fillId="0" borderId="165" xfId="0" applyFont="1" applyBorder="1" applyAlignment="1">
      <alignment horizontal="center" vertical="center" wrapText="1"/>
    </xf>
    <xf numFmtId="0" fontId="291" fillId="0" borderId="161" xfId="0"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86" fillId="0" borderId="2" xfId="0" applyFont="1" applyBorder="1" applyAlignment="1">
      <alignment horizontal="center" vertical="center"/>
    </xf>
    <xf numFmtId="0" fontId="244" fillId="0" borderId="19" xfId="2" applyFont="1" applyBorder="1" applyAlignment="1">
      <alignment horizontal="center" vertical="center" wrapText="1"/>
    </xf>
    <xf numFmtId="0" fontId="286" fillId="0" borderId="2" xfId="0" applyFont="1" applyBorder="1" applyAlignment="1">
      <alignment horizontal="center" vertical="center" wrapText="1"/>
    </xf>
    <xf numFmtId="0" fontId="285" fillId="0" borderId="19" xfId="2" applyFont="1" applyBorder="1" applyAlignment="1">
      <alignment horizontal="center" vertical="center" wrapText="1"/>
    </xf>
    <xf numFmtId="185" fontId="286" fillId="0" borderId="2" xfId="0" applyNumberFormat="1"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40" fillId="0" borderId="2" xfId="4" applyFont="1" applyBorder="1" applyAlignment="1">
      <alignment vertical="center" wrapText="1"/>
    </xf>
    <xf numFmtId="0" fontId="83" fillId="0" borderId="2"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288" fillId="0" borderId="0" xfId="0" applyFont="1" applyAlignment="1">
      <alignment horizont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4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xdr:row>
      <xdr:rowOff>9525</xdr:rowOff>
    </xdr:from>
    <xdr:to>
      <xdr:col>12</xdr:col>
      <xdr:colOff>179752</xdr:colOff>
      <xdr:row>26</xdr:row>
      <xdr:rowOff>104484</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238375"/>
          <a:ext cx="9780952" cy="2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15</xdr:row>
      <xdr:rowOff>57150</xdr:rowOff>
    </xdr:from>
    <xdr:to>
      <xdr:col>4</xdr:col>
      <xdr:colOff>9159</xdr:colOff>
      <xdr:row>26</xdr:row>
      <xdr:rowOff>44739</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4552950"/>
          <a:ext cx="2447559" cy="18735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0" customWidth="1"/>
    <col min="2" max="2" width="78.25" style="2571" customWidth="1"/>
    <col min="3" max="18" width="9" style="2565"/>
    <col min="19" max="19" width="17.875" style="2565" customWidth="1"/>
    <col min="20" max="51" width="9" style="2565"/>
    <col min="52" max="52" width="13.25" style="2565" customWidth="1"/>
    <col min="53" max="53" width="13.375" style="2565" bestFit="1" customWidth="1"/>
    <col min="54" max="54" width="11.625" style="2565" bestFit="1" customWidth="1"/>
    <col min="55" max="55" width="13.375" style="2565" bestFit="1" customWidth="1"/>
    <col min="56" max="16384" width="9" style="2565"/>
  </cols>
  <sheetData>
    <row r="1" spans="1:55" s="2576" customFormat="1" ht="16.5" thickBot="1">
      <c r="A1" s="2574" t="s">
        <v>2607</v>
      </c>
      <c r="B1" s="2575" t="s">
        <v>2704</v>
      </c>
    </row>
    <row r="2" spans="1:55" s="2579" customFormat="1" ht="15" thickTop="1">
      <c r="A2" s="2577" t="s">
        <v>2611</v>
      </c>
      <c r="B2" s="2578" t="str">
        <f>'预评函-封皮'!B37</f>
        <v>储备国有建设用地使用权预评估</v>
      </c>
      <c r="AX2" s="2580"/>
      <c r="AZ2" s="2580"/>
      <c r="BA2" s="2581"/>
      <c r="BC2" s="2581"/>
    </row>
    <row r="3" spans="1:55" s="2582" customFormat="1">
      <c r="A3" s="2561" t="s">
        <v>2612</v>
      </c>
      <c r="B3" s="2564">
        <f>'预评函-封皮'!B40</f>
        <v>0</v>
      </c>
    </row>
    <row r="4" spans="1:55" s="2563" customFormat="1">
      <c r="A4" s="2561" t="s">
        <v>2613</v>
      </c>
      <c r="B4" s="2562" t="str">
        <f>'预评函-封皮'!B46</f>
        <v>土地估价师、土地估价师</v>
      </c>
      <c r="N4" s="2563" t="str">
        <f>'预评函-1'!A28</f>
        <v>本次估价的“抵押净值”是指估价对象“抵押价格”减去估价对象在估价期日以“土地销售收入”为基数计算的预计抵押权实现进行处置时需缴纳的各项费用、税金等相关费用后的价格。</v>
      </c>
    </row>
    <row r="5" spans="1:55" s="2576" customFormat="1" ht="15" thickBot="1">
      <c r="A5" s="2583" t="s">
        <v>2614</v>
      </c>
      <c r="B5" s="2584" t="str">
        <f>'预评函-封皮'!B49</f>
        <v>康正预评字号</v>
      </c>
    </row>
    <row r="6" spans="1:55" s="2585" customFormat="1" ht="15" thickTop="1">
      <c r="A6" s="2577" t="s">
        <v>2656</v>
      </c>
      <c r="B6" s="2578" t="str">
        <f>'预评函-1'!A4</f>
        <v>受贵公司委托，我公司对储备国有建设用地使用权进行了预评估。</v>
      </c>
      <c r="AM6" s="2586"/>
    </row>
    <row r="7" spans="1:55" s="2560" customFormat="1">
      <c r="A7" s="2561" t="s">
        <v>2608</v>
      </c>
      <c r="B7" s="2562" t="str">
        <f>'预评函-1'!A6</f>
        <v>估价对象为使用的、位于储备国有建设用地使用权。根据《国有土地使用证》[]，估价对象（分摊）储备国有建设用地使用权面积为155413.55平方米。根据《建设工程规划许可证》[]、《出让合同》[]，估价对象规划建筑面积为155413.55平方米。</v>
      </c>
    </row>
    <row r="8" spans="1:55" s="2560" customFormat="1">
      <c r="A8" s="2561" t="s">
        <v>2609</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2659</v>
      </c>
      <c r="B9" s="2562" t="str">
        <f>'预评函-1'!A9</f>
        <v>本次评估为委托估价方了解标的物之市场价格提供参考依据而评估储备国有建设用地使用权市场价格。</v>
      </c>
    </row>
    <row r="10" spans="1:55" s="2560" customFormat="1">
      <c r="A10" s="2561" t="s">
        <v>2610</v>
      </c>
      <c r="B10" s="2562" t="str">
        <f>'预评函-1'!A11</f>
        <v>2022年3月3日</v>
      </c>
    </row>
    <row r="11" spans="1:55" s="2560" customFormat="1">
      <c r="A11" s="2561" t="s">
        <v>2616</v>
      </c>
      <c r="B11" s="2562" t="str">
        <f>'预评函-1'!A14</f>
        <v>根据《国有土地使用证》[]，本次评估估价对象证载（地类）用途为。</v>
      </c>
    </row>
    <row r="12" spans="1:55" s="2560" customFormat="1">
      <c r="A12" s="2561" t="s">
        <v>2617</v>
      </c>
      <c r="B12" s="2562" t="str">
        <f>'预评函-1'!A15</f>
        <v>本次评估设定用途即为证载用途。</v>
      </c>
    </row>
    <row r="13" spans="1:55" s="2560" customFormat="1">
      <c r="A13" s="2561" t="s">
        <v>2618</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2619</v>
      </c>
      <c r="B14" s="2562" t="str">
        <f>'预评函-1'!A18</f>
        <v>。本次评估设定土地开发程度为红线外市政基础设施达“七通”、宗地红线内场地平整。</v>
      </c>
    </row>
    <row r="15" spans="1:55" s="2560" customFormat="1">
      <c r="A15" s="2561" t="s">
        <v>2615</v>
      </c>
      <c r="B15" s="2562" t="str">
        <f>'预评函-1'!A20</f>
        <v>根据《国有土地使用证》[]，估价对象（分摊）出让国有建设用地使用权面积为155413.55平方米。根据《建设工程规划许可证》[]、《出让合同》[]，估价对象规划建筑面积为155413.55平方米。</v>
      </c>
    </row>
    <row r="16" spans="1:55" s="2560" customFormat="1">
      <c r="A16" s="2561" t="s">
        <v>2620</v>
      </c>
      <c r="B16" s="2562" t="str">
        <f>'预评函-1'!A22</f>
        <v>本次估价对象国有建设用地使用权类型为划拨，无土地使用年限限制。</v>
      </c>
    </row>
    <row r="17" spans="1:48" s="2560" customFormat="1">
      <c r="A17" s="2561" t="s">
        <v>2621</v>
      </c>
      <c r="B17" s="2562" t="str">
        <f>'预评函-1'!A23</f>
        <v/>
      </c>
    </row>
    <row r="18" spans="1:48" s="2560" customFormat="1">
      <c r="A18" s="2561" t="s">
        <v>2622</v>
      </c>
      <c r="B18" s="256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60" customFormat="1">
      <c r="A19" s="2561" t="s">
        <v>2623</v>
      </c>
      <c r="B19" s="256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60" customFormat="1">
      <c r="A20" s="2561" t="s">
        <v>2624</v>
      </c>
      <c r="B20" s="2562" t="str">
        <f>'预评函-1'!A27</f>
        <v>——</v>
      </c>
    </row>
    <row r="21" spans="1:48" s="2576" customFormat="1" ht="15" thickBot="1">
      <c r="A21" s="2583" t="s">
        <v>2625</v>
      </c>
      <c r="B21" s="258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2" t="s">
        <v>2626</v>
      </c>
      <c r="B22" s="25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561" t="s">
        <v>2627</v>
      </c>
      <c r="B23" s="2562" t="str">
        <f>'预评函-2'!K2</f>
        <v>估价期日：2022年3月3日</v>
      </c>
    </row>
    <row r="24" spans="1:48">
      <c r="A24" s="2561" t="s">
        <v>2628</v>
      </c>
      <c r="B24" s="2562" t="str">
        <f>'预评函-2'!R2</f>
        <v>估价期日的国有建设用地使用权性质：储备</v>
      </c>
    </row>
    <row r="25" spans="1:48">
      <c r="A25" s="2561" t="s">
        <v>2684</v>
      </c>
      <c r="B25" s="2562" t="str">
        <f>'预评函-2'!A3</f>
        <v>估价期日土地使用者</v>
      </c>
    </row>
    <row r="26" spans="1:48">
      <c r="A26" s="2561" t="s">
        <v>2660</v>
      </c>
      <c r="B26" s="2562" t="str">
        <f>'预评函-2'!A5</f>
        <v>中信开发</v>
      </c>
    </row>
    <row r="27" spans="1:48">
      <c r="A27" s="2561" t="s">
        <v>2685</v>
      </c>
      <c r="B27" s="2562" t="str">
        <f>'预评函-2'!B3</f>
        <v>宗地编号/不动产单元号</v>
      </c>
    </row>
    <row r="28" spans="1:48">
      <c r="A28" s="2561" t="s">
        <v>2661</v>
      </c>
      <c r="B28" s="2562" t="str">
        <f>'预评函-2'!B5</f>
        <v>11111111111</v>
      </c>
    </row>
    <row r="29" spans="1:48">
      <c r="A29" s="2561" t="s">
        <v>2687</v>
      </c>
      <c r="B29" s="2562">
        <f>'预评函-2'!C5</f>
        <v>22</v>
      </c>
    </row>
    <row r="30" spans="1:48">
      <c r="A30" s="2561" t="s">
        <v>2688</v>
      </c>
      <c r="B30" s="2562" t="str">
        <f>'预评函-2'!D3</f>
        <v>土地使用证编号/不动产权证书编号</v>
      </c>
    </row>
    <row r="31" spans="1:48">
      <c r="A31" s="2561" t="s">
        <v>2662</v>
      </c>
      <c r="B31" s="2562" t="str">
        <f>'预评函-2'!D5</f>
        <v>京国土字第111号</v>
      </c>
    </row>
    <row r="32" spans="1:48">
      <c r="A32" s="2561" t="s">
        <v>2663</v>
      </c>
      <c r="B32" s="2562">
        <f>'预评函-2'!E5</f>
        <v>0</v>
      </c>
      <c r="AV32" s="2566"/>
    </row>
    <row r="33" spans="1:2">
      <c r="A33" s="2561" t="s">
        <v>2664</v>
      </c>
      <c r="B33" s="2562">
        <f>'预评函-2'!F5</f>
        <v>258</v>
      </c>
    </row>
    <row r="34" spans="1:2">
      <c r="A34" s="2561" t="s">
        <v>2665</v>
      </c>
      <c r="B34" s="2562">
        <f>'预评函-2'!G5</f>
        <v>0</v>
      </c>
    </row>
    <row r="35" spans="1:2">
      <c r="A35" s="2561" t="s">
        <v>2666</v>
      </c>
      <c r="B35" s="2562">
        <f>'预评函-2'!H5</f>
        <v>1.5</v>
      </c>
    </row>
    <row r="36" spans="1:2">
      <c r="A36" s="2561" t="s">
        <v>2667</v>
      </c>
      <c r="B36" s="2562">
        <f>'预评函-2'!I5</f>
        <v>1.5</v>
      </c>
    </row>
    <row r="37" spans="1:2">
      <c r="A37" s="2561" t="s">
        <v>2668</v>
      </c>
      <c r="B37" s="2562">
        <f>'预评函-2'!J5</f>
        <v>1.5</v>
      </c>
    </row>
    <row r="38" spans="1:2">
      <c r="A38" s="2561" t="s">
        <v>2669</v>
      </c>
      <c r="B38" s="2562" t="str">
        <f>'预评函-2'!K5</f>
        <v>红线外七通、宗地红线内</v>
      </c>
    </row>
    <row r="39" spans="1:2">
      <c r="A39" s="2561" t="s">
        <v>2670</v>
      </c>
      <c r="B39" s="2562" t="str">
        <f>'预评函-2'!L5</f>
        <v>红线外七通、宗地红线内场地</v>
      </c>
    </row>
    <row r="40" spans="1:2">
      <c r="A40" s="2561" t="s">
        <v>2689</v>
      </c>
      <c r="B40" s="2562" t="str">
        <f>'预评函-2'!M3</f>
        <v>（剩余）土地使用年限/年</v>
      </c>
    </row>
    <row r="41" spans="1:2">
      <c r="A41" s="2561" t="s">
        <v>2671</v>
      </c>
      <c r="B41" s="2562" t="str">
        <f>'预评函-2'!M5</f>
        <v>——</v>
      </c>
    </row>
    <row r="42" spans="1:2">
      <c r="A42" s="2561" t="s">
        <v>2690</v>
      </c>
      <c r="B42" s="2562" t="str">
        <f>'预评函-2'!N3</f>
        <v>（分摊）储备国有建设用地使用权面积/㎡</v>
      </c>
    </row>
    <row r="43" spans="1:2">
      <c r="A43" s="2561" t="s">
        <v>2672</v>
      </c>
      <c r="B43" s="2562">
        <f>'预评函-2'!N5</f>
        <v>155413.54999999999</v>
      </c>
    </row>
    <row r="44" spans="1:2">
      <c r="A44" s="2561" t="s">
        <v>2691</v>
      </c>
      <c r="B44" s="2562" t="str">
        <f>'预评函-2'!O3</f>
        <v>规划建筑面积/㎡</v>
      </c>
    </row>
    <row r="45" spans="1:2">
      <c r="A45" s="2561" t="s">
        <v>2673</v>
      </c>
      <c r="B45" s="2562">
        <f>'预评函-2'!O5</f>
        <v>155413.54999999999</v>
      </c>
    </row>
    <row r="46" spans="1:2">
      <c r="A46" s="2561" t="s">
        <v>2674</v>
      </c>
      <c r="B46" s="2562" t="e">
        <f ca="1">'预评函-2'!P5</f>
        <v>#REF!</v>
      </c>
    </row>
    <row r="47" spans="1:2">
      <c r="A47" s="2561" t="s">
        <v>2675</v>
      </c>
      <c r="B47" s="2562" t="e">
        <f ca="1">'预评函-2'!Q5</f>
        <v>#REF!</v>
      </c>
    </row>
    <row r="48" spans="1:2">
      <c r="A48" s="2561" t="s">
        <v>2676</v>
      </c>
      <c r="B48" s="2562" t="e">
        <f ca="1">'预评函-2'!R5</f>
        <v>#REF!</v>
      </c>
    </row>
    <row r="49" spans="1:2">
      <c r="A49" s="2561" t="s">
        <v>2692</v>
      </c>
      <c r="B49" s="2562" t="str">
        <f>'预评函-2'!A6</f>
        <v>抵押价格</v>
      </c>
    </row>
    <row r="50" spans="1:2">
      <c r="A50" s="2561" t="s">
        <v>2677</v>
      </c>
      <c r="B50" s="2562" t="str">
        <f>'预评函-2'!R6</f>
        <v>——</v>
      </c>
    </row>
    <row r="51" spans="1:2">
      <c r="A51" s="2561" t="s">
        <v>2693</v>
      </c>
      <c r="B51" s="2562" t="str">
        <f>'预评函-2'!A7</f>
        <v>——</v>
      </c>
    </row>
    <row r="52" spans="1:2">
      <c r="A52" s="2561" t="s">
        <v>2678</v>
      </c>
      <c r="B52" s="2562" t="str">
        <f>'预评函-2'!R7</f>
        <v>——</v>
      </c>
    </row>
    <row r="53" spans="1:2">
      <c r="A53" s="2561" t="s">
        <v>2694</v>
      </c>
      <c r="B53" s="2562">
        <f>'预评函-2'!A8</f>
        <v>0</v>
      </c>
    </row>
    <row r="54" spans="1:2" s="2576" customFormat="1" ht="15" thickBot="1">
      <c r="A54" s="2583" t="s">
        <v>2679</v>
      </c>
      <c r="B54" s="2584" t="str">
        <f>'预评函-2'!R8</f>
        <v>——</v>
      </c>
    </row>
    <row r="55" spans="1:2" ht="15" thickTop="1">
      <c r="A55" s="2572" t="s">
        <v>2629</v>
      </c>
      <c r="B55" s="2573" t="str">
        <f>'预评函-3'!A2</f>
        <v>1.权利限制：根据估价对象《不动产权证书》原件、《国有土地使用权》复印件，截至估价期日，估价对象抵押权未见登记。未设定租赁等其他他项权利。</v>
      </c>
    </row>
    <row r="56" spans="1:2">
      <c r="A56" s="2561" t="s">
        <v>2630</v>
      </c>
      <c r="B56" s="2562" t="str">
        <f>'预评函-3'!A3</f>
        <v>2.基础设施条件：估价对象实际开发程度为红线外七通、宗地红线内；本次评估设定开发程度为红线外七通、宗地红线内场地。</v>
      </c>
    </row>
    <row r="57" spans="1:2">
      <c r="A57" s="2561" t="s">
        <v>2631</v>
      </c>
      <c r="B57" s="2562" t="str">
        <f>'预评函-3'!A4</f>
        <v>3.估价规划限制条件：详见《建设工程规划许可证》[]、《出让合同》[]。</v>
      </c>
    </row>
    <row r="58" spans="1:2" s="2576" customFormat="1" ht="15" thickBot="1">
      <c r="A58" s="2583" t="s">
        <v>2680</v>
      </c>
      <c r="B58" s="2584" t="str">
        <f>'预评函-3'!A5</f>
        <v>4.影响价格的其他限定条件：无。</v>
      </c>
    </row>
    <row r="59" spans="1:2" ht="15" thickTop="1">
      <c r="A59" s="2572" t="s">
        <v>2632</v>
      </c>
      <c r="B59" s="2573" t="str">
        <f>'预评函-3'!A8</f>
        <v>2.本次评估设定估价对象宗地权属无争议，未被查封或者以其他形式限制其房地产权利，未设定抵押权等他项权利，不涉及第三方权利义务。</v>
      </c>
    </row>
    <row r="60" spans="1:2">
      <c r="A60" s="2561" t="s">
        <v>2633</v>
      </c>
      <c r="B60" s="2562" t="str">
        <f>'预评函-3'!A9</f>
        <v>——</v>
      </c>
    </row>
    <row r="61" spans="1:2">
      <c r="A61" s="2561" t="s">
        <v>2635</v>
      </c>
      <c r="B61" s="2562" t="str">
        <f>'预评函-3'!A10</f>
        <v>——</v>
      </c>
    </row>
    <row r="62" spans="1:2">
      <c r="A62" s="2561" t="s">
        <v>2634</v>
      </c>
      <c r="B62" s="2562" t="str">
        <f>'预评函-3'!A11</f>
        <v>——</v>
      </c>
    </row>
    <row r="63" spans="1:2">
      <c r="A63" s="2561" t="s">
        <v>2636</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2637</v>
      </c>
      <c r="B64" s="2567" t="str">
        <f>'预评函-3'!A13</f>
        <v>（3）。</v>
      </c>
    </row>
    <row r="65" spans="1:2">
      <c r="A65" s="2561" t="s">
        <v>2638</v>
      </c>
      <c r="B65" s="2568" t="str">
        <f>'预评函-3'!A14</f>
        <v>——</v>
      </c>
    </row>
    <row r="66" spans="1:2">
      <c r="A66" s="2561" t="s">
        <v>2639</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2640</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2643</v>
      </c>
      <c r="B68" s="2587">
        <f>'预评函-3'!D30</f>
        <v>42558</v>
      </c>
    </row>
    <row r="69" spans="1:2" ht="15" thickTop="1">
      <c r="A69" s="2572" t="s">
        <v>2641</v>
      </c>
      <c r="B69" s="2573" t="str">
        <f>'预评函-3'!A20</f>
        <v>土地估价师</v>
      </c>
    </row>
    <row r="70" spans="1:2">
      <c r="A70" s="2561" t="s">
        <v>2641</v>
      </c>
      <c r="B70" s="2568">
        <f>'预评函-3'!B20</f>
        <v>0</v>
      </c>
    </row>
    <row r="71" spans="1:2">
      <c r="A71" s="2561" t="s">
        <v>2642</v>
      </c>
      <c r="B71" s="2562" t="str">
        <f>'预评函-3'!A21</f>
        <v>土地估价师</v>
      </c>
    </row>
    <row r="72" spans="1:2" s="2576" customFormat="1" ht="15" thickBot="1">
      <c r="A72" s="2583" t="s">
        <v>2642</v>
      </c>
      <c r="B72" s="2589">
        <f>'预评函-3'!B21</f>
        <v>0</v>
      </c>
    </row>
    <row r="73" spans="1:2" ht="15" thickTop="1">
      <c r="A73" s="2572" t="s">
        <v>2701</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2702</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2703</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2737</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B16" sqref="B16"/>
    </sheetView>
  </sheetViews>
  <sheetFormatPr defaultColWidth="10" defaultRowHeight="14.25"/>
  <cols>
    <col min="1" max="1" width="15.375" style="1585" customWidth="1"/>
    <col min="2" max="2" width="11.375" style="1585" customWidth="1"/>
    <col min="3" max="3" width="12.625" style="1585" customWidth="1"/>
    <col min="4" max="4" width="11.875" style="1585" customWidth="1"/>
    <col min="5" max="5" width="12.375" style="1585" customWidth="1"/>
    <col min="6" max="6" width="11.375" style="1585" customWidth="1"/>
    <col min="7" max="7" width="12.375" style="1585" customWidth="1"/>
    <col min="8" max="8" width="10" style="1585" customWidth="1"/>
    <col min="9" max="9" width="12.375" style="1586" customWidth="1"/>
    <col min="10" max="10" width="10" style="1585"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5"/>
  </cols>
  <sheetData>
    <row r="1" spans="1:21" ht="15" thickBot="1">
      <c r="A1" s="1558" t="s">
        <v>1902</v>
      </c>
      <c r="B1" s="3581" t="str">
        <f>IF(B10="北京市","北京市",C10)&amp;F10&amp;B16&amp;"国有建设用地使用权"&amp;B9&amp;"预评估"</f>
        <v>储备国有建设用地使用权预评估</v>
      </c>
      <c r="C1" s="3582"/>
      <c r="D1" s="3582"/>
      <c r="E1" s="3582"/>
      <c r="F1" s="3582"/>
      <c r="G1" s="3582"/>
      <c r="H1" s="3582"/>
      <c r="I1" s="3583"/>
      <c r="J1" s="3036"/>
      <c r="K1" s="2279" t="str">
        <f>IF(B10="北京市","北京市",C10)&amp;F10&amp;B16&amp;"国有建设用地使用权"&amp;B9</f>
        <v>储备国有建设用地使用权</v>
      </c>
      <c r="L1" s="3015"/>
      <c r="M1" s="3015"/>
      <c r="N1" s="3016"/>
      <c r="O1" s="3017"/>
      <c r="P1" s="3016"/>
      <c r="Q1" s="3016"/>
      <c r="R1" s="3016"/>
      <c r="S1" s="3016"/>
      <c r="T1" s="3016"/>
      <c r="U1" s="3016"/>
    </row>
    <row r="2" spans="1:21">
      <c r="A2" s="1559" t="s">
        <v>1903</v>
      </c>
      <c r="B2" s="1726"/>
      <c r="D2" s="3036"/>
      <c r="E2" s="3036"/>
      <c r="F2" s="3036"/>
      <c r="G2" s="3036"/>
      <c r="H2" s="3037"/>
      <c r="I2" s="3038"/>
      <c r="J2" s="3036"/>
      <c r="K2" s="2279" t="str">
        <f>IF(B10="北京市","北京市",C10)&amp;F10&amp;B16&amp;"国有建设用地使用权"</f>
        <v>储备国有建设用地使用权</v>
      </c>
      <c r="L2" s="3015"/>
      <c r="M2" s="3015"/>
      <c r="N2" s="3016"/>
      <c r="O2" s="3017"/>
      <c r="P2" s="3016"/>
      <c r="Q2" s="3016"/>
      <c r="R2" s="3016"/>
      <c r="S2" s="3016"/>
      <c r="T2" s="3016"/>
      <c r="U2" s="3016"/>
    </row>
    <row r="3" spans="1:21">
      <c r="A3" s="1560" t="s">
        <v>1904</v>
      </c>
      <c r="B3" s="1561"/>
      <c r="C3" s="2959" t="s">
        <v>1960</v>
      </c>
      <c r="D3" s="1561">
        <v>44623</v>
      </c>
      <c r="E3" s="3036"/>
      <c r="F3" s="3036"/>
      <c r="G3" s="3036"/>
      <c r="H3" s="3037"/>
      <c r="I3" s="3038"/>
      <c r="J3" s="3036"/>
      <c r="K3" s="3019"/>
      <c r="L3" s="3015"/>
      <c r="M3" s="3015"/>
      <c r="N3" s="3016"/>
      <c r="O3" s="3017"/>
      <c r="P3" s="3016"/>
      <c r="Q3" s="3016"/>
      <c r="R3" s="3016"/>
      <c r="S3" s="3016"/>
      <c r="T3" s="3016"/>
      <c r="U3" s="3016"/>
    </row>
    <row r="4" spans="1:21" ht="15" thickBot="1">
      <c r="A4" s="1563" t="s">
        <v>1905</v>
      </c>
      <c r="B4" s="1727" t="s">
        <v>2835</v>
      </c>
      <c r="C4" s="1730">
        <f>SUMIF(土地估价师,B4,估价师及机构信息!E3:E16)</f>
        <v>0</v>
      </c>
      <c r="D4" s="1727" t="s">
        <v>2835</v>
      </c>
      <c r="E4" s="1730">
        <f>SUMIF(土地估价师,D4,估价师及机构信息!E3:E16)</f>
        <v>0</v>
      </c>
      <c r="F4" s="1727" t="s">
        <v>926</v>
      </c>
      <c r="G4" s="1730">
        <f>SUMIF(土地估价师,F4,估价师及机构信息!E3:E16)</f>
        <v>0</v>
      </c>
      <c r="H4" s="1727" t="s">
        <v>926</v>
      </c>
      <c r="I4" s="1730">
        <f>SUMIF(土地估价师,H4,估价师及机构信息!E3:E16)</f>
        <v>0</v>
      </c>
      <c r="J4" s="3036"/>
      <c r="K4" s="2279"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4" t="s">
        <v>1906</v>
      </c>
      <c r="B5" s="1674"/>
      <c r="C5" s="1565"/>
      <c r="D5" s="1566"/>
      <c r="E5" s="3036"/>
      <c r="F5" s="3036"/>
      <c r="G5" s="3036"/>
      <c r="H5" s="3037"/>
      <c r="I5" s="3038"/>
      <c r="J5" s="3036"/>
      <c r="K5" s="3019"/>
      <c r="L5" s="3015"/>
      <c r="M5" s="3015"/>
      <c r="N5" s="3016"/>
      <c r="O5" s="3017"/>
      <c r="P5" s="3016"/>
      <c r="Q5" s="3016"/>
      <c r="R5" s="3016"/>
      <c r="S5" s="3016"/>
      <c r="T5" s="3016"/>
      <c r="U5" s="3016"/>
    </row>
    <row r="6" spans="1:21" ht="26.25">
      <c r="A6" s="1562" t="s">
        <v>2657</v>
      </c>
      <c r="B6" s="1674"/>
      <c r="C6" s="1649"/>
      <c r="D6" s="1567"/>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8" t="s">
        <v>2658</v>
      </c>
      <c r="B7" s="1674"/>
      <c r="C7" s="1649"/>
      <c r="D7" s="1567"/>
      <c r="E7" s="3036"/>
      <c r="F7" s="3036"/>
      <c r="G7" s="3036"/>
      <c r="H7" s="3037"/>
      <c r="I7" s="3038"/>
      <c r="J7" s="3036"/>
      <c r="K7" s="3019"/>
      <c r="L7" s="3015"/>
      <c r="M7" s="3015"/>
      <c r="N7" s="3016"/>
      <c r="O7" s="3017"/>
      <c r="P7" s="3016"/>
      <c r="Q7" s="3016"/>
      <c r="R7" s="3016"/>
      <c r="S7" s="3016"/>
      <c r="T7" s="3016"/>
      <c r="U7" s="3016"/>
    </row>
    <row r="8" spans="1:21">
      <c r="A8" s="2960" t="s">
        <v>1907</v>
      </c>
      <c r="B8" s="1569"/>
      <c r="C8" s="1570"/>
      <c r="D8" s="3587" t="s">
        <v>1909</v>
      </c>
      <c r="E8" s="1728"/>
      <c r="F8" s="1571"/>
      <c r="G8" s="3037"/>
      <c r="H8" s="3037"/>
      <c r="I8" s="3040"/>
      <c r="J8" s="3036"/>
      <c r="K8" s="3019"/>
      <c r="L8" s="3015"/>
      <c r="M8" s="3015"/>
      <c r="N8" s="3016"/>
      <c r="O8" s="3017"/>
      <c r="P8" s="3016"/>
      <c r="Q8" s="3016"/>
      <c r="R8" s="3016"/>
      <c r="S8" s="3016"/>
      <c r="T8" s="3016"/>
      <c r="U8" s="3016"/>
    </row>
    <row r="9" spans="1:21" ht="15" thickBot="1">
      <c r="A9" s="2961" t="s">
        <v>1908</v>
      </c>
      <c r="B9" s="1572"/>
      <c r="C9" s="1573"/>
      <c r="D9" s="3588"/>
      <c r="E9" s="1572"/>
      <c r="F9" s="1635"/>
      <c r="G9" s="3041"/>
      <c r="H9" s="3041"/>
      <c r="I9" s="3042"/>
      <c r="J9" s="3036"/>
      <c r="K9" s="3019"/>
      <c r="L9" s="3015"/>
      <c r="M9" s="3015"/>
      <c r="N9" s="3016"/>
      <c r="O9" s="3017"/>
      <c r="P9" s="3016"/>
      <c r="Q9" s="3016"/>
      <c r="R9" s="3016"/>
      <c r="S9" s="3016"/>
      <c r="T9" s="3016"/>
      <c r="U9" s="3016"/>
    </row>
    <row r="10" spans="1:21" ht="15" thickTop="1">
      <c r="A10" s="2962" t="s">
        <v>1964</v>
      </c>
      <c r="B10" s="1611"/>
      <c r="C10" s="1574"/>
      <c r="D10" s="1566"/>
      <c r="E10" s="1575" t="s">
        <v>1911</v>
      </c>
      <c r="F10" s="1576"/>
      <c r="G10" s="1633"/>
      <c r="H10" s="1634"/>
      <c r="I10" s="1566"/>
      <c r="J10" s="3036"/>
      <c r="K10" s="3019"/>
      <c r="L10" s="3015"/>
      <c r="M10" s="3015"/>
      <c r="N10" s="3016"/>
      <c r="O10" s="3017"/>
      <c r="P10" s="3016"/>
      <c r="Q10" s="3016"/>
      <c r="R10" s="3016"/>
      <c r="S10" s="3016"/>
      <c r="T10" s="3016"/>
      <c r="U10" s="3016"/>
    </row>
    <row r="11" spans="1:21">
      <c r="A11" s="2963" t="s">
        <v>1965</v>
      </c>
      <c r="B11" s="1591"/>
      <c r="C11" s="1577"/>
      <c r="D11" s="1650"/>
      <c r="E11" s="3035"/>
      <c r="F11" s="3035"/>
      <c r="G11" s="3035"/>
      <c r="H11" s="3035"/>
      <c r="I11" s="3035"/>
      <c r="J11" s="3036"/>
      <c r="K11" s="3019"/>
      <c r="L11" s="3015"/>
      <c r="M11" s="3015"/>
      <c r="N11" s="3016"/>
      <c r="O11" s="3017"/>
      <c r="P11" s="3016"/>
      <c r="Q11" s="3016"/>
      <c r="R11" s="3016"/>
      <c r="S11" s="3016"/>
      <c r="T11" s="3016"/>
      <c r="U11" s="3016"/>
    </row>
    <row r="12" spans="1:21">
      <c r="A12" s="1670" t="s">
        <v>2023</v>
      </c>
      <c r="B12" s="3584"/>
      <c r="C12" s="3585"/>
      <c r="D12" s="3586"/>
      <c r="E12" s="1592" t="s">
        <v>2026</v>
      </c>
      <c r="F12" s="3602" t="s">
        <v>2836</v>
      </c>
      <c r="G12" s="3603"/>
      <c r="H12" s="3603"/>
      <c r="I12" s="3604"/>
      <c r="J12" s="3036"/>
      <c r="K12" s="3019"/>
      <c r="L12" s="3015"/>
      <c r="M12" s="3015"/>
      <c r="N12" s="3016"/>
      <c r="O12" s="3017"/>
      <c r="P12" s="3016"/>
      <c r="Q12" s="3016"/>
      <c r="R12" s="3016"/>
      <c r="S12" s="3016"/>
      <c r="T12" s="3016"/>
      <c r="U12" s="3016"/>
    </row>
    <row r="13" spans="1:21">
      <c r="A13" s="1583" t="s">
        <v>2024</v>
      </c>
      <c r="B13" s="3584"/>
      <c r="C13" s="3585"/>
      <c r="D13" s="3586"/>
      <c r="E13" s="1592" t="s">
        <v>2026</v>
      </c>
      <c r="F13" s="3602" t="s">
        <v>2837</v>
      </c>
      <c r="G13" s="3603"/>
      <c r="H13" s="3603"/>
      <c r="I13" s="3604"/>
      <c r="J13" s="3036"/>
      <c r="K13" s="3019"/>
      <c r="L13" s="3015"/>
      <c r="M13" s="3015"/>
      <c r="N13" s="3016"/>
      <c r="O13" s="3017"/>
      <c r="P13" s="3016"/>
      <c r="Q13" s="3016"/>
      <c r="R13" s="3016"/>
      <c r="S13" s="3016"/>
      <c r="T13" s="3016"/>
      <c r="U13" s="3016"/>
    </row>
    <row r="14" spans="1:21">
      <c r="A14" s="1560" t="s">
        <v>2027</v>
      </c>
      <c r="B14" s="1592"/>
      <c r="C14" s="1729"/>
      <c r="D14" s="1625" t="str">
        <f>IF(C14="不一致","是否符合证载地类范围","")</f>
        <v/>
      </c>
      <c r="E14" s="1592"/>
      <c r="F14" s="1675"/>
      <c r="G14" s="1620"/>
      <c r="H14" s="1620"/>
      <c r="I14" s="1722"/>
      <c r="J14" s="3036"/>
      <c r="K14" s="3019"/>
      <c r="L14" s="3015"/>
      <c r="M14" s="3015"/>
      <c r="N14" s="3016"/>
      <c r="O14" s="3017"/>
      <c r="P14" s="3016"/>
      <c r="Q14" s="3016"/>
      <c r="R14" s="3016"/>
      <c r="S14" s="3016"/>
      <c r="T14" s="3016"/>
      <c r="U14" s="3016"/>
    </row>
    <row r="15" spans="1:21" hidden="1">
      <c r="A15" s="2453"/>
      <c r="B15" s="1562"/>
      <c r="C15" s="1562"/>
      <c r="D15" s="1654" t="s">
        <v>1914</v>
      </c>
      <c r="E15" s="1654" t="s">
        <v>1915</v>
      </c>
      <c r="F15" s="1654" t="s">
        <v>1916</v>
      </c>
      <c r="G15" s="1582" t="s">
        <v>1917</v>
      </c>
      <c r="H15" s="1582" t="s">
        <v>1918</v>
      </c>
      <c r="I15" s="1582" t="s">
        <v>1919</v>
      </c>
      <c r="J15" s="3036"/>
      <c r="K15" s="3019"/>
      <c r="L15" s="3015"/>
      <c r="M15" s="3015"/>
      <c r="N15" s="3016"/>
      <c r="O15" s="3017"/>
      <c r="P15" s="3016"/>
      <c r="Q15" s="3016"/>
      <c r="R15" s="3016"/>
      <c r="S15" s="3016"/>
      <c r="T15" s="3016"/>
      <c r="U15" s="3016"/>
    </row>
    <row r="16" spans="1:21" ht="28.5">
      <c r="A16" s="2964" t="s">
        <v>1912</v>
      </c>
      <c r="B16" s="1578" t="s">
        <v>3337</v>
      </c>
      <c r="C16" s="1592" t="s">
        <v>1913</v>
      </c>
      <c r="D16" s="2454" t="s">
        <v>1914</v>
      </c>
      <c r="E16" s="1614" t="s">
        <v>3122</v>
      </c>
      <c r="F16" s="1614" t="s">
        <v>1650</v>
      </c>
      <c r="G16" s="1614"/>
      <c r="H16" s="1614"/>
      <c r="I16" s="1582" t="s">
        <v>1919</v>
      </c>
      <c r="J16" s="3036"/>
      <c r="K16" s="2280" t="str">
        <f>IF(D17="","",D16&amp;TEXT(D17,"yyyy年m月d日;;"))</f>
        <v/>
      </c>
      <c r="L16" s="1592" t="str">
        <f>IF(OR(K16="",M16=""),"","、")</f>
        <v/>
      </c>
      <c r="M16" s="2280" t="str">
        <f>IF(E17="","",E16&amp;TEXT(E17,"yyyy年m月d日;;"))</f>
        <v>商业2080年1月1日</v>
      </c>
      <c r="N16" s="1592" t="str">
        <f>IF(OR(M16="",O16=""),"","、")</f>
        <v>、</v>
      </c>
      <c r="O16" s="2280" t="str">
        <f>IF(F17="","",F16&amp;TEXT(F17,"yyyy年m月d日;;"))</f>
        <v>办公2080年1月1日</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工业2080年1月1日</v>
      </c>
    </row>
    <row r="17" spans="1:21">
      <c r="A17" s="1651"/>
      <c r="B17" s="1579"/>
      <c r="C17" s="2965" t="s">
        <v>1920</v>
      </c>
      <c r="D17" s="3239"/>
      <c r="E17" s="3239">
        <v>65746</v>
      </c>
      <c r="F17" s="3239">
        <v>65746</v>
      </c>
      <c r="G17" s="3239"/>
      <c r="H17" s="3239"/>
      <c r="I17" s="3239">
        <v>65746</v>
      </c>
      <c r="J17" s="3036"/>
      <c r="K17" s="3014" t="str">
        <f>CONCATENATE(K16,L16,M16,N16,O16,P16,Q16,R16,S16,T16,,U16)</f>
        <v>商业2080年1月1日、办公2080年1月1日工业2080年1月1日</v>
      </c>
      <c r="L17" s="3015"/>
      <c r="M17" s="3015"/>
      <c r="N17" s="3016"/>
      <c r="O17" s="3017"/>
      <c r="P17" s="3016"/>
      <c r="Q17" s="3016"/>
      <c r="R17" s="3016"/>
      <c r="S17" s="3016"/>
      <c r="T17" s="3016"/>
      <c r="U17" s="3016"/>
    </row>
    <row r="18" spans="1:21">
      <c r="A18" s="1651"/>
      <c r="B18" s="1579"/>
      <c r="C18" s="2965" t="s">
        <v>1921</v>
      </c>
      <c r="D18" s="1580"/>
      <c r="E18" s="1580">
        <v>40</v>
      </c>
      <c r="F18" s="1580">
        <v>50</v>
      </c>
      <c r="G18" s="1580"/>
      <c r="H18" s="1580"/>
      <c r="I18" s="1580">
        <v>50</v>
      </c>
      <c r="J18" s="3036"/>
      <c r="K18" s="3019"/>
      <c r="L18" s="3015"/>
      <c r="M18" s="3015"/>
      <c r="N18" s="3016"/>
      <c r="O18" s="3017"/>
      <c r="P18" s="3016"/>
      <c r="Q18" s="3016"/>
      <c r="R18" s="3016"/>
      <c r="S18" s="3016"/>
      <c r="T18" s="3016"/>
      <c r="U18" s="3016"/>
    </row>
    <row r="19" spans="1:21">
      <c r="A19" s="1651"/>
      <c r="B19" s="1579"/>
      <c r="C19" s="1559" t="s">
        <v>1922</v>
      </c>
      <c r="D19" s="1646">
        <f>IF(B16="出让",IF(D17="","",ROUNDDOWN(MIN((D17-$D$3)/365,D18),2)),D18)</f>
        <v>0</v>
      </c>
      <c r="E19" s="1581">
        <f>IF(B16="出让",IF(E17="","",ROUNDDOWN(MIN((E17-$D$3)/365,E18),2)),E18)</f>
        <v>40</v>
      </c>
      <c r="F19" s="1581">
        <f>IF(B16="出让",IF(F17="","",ROUNDDOWN(MIN((F17-$D$3)/365,F18),2)),F18)</f>
        <v>50</v>
      </c>
      <c r="G19" s="1581">
        <f>IF(B16="出让",IF(G17="","",ROUNDDOWN(MIN((G17-$D$3)/365,G18),2)),G18)</f>
        <v>0</v>
      </c>
      <c r="H19" s="1581">
        <f>IF(B16="出让",IF(H17="","",ROUNDDOWN(MIN((H17-$D$3)/365,H18),2)),H18)</f>
        <v>0</v>
      </c>
      <c r="I19" s="1581">
        <f>IF(B16="出让",IF(I17="","",ROUNDDOWN(MIN((I17-$D$3)/365,I18),2)),I18)</f>
        <v>50</v>
      </c>
      <c r="J19" s="3036"/>
      <c r="K19" s="3019"/>
      <c r="L19" s="3015"/>
      <c r="M19" s="3015"/>
      <c r="N19" s="3016"/>
      <c r="O19" s="3017"/>
      <c r="P19" s="3016"/>
      <c r="Q19" s="3016"/>
      <c r="R19" s="3016"/>
      <c r="S19" s="3016"/>
      <c r="T19" s="3016"/>
      <c r="U19" s="3016"/>
    </row>
    <row r="20" spans="1:21">
      <c r="A20" s="1671"/>
      <c r="B20" s="1672"/>
      <c r="C20" s="1673" t="s">
        <v>2025</v>
      </c>
      <c r="D20" s="3599"/>
      <c r="E20" s="3600"/>
      <c r="F20" s="3600"/>
      <c r="G20" s="3600"/>
      <c r="H20" s="3600"/>
      <c r="I20" s="3601"/>
      <c r="J20" s="3036"/>
      <c r="K20" s="3019"/>
      <c r="L20" s="3015"/>
      <c r="M20" s="3015"/>
      <c r="N20" s="3016"/>
      <c r="O20" s="3017"/>
      <c r="P20" s="3016"/>
      <c r="Q20" s="3016"/>
      <c r="R20" s="3016"/>
      <c r="S20" s="3016"/>
      <c r="T20" s="3016"/>
      <c r="U20" s="3016"/>
    </row>
    <row r="21" spans="1:21">
      <c r="A21" s="1651" t="s">
        <v>1923</v>
      </c>
      <c r="B21" s="1652" t="s">
        <v>1924</v>
      </c>
      <c r="C21" s="1647">
        <f>'数据-汇总表'!E3</f>
        <v>155413.54999999999</v>
      </c>
      <c r="D21" s="1648" t="s">
        <v>1925</v>
      </c>
      <c r="E21" s="3589" t="s">
        <v>1963</v>
      </c>
      <c r="F21" s="3590"/>
      <c r="G21" s="3590"/>
      <c r="H21" s="3590"/>
      <c r="I21" s="3591"/>
      <c r="J21" s="3036"/>
      <c r="K21" s="3019"/>
      <c r="L21" s="3015"/>
      <c r="M21" s="3015"/>
      <c r="N21" s="3016"/>
      <c r="O21" s="3017"/>
      <c r="P21" s="3016"/>
      <c r="Q21" s="3016"/>
      <c r="R21" s="3016"/>
      <c r="S21" s="3016"/>
      <c r="T21" s="3016"/>
      <c r="U21" s="3016"/>
    </row>
    <row r="22" spans="1:21">
      <c r="A22" s="2765" t="s">
        <v>926</v>
      </c>
      <c r="B22" s="1560" t="s">
        <v>1926</v>
      </c>
      <c r="C22" s="1582">
        <f>'数据-汇总表'!D3</f>
        <v>155413.54999999999</v>
      </c>
      <c r="D22" s="1583" t="s">
        <v>1925</v>
      </c>
      <c r="E22" s="3589" t="s">
        <v>2838</v>
      </c>
      <c r="F22" s="3590"/>
      <c r="G22" s="3590"/>
      <c r="H22" s="3590"/>
      <c r="I22" s="3591"/>
      <c r="J22" s="3036"/>
      <c r="K22" s="3019"/>
      <c r="L22" s="3015"/>
      <c r="M22" s="3015"/>
      <c r="N22" s="3016"/>
      <c r="O22" s="3017"/>
      <c r="P22" s="3016"/>
      <c r="Q22" s="3016"/>
      <c r="R22" s="3016"/>
      <c r="S22" s="3016"/>
      <c r="T22" s="3016"/>
      <c r="U22" s="3016"/>
    </row>
    <row r="23" spans="1:21" ht="43.5" thickBot="1">
      <c r="A23" s="1653" t="s">
        <v>1927</v>
      </c>
      <c r="B23" s="1593" t="s">
        <v>1928</v>
      </c>
      <c r="C23" s="1594"/>
      <c r="D23" s="1595" t="s">
        <v>1929</v>
      </c>
      <c r="E23" s="1596"/>
      <c r="F23" s="1597" t="str">
        <f>IF(AND(C23="是",E23="否"),"是否提供他项权证或相关说明","")</f>
        <v/>
      </c>
      <c r="G23" s="1598"/>
      <c r="H23" s="3036"/>
      <c r="I23" s="3040"/>
      <c r="J23" s="3036"/>
      <c r="K23" s="3019"/>
      <c r="L23" s="3015"/>
      <c r="M23" s="3015"/>
      <c r="N23" s="3016"/>
      <c r="O23" s="3017"/>
      <c r="P23" s="3016"/>
      <c r="Q23" s="3016"/>
      <c r="R23" s="3016"/>
      <c r="S23" s="3016"/>
      <c r="T23" s="3016"/>
      <c r="U23" s="3016"/>
    </row>
    <row r="24" spans="1:21">
      <c r="A24" s="1638" t="s">
        <v>1930</v>
      </c>
      <c r="B24" s="3592" t="s">
        <v>1931</v>
      </c>
      <c r="C24" s="3593"/>
      <c r="D24" s="3594" t="s">
        <v>1932</v>
      </c>
      <c r="E24" s="3595"/>
      <c r="F24" s="1600" t="s">
        <v>1933</v>
      </c>
      <c r="G24" s="3036"/>
      <c r="H24" s="3036"/>
      <c r="I24" s="3040"/>
      <c r="J24" s="3036"/>
      <c r="K24" s="3580" t="s">
        <v>1934</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6"/>
      <c r="O24" s="3017"/>
      <c r="P24" s="3016"/>
      <c r="Q24" s="3016"/>
      <c r="R24" s="3016"/>
      <c r="S24" s="3016"/>
      <c r="T24" s="3016"/>
      <c r="U24" s="3016"/>
    </row>
    <row r="25" spans="1:21" ht="28.5">
      <c r="A25" s="1639"/>
      <c r="B25" s="1636" t="s">
        <v>2288</v>
      </c>
      <c r="C25" s="1601" t="s">
        <v>1935</v>
      </c>
      <c r="D25" s="1602"/>
      <c r="E25" s="1603" t="s">
        <v>926</v>
      </c>
      <c r="F25" s="1604"/>
      <c r="G25" s="3036"/>
      <c r="H25" s="3036"/>
      <c r="I25" s="3040"/>
      <c r="J25" s="3036"/>
      <c r="K25" s="3580"/>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6"/>
      <c r="O25" s="3017"/>
      <c r="P25" s="3016"/>
      <c r="Q25" s="3016"/>
      <c r="R25" s="3016"/>
      <c r="S25" s="3016"/>
      <c r="T25" s="3016"/>
      <c r="U25" s="3016"/>
    </row>
    <row r="26" spans="1:21" ht="29.25" thickBot="1">
      <c r="A26" s="1640"/>
      <c r="B26" s="1637" t="s">
        <v>1936</v>
      </c>
      <c r="C26" s="1601" t="s">
        <v>2289</v>
      </c>
      <c r="D26" s="3037"/>
      <c r="E26" s="3037"/>
      <c r="F26" s="3043"/>
      <c r="G26" s="3036"/>
      <c r="H26" s="3036"/>
      <c r="I26" s="3040"/>
      <c r="J26" s="3036"/>
      <c r="K26" s="3580"/>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6"/>
      <c r="O26" s="3017"/>
      <c r="P26" s="3016"/>
      <c r="Q26" s="3016"/>
      <c r="R26" s="3016"/>
      <c r="S26" s="3016"/>
      <c r="T26" s="3016"/>
      <c r="U26" s="3016"/>
    </row>
    <row r="27" spans="1:21">
      <c r="A27" s="1643" t="s">
        <v>1937</v>
      </c>
      <c r="B27" s="1641" t="s">
        <v>1938</v>
      </c>
      <c r="C27" s="1605"/>
      <c r="D27" s="2459" t="s">
        <v>1938</v>
      </c>
      <c r="E27" s="1606"/>
      <c r="F27" s="3043"/>
      <c r="G27" s="3036"/>
      <c r="H27" s="3036"/>
      <c r="I27" s="3040"/>
      <c r="J27" s="3036"/>
      <c r="K27" s="3019"/>
      <c r="L27" s="3015"/>
      <c r="M27" s="3015"/>
      <c r="N27" s="3016"/>
      <c r="O27" s="3017"/>
      <c r="P27" s="3016"/>
      <c r="Q27" s="3016"/>
      <c r="R27" s="3016"/>
      <c r="S27" s="3016"/>
      <c r="T27" s="3016"/>
      <c r="U27" s="3016"/>
    </row>
    <row r="28" spans="1:21">
      <c r="A28" s="1644"/>
      <c r="B28" s="1641" t="s">
        <v>1939</v>
      </c>
      <c r="C28" s="1607"/>
      <c r="D28" s="2460" t="s">
        <v>1939</v>
      </c>
      <c r="E28" s="1608"/>
      <c r="F28" s="3043"/>
      <c r="G28" s="3036"/>
      <c r="H28" s="3036"/>
      <c r="I28" s="3040"/>
      <c r="J28" s="3036"/>
      <c r="K28" s="3019"/>
      <c r="L28" s="3015"/>
      <c r="M28" s="3015"/>
      <c r="N28" s="3016"/>
      <c r="O28" s="3017"/>
      <c r="P28" s="3016"/>
      <c r="Q28" s="3016"/>
      <c r="R28" s="3016"/>
      <c r="S28" s="3016"/>
      <c r="T28" s="3016"/>
      <c r="U28" s="3016"/>
    </row>
    <row r="29" spans="1:21">
      <c r="A29" s="1644"/>
      <c r="B29" s="1641" t="s">
        <v>1940</v>
      </c>
      <c r="C29" s="1607"/>
      <c r="D29" s="2460" t="s">
        <v>1940</v>
      </c>
      <c r="E29" s="1608"/>
      <c r="F29" s="3043"/>
      <c r="G29" s="3036"/>
      <c r="H29" s="3036"/>
      <c r="I29" s="3040"/>
      <c r="J29" s="3036"/>
      <c r="K29" s="3019"/>
      <c r="L29" s="3015"/>
      <c r="M29" s="3015"/>
      <c r="N29" s="3016"/>
      <c r="O29" s="3017"/>
      <c r="P29" s="3016"/>
      <c r="Q29" s="3016"/>
      <c r="R29" s="3016"/>
      <c r="S29" s="3016"/>
      <c r="T29" s="3016"/>
      <c r="U29" s="3016"/>
    </row>
    <row r="30" spans="1:21" ht="15" thickBot="1">
      <c r="A30" s="1645"/>
      <c r="B30" s="1642" t="s">
        <v>1941</v>
      </c>
      <c r="C30" s="1609"/>
      <c r="D30" s="2461" t="s">
        <v>1941</v>
      </c>
      <c r="E30" s="1610"/>
      <c r="F30" s="3044"/>
      <c r="G30" s="3041"/>
      <c r="H30" s="3041"/>
      <c r="I30" s="3042"/>
      <c r="J30" s="3036"/>
      <c r="K30" s="3019"/>
      <c r="L30" s="3015"/>
      <c r="M30" s="3015"/>
      <c r="N30" s="3016"/>
      <c r="O30" s="3017"/>
      <c r="P30" s="3016"/>
      <c r="Q30" s="3016"/>
      <c r="R30" s="3016"/>
      <c r="S30" s="3016"/>
      <c r="T30" s="3016"/>
      <c r="U30" s="3016"/>
    </row>
    <row r="31" spans="1:21" ht="15" thickTop="1">
      <c r="A31" s="3607" t="s">
        <v>1966</v>
      </c>
      <c r="B31" s="1652" t="s">
        <v>1967</v>
      </c>
      <c r="C31" s="3605"/>
      <c r="D31" s="3606"/>
      <c r="E31" s="3036"/>
      <c r="F31" s="3036"/>
      <c r="G31" s="3036"/>
      <c r="H31" s="3036"/>
      <c r="I31" s="3040"/>
      <c r="J31" s="3036"/>
      <c r="K31" s="3022"/>
      <c r="L31" s="3016"/>
      <c r="M31" s="3016"/>
      <c r="N31" s="3016"/>
      <c r="O31" s="3016"/>
      <c r="P31" s="3016"/>
      <c r="Q31" s="3016"/>
      <c r="R31" s="3016"/>
      <c r="S31" s="3016"/>
      <c r="T31" s="3016"/>
      <c r="U31" s="3016"/>
    </row>
    <row r="32" spans="1:21">
      <c r="A32" s="3607"/>
      <c r="B32" s="1560" t="s">
        <v>1968</v>
      </c>
      <c r="C32" s="1611"/>
      <c r="D32" s="1612"/>
      <c r="E32" s="3036"/>
      <c r="F32" s="3036"/>
      <c r="G32" s="3036"/>
      <c r="H32" s="3036"/>
      <c r="I32" s="3040"/>
      <c r="J32" s="3036"/>
      <c r="K32" s="3022"/>
      <c r="L32" s="3016"/>
      <c r="M32" s="3016"/>
      <c r="N32" s="3016"/>
      <c r="O32" s="3016"/>
      <c r="P32" s="3016"/>
      <c r="Q32" s="3016"/>
      <c r="R32" s="3016"/>
      <c r="S32" s="3016"/>
      <c r="T32" s="3016"/>
      <c r="U32" s="3016"/>
    </row>
    <row r="33" spans="1:28">
      <c r="A33" s="3607"/>
      <c r="B33" s="1560" t="s">
        <v>1969</v>
      </c>
      <c r="C33" s="1613"/>
      <c r="D33" s="1723"/>
      <c r="E33" s="3036"/>
      <c r="F33" s="3036"/>
      <c r="G33" s="3036"/>
      <c r="H33" s="3036"/>
      <c r="I33" s="3040"/>
      <c r="J33" s="3036"/>
      <c r="K33" s="3022"/>
      <c r="L33" s="3016"/>
      <c r="M33" s="3016"/>
      <c r="N33" s="3016"/>
      <c r="O33" s="3016"/>
      <c r="P33" s="3016"/>
      <c r="Q33" s="3016"/>
      <c r="R33" s="3016"/>
      <c r="S33" s="3016"/>
      <c r="T33" s="3016"/>
      <c r="U33" s="3016"/>
    </row>
    <row r="34" spans="1:28">
      <c r="A34" s="3608"/>
      <c r="B34" s="1560" t="s">
        <v>1970</v>
      </c>
      <c r="C34" s="3609"/>
      <c r="D34" s="3610"/>
      <c r="E34" s="3036"/>
      <c r="F34" s="3036"/>
      <c r="G34" s="3036"/>
      <c r="H34" s="3036"/>
      <c r="I34" s="3040"/>
      <c r="J34" s="3036"/>
      <c r="K34" s="3022"/>
      <c r="L34" s="3016"/>
      <c r="M34" s="3016"/>
      <c r="N34" s="3016"/>
      <c r="O34" s="3016"/>
      <c r="P34" s="3016"/>
      <c r="Q34" s="3016"/>
      <c r="R34" s="3016"/>
      <c r="S34" s="3016"/>
      <c r="T34" s="3016"/>
      <c r="U34" s="3016"/>
    </row>
    <row r="35" spans="1:28">
      <c r="A35" s="3611" t="s">
        <v>822</v>
      </c>
      <c r="B35" s="1614"/>
      <c r="C35" s="1661" t="str">
        <f>IF(B35="场地平整","——","具体情况：")</f>
        <v>具体情况：</v>
      </c>
      <c r="D35" s="3613"/>
      <c r="E35" s="3614"/>
      <c r="F35" s="3614"/>
      <c r="G35" s="3614"/>
      <c r="H35" s="3614"/>
      <c r="I35" s="3615"/>
      <c r="J35" s="3036"/>
      <c r="K35" s="3023"/>
      <c r="L35" s="3015"/>
      <c r="M35" s="3015"/>
      <c r="N35" s="3016"/>
      <c r="O35" s="3017"/>
      <c r="P35" s="3016"/>
      <c r="Q35" s="3016"/>
      <c r="R35" s="3016"/>
      <c r="S35" s="3016"/>
      <c r="T35" s="3016"/>
      <c r="U35" s="3016"/>
    </row>
    <row r="36" spans="1:28">
      <c r="A36" s="3607"/>
      <c r="B36" s="3616" t="s">
        <v>2019</v>
      </c>
      <c r="C36" s="3617"/>
      <c r="D36" s="1677"/>
      <c r="E36" s="3618"/>
      <c r="F36" s="3618"/>
      <c r="G36" s="1583" t="str">
        <f>IF(B35="场地未平整","估价结果处理","")</f>
        <v/>
      </c>
      <c r="H36" s="3619"/>
      <c r="I36" s="3619"/>
      <c r="J36" s="3036"/>
      <c r="K36" s="3023"/>
      <c r="L36" s="3015"/>
      <c r="M36" s="3015"/>
      <c r="N36" s="3016"/>
      <c r="O36" s="3017"/>
      <c r="P36" s="3016"/>
      <c r="Q36" s="3016"/>
      <c r="R36" s="3016"/>
      <c r="S36" s="3016"/>
      <c r="T36" s="3016"/>
      <c r="U36" s="3016"/>
    </row>
    <row r="37" spans="1:28" ht="28.5">
      <c r="A37" s="3607"/>
      <c r="B37" s="3596" t="s">
        <v>823</v>
      </c>
      <c r="C37" s="1616" t="s">
        <v>824</v>
      </c>
      <c r="D37" s="1617"/>
      <c r="E37" s="1618"/>
      <c r="F37" s="3036"/>
      <c r="G37" s="3036"/>
      <c r="H37" s="3036"/>
      <c r="I37" s="3040"/>
      <c r="J37" s="3036"/>
      <c r="K37" s="3023"/>
      <c r="L37" s="3016"/>
      <c r="M37" s="3016"/>
      <c r="N37" s="3016"/>
      <c r="O37" s="3016"/>
      <c r="P37" s="3016"/>
      <c r="Q37" s="3016"/>
      <c r="R37" s="3016"/>
      <c r="S37" s="3016"/>
      <c r="T37" s="3016"/>
      <c r="U37" s="3016"/>
    </row>
    <row r="38" spans="1:28">
      <c r="A38" s="3607"/>
      <c r="B38" s="3597"/>
      <c r="C38" s="1568" t="s">
        <v>825</v>
      </c>
      <c r="D38" s="1676">
        <f>ROUNDDOWN(MIN(('数据-取费表'!$B$2-D37)/365,D34),1)</f>
        <v>122.2</v>
      </c>
      <c r="E38" s="1619" t="s">
        <v>826</v>
      </c>
      <c r="F38" s="3036"/>
      <c r="G38" s="3036"/>
      <c r="H38" s="3036"/>
      <c r="I38" s="3040"/>
      <c r="J38" s="3036"/>
      <c r="K38" s="3023"/>
      <c r="L38" s="3016"/>
      <c r="M38" s="3016"/>
      <c r="N38" s="3016"/>
      <c r="O38" s="3016"/>
      <c r="P38" s="3016"/>
      <c r="Q38" s="3016"/>
      <c r="R38" s="3016"/>
      <c r="S38" s="3016"/>
      <c r="T38" s="3016"/>
      <c r="U38" s="3016"/>
    </row>
    <row r="39" spans="1:28">
      <c r="A39" s="3608"/>
      <c r="B39" s="3598"/>
      <c r="C39" s="1590" t="str">
        <f>IF(D38&lt;1,"不存在土地闲置",IF(B35="宗地内已开工建设","已开工，不存在土地闲置","估价对象已涉嫌土地闲置"))</f>
        <v>估价对象已涉嫌土地闲置</v>
      </c>
      <c r="D39" s="1620"/>
      <c r="E39" s="1621"/>
      <c r="F39" s="3036"/>
      <c r="G39" s="3036"/>
      <c r="H39" s="3036"/>
      <c r="I39" s="3040"/>
      <c r="J39" s="3036"/>
      <c r="K39" s="3019"/>
      <c r="L39" s="3015"/>
      <c r="M39" s="3015"/>
      <c r="N39" s="3016"/>
      <c r="O39" s="3017"/>
      <c r="P39" s="3016"/>
      <c r="Q39" s="3016"/>
      <c r="R39" s="3016"/>
      <c r="S39" s="3016"/>
      <c r="T39" s="3016"/>
      <c r="U39" s="3016"/>
    </row>
    <row r="40" spans="1:28">
      <c r="A40" s="1583" t="s">
        <v>1942</v>
      </c>
      <c r="B40" s="1584"/>
      <c r="C40" s="1584"/>
      <c r="D40" s="1584"/>
      <c r="E40" s="1584"/>
      <c r="F40" s="1584"/>
      <c r="G40" s="1584"/>
      <c r="H40" s="1584"/>
      <c r="I40" s="3040"/>
      <c r="J40" s="3036"/>
      <c r="K40" s="2984">
        <f>COUNTIF(B40:H40,"——")</f>
        <v>0</v>
      </c>
      <c r="L40" s="1592" t="s">
        <v>1943</v>
      </c>
      <c r="M40" s="1589" t="s">
        <v>1944</v>
      </c>
      <c r="N40" s="1589" t="s">
        <v>1945</v>
      </c>
      <c r="O40" s="1589" t="s">
        <v>1946</v>
      </c>
      <c r="P40" s="1589" t="s">
        <v>1947</v>
      </c>
      <c r="Q40" s="1589" t="s">
        <v>1948</v>
      </c>
      <c r="R40" s="1589" t="s">
        <v>1949</v>
      </c>
      <c r="S40" s="3579" t="s">
        <v>1950</v>
      </c>
      <c r="T40" s="1623" t="str">
        <f>NUMBERSTRING(7-K40,1)&amp;"通"</f>
        <v>七通</v>
      </c>
      <c r="U40" s="3016"/>
    </row>
    <row r="41" spans="1:28">
      <c r="A41" s="1562"/>
      <c r="B41" s="3612" t="s">
        <v>1694</v>
      </c>
      <c r="C41" s="3612"/>
      <c r="D41" s="3612"/>
      <c r="E41" s="3612"/>
      <c r="F41" s="1624">
        <f>C10</f>
        <v>0</v>
      </c>
      <c r="G41" s="3036"/>
      <c r="H41" s="3036"/>
      <c r="I41" s="3040"/>
      <c r="J41" s="3036"/>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579"/>
      <c r="T41" s="1625" t="str">
        <f>IF(T40="一通",L41,IF(T40="二通",M41,IF(T40="三通",N41,IF(T40="四通",O41,IF(T40="五通",P41,IF(T40="六通",Q41,R41))))))</f>
        <v>、、、、、、</v>
      </c>
      <c r="U41" s="3016"/>
    </row>
    <row r="42" spans="1:28">
      <c r="A42" s="1627"/>
      <c r="B42" s="1654" t="s">
        <v>1864</v>
      </c>
      <c r="C42" s="1654" t="s">
        <v>1865</v>
      </c>
      <c r="D42" s="1654" t="s">
        <v>1866</v>
      </c>
      <c r="E42" s="1592" t="s">
        <v>1867</v>
      </c>
      <c r="F42" s="1628"/>
      <c r="G42" s="3036"/>
      <c r="H42" s="3036"/>
      <c r="I42" s="3040"/>
      <c r="J42" s="3036"/>
      <c r="K42" s="3019"/>
      <c r="L42" s="3015"/>
      <c r="M42" s="3015"/>
      <c r="N42" s="3016"/>
      <c r="O42" s="3017"/>
      <c r="P42" s="3016"/>
      <c r="Q42" s="3016"/>
      <c r="R42" s="3016"/>
      <c r="S42" s="3016"/>
      <c r="T42" s="3016"/>
      <c r="U42" s="3016"/>
    </row>
    <row r="43" spans="1:28">
      <c r="A43" s="2987" t="s">
        <v>1679</v>
      </c>
      <c r="B43" s="1629" t="s">
        <v>1387</v>
      </c>
      <c r="C43" s="1629" t="s">
        <v>1387</v>
      </c>
      <c r="D43" s="1629"/>
      <c r="E43" s="1629" t="s">
        <v>1387</v>
      </c>
      <c r="F43" s="1630"/>
      <c r="G43" s="3036"/>
      <c r="H43" s="3036"/>
      <c r="I43" s="3040"/>
      <c r="J43" s="3036"/>
      <c r="K43" s="3019"/>
      <c r="L43" s="3015"/>
      <c r="M43" s="3015"/>
      <c r="N43" s="3016"/>
      <c r="O43" s="3017"/>
      <c r="P43" s="3016"/>
      <c r="Q43" s="3016"/>
      <c r="R43" s="3016"/>
      <c r="S43" s="3016"/>
      <c r="T43" s="3016"/>
      <c r="U43" s="3016"/>
    </row>
    <row r="44" spans="1:28">
      <c r="A44" s="2987" t="s">
        <v>1680</v>
      </c>
      <c r="B44" s="1629" t="s">
        <v>3296</v>
      </c>
      <c r="C44" s="1629" t="s">
        <v>3296</v>
      </c>
      <c r="D44" s="1629"/>
      <c r="E44" s="1677" t="s">
        <v>3296</v>
      </c>
      <c r="F44" s="1630"/>
      <c r="G44" s="3036"/>
      <c r="H44" s="3036"/>
      <c r="I44" s="3040"/>
      <c r="J44" s="3036"/>
      <c r="K44" s="3019"/>
      <c r="L44" s="3015"/>
      <c r="M44" s="3015"/>
      <c r="N44" s="3016"/>
      <c r="O44" s="3017"/>
      <c r="P44" s="3016"/>
      <c r="Q44" s="3016"/>
      <c r="R44" s="3016"/>
      <c r="S44" s="3016"/>
      <c r="T44" s="3016"/>
      <c r="U44" s="3016"/>
    </row>
    <row r="45" spans="1:28" s="2736" customFormat="1" ht="21" thickBot="1">
      <c r="A45" s="2737" t="s">
        <v>2839</v>
      </c>
      <c r="B45" s="2735"/>
      <c r="C45" s="2735"/>
      <c r="D45" s="2735"/>
      <c r="E45" s="2735"/>
      <c r="F45" s="2735"/>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7"/>
      <c r="B46" s="1587"/>
      <c r="C46" s="1587"/>
      <c r="D46" s="1587"/>
      <c r="E46" s="1587"/>
      <c r="F46" s="1587"/>
      <c r="G46" s="1587"/>
      <c r="H46" s="1587"/>
      <c r="I46" s="1599"/>
      <c r="J46" s="1587"/>
      <c r="K46" s="3019"/>
      <c r="L46" s="3015"/>
      <c r="M46" s="3015"/>
      <c r="N46" s="3016"/>
      <c r="O46" s="3017"/>
      <c r="P46" s="3016"/>
      <c r="Q46" s="3016"/>
      <c r="R46" s="3016"/>
      <c r="S46" s="3016"/>
      <c r="T46" s="3016"/>
      <c r="U46" s="3016"/>
    </row>
    <row r="47" spans="1:28">
      <c r="A47" s="1631" t="s">
        <v>1971</v>
      </c>
      <c r="B47" s="1632"/>
      <c r="C47" s="1621"/>
      <c r="D47" s="1587"/>
      <c r="E47" s="1587"/>
      <c r="F47" s="1587"/>
      <c r="G47" s="1587"/>
      <c r="H47" s="1587"/>
      <c r="I47" s="1588"/>
      <c r="J47" s="1587"/>
      <c r="K47" s="3019"/>
      <c r="L47" s="3015"/>
      <c r="M47" s="3015"/>
      <c r="N47" s="3016"/>
      <c r="O47" s="3017"/>
      <c r="P47" s="3016"/>
      <c r="Q47" s="3016"/>
      <c r="R47" s="3016"/>
      <c r="S47" s="3016"/>
      <c r="T47" s="3016"/>
      <c r="U47" s="3016"/>
    </row>
    <row r="48" spans="1:28" ht="28.5">
      <c r="A48" s="1592" t="s">
        <v>1972</v>
      </c>
      <c r="B48" s="1582" t="s">
        <v>1973</v>
      </c>
      <c r="C48" s="1582" t="s">
        <v>1974</v>
      </c>
      <c r="D48" s="1582" t="s">
        <v>1975</v>
      </c>
      <c r="E48" s="1582" t="s">
        <v>1976</v>
      </c>
      <c r="F48" s="1582" t="s">
        <v>1977</v>
      </c>
      <c r="G48" s="1582" t="s">
        <v>1978</v>
      </c>
      <c r="H48" s="1582" t="s">
        <v>1979</v>
      </c>
      <c r="I48" s="1582" t="s">
        <v>1980</v>
      </c>
      <c r="J48" s="1660" t="s">
        <v>1981</v>
      </c>
      <c r="K48" s="3029" t="s">
        <v>1982</v>
      </c>
      <c r="L48" s="3029" t="s">
        <v>1983</v>
      </c>
      <c r="M48" s="3029" t="s">
        <v>1984</v>
      </c>
      <c r="N48" s="3030" t="s">
        <v>1985</v>
      </c>
      <c r="O48" s="3030" t="s">
        <v>1986</v>
      </c>
      <c r="P48" s="3030" t="s">
        <v>1987</v>
      </c>
      <c r="Q48" s="3021" t="s">
        <v>1988</v>
      </c>
      <c r="R48" s="3021" t="s">
        <v>1989</v>
      </c>
      <c r="S48" s="3016"/>
      <c r="T48" s="3016"/>
      <c r="U48" s="3016"/>
    </row>
    <row r="49" spans="1:21">
      <c r="A49" s="1589"/>
      <c r="B49" s="1622"/>
      <c r="C49" s="1622"/>
      <c r="D49" s="1622"/>
      <c r="E49" s="1622"/>
      <c r="F49" s="1622"/>
      <c r="G49" s="1622"/>
      <c r="H49" s="1622"/>
      <c r="I49" s="1622"/>
      <c r="J49" s="1724"/>
      <c r="K49" s="3031"/>
      <c r="L49" s="3031"/>
      <c r="M49" s="1628"/>
      <c r="N49" s="1628"/>
      <c r="O49" s="1628"/>
      <c r="P49" s="1628"/>
      <c r="Q49" s="1628"/>
      <c r="R49" s="1628"/>
      <c r="S49" s="3016"/>
      <c r="T49" s="3016"/>
      <c r="U49" s="3016"/>
    </row>
    <row r="50" spans="1:21">
      <c r="A50" s="1589"/>
      <c r="B50" s="1589"/>
      <c r="C50" s="1622"/>
      <c r="D50" s="1622"/>
      <c r="E50" s="1622"/>
      <c r="F50" s="1622"/>
      <c r="G50" s="1622"/>
      <c r="H50" s="1622"/>
      <c r="I50" s="1622"/>
      <c r="J50" s="1724"/>
      <c r="K50" s="3031"/>
      <c r="L50" s="3031"/>
      <c r="M50" s="1628"/>
      <c r="N50" s="1628"/>
      <c r="O50" s="1628"/>
      <c r="P50" s="1628"/>
      <c r="Q50" s="1628"/>
      <c r="R50" s="1628"/>
      <c r="S50" s="3016"/>
      <c r="T50" s="3016"/>
      <c r="U50" s="3016"/>
    </row>
    <row r="51" spans="1:21">
      <c r="A51" s="1589"/>
      <c r="B51" s="1589"/>
      <c r="C51" s="1622"/>
      <c r="D51" s="1622"/>
      <c r="E51" s="1622"/>
      <c r="F51" s="1622"/>
      <c r="G51" s="1622"/>
      <c r="H51" s="1622"/>
      <c r="I51" s="1622"/>
      <c r="J51" s="1724"/>
      <c r="K51" s="3031"/>
      <c r="L51" s="3031"/>
      <c r="M51" s="1628"/>
      <c r="N51" s="1628"/>
      <c r="O51" s="1628"/>
      <c r="P51" s="1628"/>
      <c r="Q51" s="1628"/>
      <c r="R51" s="1628"/>
      <c r="S51" s="3016"/>
      <c r="T51" s="3016"/>
      <c r="U51" s="3016"/>
    </row>
    <row r="52" spans="1:21">
      <c r="A52" s="1589"/>
      <c r="B52" s="1589"/>
      <c r="C52" s="1622"/>
      <c r="D52" s="1622"/>
      <c r="E52" s="1622"/>
      <c r="F52" s="1622"/>
      <c r="G52" s="1622"/>
      <c r="H52" s="1622"/>
      <c r="I52" s="1622"/>
      <c r="J52" s="1724"/>
      <c r="K52" s="3031"/>
      <c r="L52" s="3031"/>
      <c r="M52" s="1628"/>
      <c r="N52" s="1628"/>
      <c r="O52" s="1628"/>
      <c r="P52" s="1628"/>
      <c r="Q52" s="1628"/>
      <c r="R52" s="1628"/>
      <c r="S52" s="3016"/>
      <c r="T52" s="3016"/>
      <c r="U52" s="3016"/>
    </row>
    <row r="53" spans="1:21">
      <c r="A53" s="1589"/>
      <c r="B53" s="1589"/>
      <c r="C53" s="1622"/>
      <c r="D53" s="1622"/>
      <c r="E53" s="1622"/>
      <c r="F53" s="1622"/>
      <c r="G53" s="1622"/>
      <c r="H53" s="1622"/>
      <c r="I53" s="1622"/>
      <c r="J53" s="1724"/>
      <c r="K53" s="3031"/>
      <c r="L53" s="3031"/>
      <c r="M53" s="1628"/>
      <c r="N53" s="1628"/>
      <c r="O53" s="1628"/>
      <c r="P53" s="1628"/>
      <c r="Q53" s="1628"/>
      <c r="R53" s="1628"/>
      <c r="S53" s="3016"/>
      <c r="T53" s="3016"/>
      <c r="U53" s="3016"/>
    </row>
    <row r="54" spans="1:21">
      <c r="A54" s="1589"/>
      <c r="B54" s="1589"/>
      <c r="C54" s="1589"/>
      <c r="D54" s="1589"/>
      <c r="E54" s="1589"/>
      <c r="F54" s="1622"/>
      <c r="G54" s="1589"/>
      <c r="H54" s="1589"/>
      <c r="I54" s="1589"/>
      <c r="J54" s="1725"/>
      <c r="K54" s="3031"/>
      <c r="L54" s="3031"/>
      <c r="M54" s="3031"/>
      <c r="N54" s="2983"/>
      <c r="O54" s="2983"/>
      <c r="P54" s="2983"/>
      <c r="Q54" s="2983"/>
      <c r="R54" s="2983"/>
      <c r="S54" s="3016"/>
      <c r="T54" s="3016"/>
      <c r="U54" s="3016"/>
    </row>
    <row r="55" spans="1:21">
      <c r="A55" s="1589"/>
      <c r="B55" s="1589"/>
      <c r="C55" s="1589"/>
      <c r="D55" s="1589"/>
      <c r="E55" s="1589"/>
      <c r="F55" s="1622"/>
      <c r="G55" s="1589"/>
      <c r="H55" s="1589"/>
      <c r="I55" s="1589"/>
      <c r="J55" s="1725"/>
      <c r="K55" s="3031"/>
      <c r="L55" s="3031"/>
      <c r="M55" s="3031"/>
      <c r="N55" s="2983"/>
      <c r="O55" s="2983"/>
      <c r="P55" s="2983"/>
      <c r="Q55" s="2983"/>
      <c r="R55" s="2983"/>
      <c r="S55" s="3016"/>
      <c r="T55" s="3016"/>
      <c r="U55" s="3016"/>
    </row>
    <row r="56" spans="1:21">
      <c r="A56" s="1589"/>
      <c r="B56" s="1589"/>
      <c r="C56" s="1589"/>
      <c r="D56" s="1589"/>
      <c r="E56" s="1589"/>
      <c r="F56" s="1622"/>
      <c r="G56" s="1589"/>
      <c r="H56" s="1589"/>
      <c r="I56" s="1589"/>
      <c r="J56" s="1725"/>
      <c r="K56" s="3031"/>
      <c r="L56" s="3031"/>
      <c r="M56" s="3031"/>
      <c r="N56" s="2983"/>
      <c r="O56" s="2983"/>
      <c r="P56" s="2983"/>
      <c r="Q56" s="2983"/>
      <c r="R56" s="2983"/>
      <c r="S56" s="3016"/>
      <c r="T56" s="3016"/>
      <c r="U56" s="3016"/>
    </row>
    <row r="57" spans="1:21">
      <c r="A57" s="1589"/>
      <c r="B57" s="1589"/>
      <c r="C57" s="1589"/>
      <c r="D57" s="1589"/>
      <c r="E57" s="1589"/>
      <c r="F57" s="1622"/>
      <c r="G57" s="1589"/>
      <c r="H57" s="1589"/>
      <c r="I57" s="1589"/>
      <c r="J57" s="1725"/>
      <c r="K57" s="3031"/>
      <c r="L57" s="3031"/>
      <c r="M57" s="3031"/>
      <c r="N57" s="2983"/>
      <c r="O57" s="2983"/>
      <c r="P57" s="2983"/>
      <c r="Q57" s="2983"/>
      <c r="R57" s="2983"/>
      <c r="S57" s="3016"/>
      <c r="T57" s="3016"/>
      <c r="U57" s="3016"/>
    </row>
    <row r="58" spans="1:21">
      <c r="A58" s="1589"/>
      <c r="B58" s="1589"/>
      <c r="C58" s="1589"/>
      <c r="D58" s="1589"/>
      <c r="E58" s="1589"/>
      <c r="F58" s="1622"/>
      <c r="G58" s="1589"/>
      <c r="H58" s="1589"/>
      <c r="I58" s="1589"/>
      <c r="J58" s="1725"/>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5" sqref="A15: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166</v>
      </c>
      <c r="AZ2" s="2188" t="s">
        <v>2296</v>
      </c>
      <c r="BA2" s="2189" t="s">
        <v>2295</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B3</f>
        <v>155413.54999999999</v>
      </c>
      <c r="B3" s="22">
        <f>IF(C3="否",G5-AT5,G5)</f>
        <v>155413.54999999999</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0"/>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167</v>
      </c>
      <c r="B5" s="959"/>
      <c r="C5" s="959"/>
      <c r="D5" s="966"/>
      <c r="E5" s="27" t="s">
        <v>1</v>
      </c>
      <c r="F5" s="27">
        <f>SUM(F13:F572)</f>
        <v>0</v>
      </c>
      <c r="G5" s="27">
        <f>SUM(G13:G572)</f>
        <v>155413.54999999999</v>
      </c>
      <c r="H5" s="27">
        <f t="shared" ref="H5:AT5" si="0">SUM(H13:H641)</f>
        <v>155413.54999999999</v>
      </c>
      <c r="I5" s="27">
        <f t="shared" si="0"/>
        <v>102489.97</v>
      </c>
      <c r="J5" s="27">
        <f t="shared" si="0"/>
        <v>0</v>
      </c>
      <c r="K5" s="27">
        <f t="shared" si="0"/>
        <v>41534</v>
      </c>
      <c r="L5" s="27">
        <f t="shared" si="0"/>
        <v>0</v>
      </c>
      <c r="M5" s="27">
        <f t="shared" si="0"/>
        <v>11389.58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167</v>
      </c>
      <c r="AW5" s="959"/>
      <c r="AX5" s="959"/>
      <c r="AY5" s="28" t="s">
        <v>3</v>
      </c>
      <c r="AZ5" s="29">
        <f t="shared" ref="AZ5:BT5" si="1">SUM(AZ13:AZ641)</f>
        <v>155413.54999999999</v>
      </c>
      <c r="BA5" s="29">
        <f t="shared" si="1"/>
        <v>155413.54999999999</v>
      </c>
      <c r="BB5" s="29">
        <f t="shared" si="1"/>
        <v>102489.97</v>
      </c>
      <c r="BC5" s="29">
        <f t="shared" si="1"/>
        <v>41534</v>
      </c>
      <c r="BD5" s="29">
        <f t="shared" si="1"/>
        <v>11389.58</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155413.54999999999</v>
      </c>
      <c r="F6" s="27" t="s">
        <v>1</v>
      </c>
      <c r="G6" s="27" t="s">
        <v>2</v>
      </c>
      <c r="H6" s="33">
        <f>SUMIF(I$12:AB$12,"总值",I6:AB6)</f>
        <v>155413.54999999999</v>
      </c>
      <c r="I6" s="27">
        <f t="shared" ref="I6:AB6" si="2">ROUND($A$3*I5/$B$3,2)</f>
        <v>102489.97</v>
      </c>
      <c r="J6" s="27">
        <f t="shared" si="2"/>
        <v>0</v>
      </c>
      <c r="K6" s="27">
        <f t="shared" si="2"/>
        <v>41534</v>
      </c>
      <c r="L6" s="27">
        <f t="shared" si="2"/>
        <v>0</v>
      </c>
      <c r="M6" s="27">
        <f t="shared" si="2"/>
        <v>11389.58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155413.54999999999</v>
      </c>
      <c r="AZ6" s="27" t="s">
        <v>3</v>
      </c>
      <c r="BA6" s="27">
        <f>ROUND($AY$6*BA5/$AZ$5,2)</f>
        <v>155413.54999999999</v>
      </c>
      <c r="BB6" s="27">
        <f>ROUND($AY$6*BB5/$AZ$5,2)</f>
        <v>102489.97</v>
      </c>
      <c r="BC6" s="27">
        <f t="shared" ref="BC6:BH6" si="4">ROUND($AY$6*BC5/$AZ$5,2)</f>
        <v>41534</v>
      </c>
      <c r="BD6" s="27">
        <f t="shared" si="4"/>
        <v>11389.58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176</v>
      </c>
      <c r="AV7" s="41" t="s">
        <v>177</v>
      </c>
      <c r="AW7" s="42" t="s">
        <v>178</v>
      </c>
      <c r="AX7" s="41" t="s">
        <v>179</v>
      </c>
      <c r="AY7" s="95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1"/>
      <c r="K8" s="971"/>
      <c r="L8" s="971"/>
      <c r="M8" s="971"/>
      <c r="N8" s="971"/>
      <c r="O8" s="971"/>
      <c r="P8" s="971"/>
      <c r="Q8" s="971"/>
      <c r="R8" s="971"/>
      <c r="S8" s="971"/>
      <c r="T8" s="971"/>
      <c r="U8" s="971"/>
      <c r="V8" s="49"/>
      <c r="W8" s="971"/>
      <c r="X8" s="971"/>
      <c r="Y8" s="971"/>
      <c r="Z8" s="971"/>
      <c r="AA8" s="49"/>
      <c r="AB8" s="50"/>
      <c r="AC8" s="51" t="s">
        <v>183</v>
      </c>
      <c r="AD8" s="52"/>
      <c r="AE8" s="43"/>
      <c r="AF8" s="971"/>
      <c r="AG8" s="971"/>
      <c r="AH8" s="971"/>
      <c r="AI8" s="971"/>
      <c r="AJ8" s="971"/>
      <c r="AK8" s="971"/>
      <c r="AL8" s="971"/>
      <c r="AM8" s="971"/>
      <c r="AN8" s="971"/>
      <c r="AO8" s="971"/>
      <c r="AP8" s="971"/>
      <c r="AQ8" s="971"/>
      <c r="AR8" s="971"/>
      <c r="AS8" s="2146"/>
      <c r="AT8" s="2177" t="s">
        <v>830</v>
      </c>
      <c r="AU8" s="45" t="s">
        <v>184</v>
      </c>
      <c r="AV8" s="55"/>
      <c r="AW8" s="973"/>
      <c r="AX8" s="55"/>
      <c r="AY8" s="42" t="s">
        <v>185</v>
      </c>
      <c r="AZ8" s="970" t="s">
        <v>186</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187</v>
      </c>
      <c r="I9" s="2698" t="s">
        <v>3124</v>
      </c>
      <c r="J9" s="51"/>
      <c r="K9" s="2698" t="s">
        <v>3124</v>
      </c>
      <c r="L9" s="51"/>
      <c r="M9" s="2698" t="s">
        <v>3124</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52" t="s">
        <v>190</v>
      </c>
      <c r="AQ9" s="1154"/>
      <c r="AR9" s="1152" t="s">
        <v>191</v>
      </c>
      <c r="AS9" s="2178"/>
      <c r="AT9" s="45"/>
      <c r="AU9" s="45" t="s">
        <v>193</v>
      </c>
      <c r="AV9" s="55"/>
      <c r="AW9" s="973"/>
      <c r="AX9" s="55"/>
      <c r="AY9" s="62"/>
      <c r="AZ9" s="62" t="s">
        <v>194</v>
      </c>
      <c r="BA9" s="63" t="s">
        <v>195</v>
      </c>
      <c r="BB9" s="64"/>
      <c r="BC9" s="965"/>
      <c r="BD9" s="965"/>
      <c r="BE9" s="965"/>
      <c r="BF9" s="965"/>
      <c r="BG9" s="965"/>
      <c r="BH9" s="965"/>
      <c r="BI9" s="965"/>
      <c r="BJ9" s="965"/>
      <c r="BK9" s="65"/>
      <c r="BL9" s="26" t="s">
        <v>196</v>
      </c>
      <c r="BM9" s="971"/>
      <c r="BN9" s="48"/>
      <c r="BO9" s="971"/>
      <c r="BP9" s="971"/>
      <c r="BQ9" s="971"/>
      <c r="BR9" s="971"/>
      <c r="BS9" s="971"/>
      <c r="BT9" s="56"/>
    </row>
    <row r="10" spans="1:72" s="57" customFormat="1" ht="12.75">
      <c r="A10" s="45"/>
      <c r="B10" s="45"/>
      <c r="C10" s="45"/>
      <c r="D10" s="45"/>
      <c r="E10" s="45"/>
      <c r="F10" s="45"/>
      <c r="G10" s="55"/>
      <c r="H10" s="62"/>
      <c r="I10" s="2698" t="s">
        <v>955</v>
      </c>
      <c r="J10" s="51"/>
      <c r="K10" s="2700" t="s">
        <v>3122</v>
      </c>
      <c r="L10" s="51"/>
      <c r="M10" s="2700" t="s">
        <v>1650</v>
      </c>
      <c r="N10" s="51"/>
      <c r="O10" s="66"/>
      <c r="P10" s="51"/>
      <c r="Q10" s="66"/>
      <c r="R10" s="51"/>
      <c r="S10" s="66"/>
      <c r="T10" s="51"/>
      <c r="U10" s="66"/>
      <c r="V10" s="51"/>
      <c r="W10" s="66"/>
      <c r="X10" s="51"/>
      <c r="Y10" s="66"/>
      <c r="Z10" s="51"/>
      <c r="AA10" s="66"/>
      <c r="AB10" s="51"/>
      <c r="AC10" s="55"/>
      <c r="AD10" s="2163" t="s">
        <v>2280</v>
      </c>
      <c r="AE10" s="2185"/>
      <c r="AF10" s="2163" t="s">
        <v>2280</v>
      </c>
      <c r="AG10" s="2185"/>
      <c r="AH10" s="2163" t="s">
        <v>2281</v>
      </c>
      <c r="AI10" s="2185"/>
      <c r="AJ10" s="26" t="s">
        <v>2294</v>
      </c>
      <c r="AK10" s="2182"/>
      <c r="AL10" s="2163" t="s">
        <v>2282</v>
      </c>
      <c r="AM10" s="2164"/>
      <c r="AN10" s="26" t="s">
        <v>197</v>
      </c>
      <c r="AO10" s="61"/>
      <c r="AP10" s="1152" t="s">
        <v>198</v>
      </c>
      <c r="AQ10" s="1154"/>
      <c r="AR10" s="1152" t="s">
        <v>198</v>
      </c>
      <c r="AS10" s="1154"/>
      <c r="AT10" s="45"/>
      <c r="AU10" s="45"/>
      <c r="AV10" s="55"/>
      <c r="AW10" s="973"/>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9"/>
      <c r="J11" s="71"/>
      <c r="K11" s="2699"/>
      <c r="L11" s="71"/>
      <c r="M11" s="70"/>
      <c r="N11" s="71"/>
      <c r="O11" s="70"/>
      <c r="P11" s="71"/>
      <c r="Q11" s="70"/>
      <c r="R11" s="71"/>
      <c r="S11" s="70"/>
      <c r="T11" s="71"/>
      <c r="U11" s="70"/>
      <c r="V11" s="71"/>
      <c r="W11" s="70"/>
      <c r="X11" s="71"/>
      <c r="Y11" s="70"/>
      <c r="Z11" s="71"/>
      <c r="AA11" s="70"/>
      <c r="AB11" s="71"/>
      <c r="AC11" s="55"/>
      <c r="AD11" s="2183" t="s">
        <v>2293</v>
      </c>
      <c r="AE11" s="972"/>
      <c r="AF11" s="2183" t="s">
        <v>2293</v>
      </c>
      <c r="AG11" s="972"/>
      <c r="AH11" s="2183" t="s">
        <v>2292</v>
      </c>
      <c r="AI11" s="2184"/>
      <c r="AJ11" s="2183" t="s">
        <v>2292</v>
      </c>
      <c r="AK11" s="2182"/>
      <c r="AL11" s="970"/>
      <c r="AM11" s="972"/>
      <c r="AN11" s="970"/>
      <c r="AO11" s="972"/>
      <c r="AP11" s="1153"/>
      <c r="AQ11" s="1155"/>
      <c r="AR11" s="1153"/>
      <c r="AS11" s="1155"/>
      <c r="AT11" s="973"/>
      <c r="AU11" s="45"/>
      <c r="AV11" s="55"/>
      <c r="AW11" s="973"/>
      <c r="AX11" s="55"/>
      <c r="AY11" s="62"/>
      <c r="AZ11" s="62"/>
      <c r="BA11" s="62"/>
      <c r="BB11" s="50" t="str">
        <f>I10</f>
        <v>工业</v>
      </c>
      <c r="BC11" s="50" t="str">
        <f>K10</f>
        <v>商业</v>
      </c>
      <c r="BD11" s="50" t="str">
        <f>M10</f>
        <v>办公</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8" t="s">
        <v>200</v>
      </c>
      <c r="W12" s="17" t="s">
        <v>199</v>
      </c>
      <c r="X12" s="17" t="s">
        <v>200</v>
      </c>
      <c r="Y12" s="17" t="s">
        <v>199</v>
      </c>
      <c r="Z12" s="17" t="s">
        <v>200</v>
      </c>
      <c r="AA12" s="17" t="s">
        <v>199</v>
      </c>
      <c r="AB12" s="17" t="s">
        <v>200</v>
      </c>
      <c r="AC12" s="75"/>
      <c r="AD12" s="966" t="s">
        <v>199</v>
      </c>
      <c r="AE12" s="17" t="s">
        <v>200</v>
      </c>
      <c r="AF12" s="17" t="s">
        <v>199</v>
      </c>
      <c r="AG12" s="17" t="s">
        <v>200</v>
      </c>
      <c r="AH12" s="17" t="s">
        <v>199</v>
      </c>
      <c r="AI12" s="17" t="s">
        <v>200</v>
      </c>
      <c r="AJ12" s="17" t="s">
        <v>199</v>
      </c>
      <c r="AK12" s="17" t="s">
        <v>200</v>
      </c>
      <c r="AL12" s="17" t="s">
        <v>199</v>
      </c>
      <c r="AM12" s="17" t="s">
        <v>200</v>
      </c>
      <c r="AN12" s="17" t="s">
        <v>199</v>
      </c>
      <c r="AO12" s="17" t="s">
        <v>200</v>
      </c>
      <c r="AP12" s="1151" t="s">
        <v>199</v>
      </c>
      <c r="AQ12" s="1151" t="s">
        <v>200</v>
      </c>
      <c r="AR12" s="1157" t="s">
        <v>199</v>
      </c>
      <c r="AS12" s="1156"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25.5">
      <c r="A13" s="3527" t="s">
        <v>3297</v>
      </c>
      <c r="B13" s="3528">
        <v>59940</v>
      </c>
      <c r="C13" s="2693"/>
      <c r="D13" s="2694" t="s">
        <v>1651</v>
      </c>
      <c r="E13" s="27">
        <f t="shared" ref="E13:E20" si="6">IF($C$3="是",ROUND($A$3*G13/$B$3,2),ROUND($A$3*(G13-AT13)/$B$3,2))</f>
        <v>59940</v>
      </c>
      <c r="F13" s="81"/>
      <c r="G13" s="82">
        <f t="shared" ref="G13:G20" si="7">H13+AC13+AT13</f>
        <v>59940</v>
      </c>
      <c r="H13" s="33">
        <f t="shared" ref="H13:H20" si="8">SUMIF(I$12:AB$12,"总值",I13:AB13)</f>
        <v>59940</v>
      </c>
      <c r="I13" s="2697">
        <f>B13</f>
        <v>59940</v>
      </c>
      <c r="J13" s="2697"/>
      <c r="K13" s="2697"/>
      <c r="L13" s="2697"/>
      <c r="M13" s="2697"/>
      <c r="N13" s="83"/>
      <c r="O13" s="83"/>
      <c r="P13" s="83"/>
      <c r="Q13" s="83"/>
      <c r="R13" s="83"/>
      <c r="S13" s="83"/>
      <c r="T13" s="83"/>
      <c r="U13" s="83"/>
      <c r="V13" s="83"/>
      <c r="W13" s="83"/>
      <c r="X13" s="83"/>
      <c r="Y13" s="83"/>
      <c r="Z13" s="83"/>
      <c r="AA13" s="83"/>
      <c r="AB13" s="83"/>
      <c r="AC13" s="27">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t="str">
        <f t="shared" ref="AV13:AX20" si="10">A13</f>
        <v>京顺机动车检测场</v>
      </c>
      <c r="AW13" s="17">
        <f t="shared" si="10"/>
        <v>59940</v>
      </c>
      <c r="AX13" s="17">
        <f t="shared" si="10"/>
        <v>0</v>
      </c>
      <c r="AY13" s="966">
        <f t="shared" ref="AY13:AY20" si="11">ROUND($AY$6*AZ13/$AZ$5,2)</f>
        <v>59940</v>
      </c>
      <c r="AZ13" s="27">
        <f t="shared" ref="AZ13:AZ20" si="12">BA13+BL13</f>
        <v>59940</v>
      </c>
      <c r="BA13" s="27">
        <f t="shared" ref="BA13:BA20" si="13">SUM(BB13:BK13)</f>
        <v>59940</v>
      </c>
      <c r="BB13" s="27">
        <f t="shared" ref="BB13:BB20" si="14">IF($D13="是",I13-J13,0)</f>
        <v>59940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527" t="s">
        <v>3297</v>
      </c>
      <c r="B14" s="3528">
        <v>36029.97</v>
      </c>
      <c r="C14" s="2695"/>
      <c r="D14" s="2694" t="s">
        <v>1651</v>
      </c>
      <c r="E14" s="27">
        <f t="shared" si="6"/>
        <v>36029.97</v>
      </c>
      <c r="F14" s="81"/>
      <c r="G14" s="82">
        <f t="shared" si="7"/>
        <v>36029.97</v>
      </c>
      <c r="H14" s="33">
        <f t="shared" si="8"/>
        <v>36029.97</v>
      </c>
      <c r="I14" s="2697">
        <f>B14</f>
        <v>36029.97</v>
      </c>
      <c r="J14" s="2697"/>
      <c r="K14" s="2697"/>
      <c r="L14" s="2697"/>
      <c r="M14" s="2697"/>
      <c r="N14" s="83"/>
      <c r="O14" s="83"/>
      <c r="P14" s="83"/>
      <c r="Q14" s="83"/>
      <c r="R14" s="83"/>
      <c r="S14" s="83"/>
      <c r="T14" s="83"/>
      <c r="U14" s="83"/>
      <c r="V14" s="83"/>
      <c r="W14" s="83"/>
      <c r="X14" s="83"/>
      <c r="Y14" s="83"/>
      <c r="Z14" s="83"/>
      <c r="AA14" s="83"/>
      <c r="AB14" s="83"/>
      <c r="AC14" s="27">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t="str">
        <f t="shared" si="10"/>
        <v>京顺机动车检测场</v>
      </c>
      <c r="AW14" s="17">
        <f t="shared" si="10"/>
        <v>36029.97</v>
      </c>
      <c r="AX14" s="17">
        <f t="shared" si="10"/>
        <v>0</v>
      </c>
      <c r="AY14" s="966">
        <f t="shared" si="11"/>
        <v>36029.97</v>
      </c>
      <c r="AZ14" s="27">
        <f t="shared" si="12"/>
        <v>36029.97</v>
      </c>
      <c r="BA14" s="27">
        <f t="shared" si="13"/>
        <v>36029.97</v>
      </c>
      <c r="BB14" s="27">
        <f t="shared" si="14"/>
        <v>36029.97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527" t="s">
        <v>3298</v>
      </c>
      <c r="B15" s="3528">
        <v>22380</v>
      </c>
      <c r="C15" s="2695"/>
      <c r="D15" s="2694" t="s">
        <v>1651</v>
      </c>
      <c r="E15" s="27">
        <f t="shared" si="6"/>
        <v>22380</v>
      </c>
      <c r="F15" s="81"/>
      <c r="G15" s="82">
        <f t="shared" si="7"/>
        <v>22380</v>
      </c>
      <c r="H15" s="33">
        <f t="shared" si="8"/>
        <v>22380</v>
      </c>
      <c r="I15" s="2697"/>
      <c r="J15" s="2697"/>
      <c r="K15" s="2697">
        <f t="shared" ref="K15:K34" si="33">B15</f>
        <v>22380</v>
      </c>
      <c r="L15" s="2697"/>
      <c r="M15" s="2697"/>
      <c r="N15" s="83"/>
      <c r="O15" s="83"/>
      <c r="P15" s="83"/>
      <c r="Q15" s="83"/>
      <c r="R15" s="83"/>
      <c r="S15" s="83"/>
      <c r="T15" s="83"/>
      <c r="U15" s="83"/>
      <c r="V15" s="83"/>
      <c r="W15" s="83"/>
      <c r="X15" s="83"/>
      <c r="Y15" s="83"/>
      <c r="Z15" s="83"/>
      <c r="AA15" s="83"/>
      <c r="AB15" s="83"/>
      <c r="AC15" s="27">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t="str">
        <f t="shared" si="10"/>
        <v>顺交综合性能检测站</v>
      </c>
      <c r="AW15" s="17">
        <f t="shared" si="10"/>
        <v>22380</v>
      </c>
      <c r="AX15" s="17">
        <f t="shared" si="10"/>
        <v>0</v>
      </c>
      <c r="AY15" s="966">
        <f t="shared" si="11"/>
        <v>22380</v>
      </c>
      <c r="AZ15" s="27">
        <f t="shared" si="12"/>
        <v>22380</v>
      </c>
      <c r="BA15" s="27">
        <f t="shared" si="13"/>
        <v>22380</v>
      </c>
      <c r="BB15" s="27">
        <f t="shared" si="14"/>
        <v>0</v>
      </c>
      <c r="BC15" s="27">
        <f t="shared" si="15"/>
        <v>22380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3527" t="s">
        <v>3299</v>
      </c>
      <c r="B16" s="3528">
        <v>11389.58</v>
      </c>
      <c r="C16" s="2695"/>
      <c r="D16" s="2694" t="s">
        <v>1651</v>
      </c>
      <c r="E16" s="27">
        <f t="shared" si="6"/>
        <v>11389.58</v>
      </c>
      <c r="F16" s="81"/>
      <c r="G16" s="82">
        <f t="shared" si="7"/>
        <v>11389.58</v>
      </c>
      <c r="H16" s="33">
        <f t="shared" si="8"/>
        <v>11389.58</v>
      </c>
      <c r="I16" s="2697"/>
      <c r="J16" s="2697"/>
      <c r="K16" s="2697"/>
      <c r="L16" s="2697"/>
      <c r="M16" s="2697">
        <f t="shared" ref="M16:M21" si="34">B16</f>
        <v>11389.58</v>
      </c>
      <c r="N16" s="83"/>
      <c r="O16" s="83"/>
      <c r="P16" s="83"/>
      <c r="Q16" s="83"/>
      <c r="R16" s="83"/>
      <c r="S16" s="83"/>
      <c r="T16" s="83"/>
      <c r="U16" s="83"/>
      <c r="V16" s="83"/>
      <c r="W16" s="83"/>
      <c r="X16" s="83"/>
      <c r="Y16" s="83"/>
      <c r="Z16" s="83"/>
      <c r="AA16" s="83"/>
      <c r="AB16" s="83"/>
      <c r="AC16" s="27">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t="str">
        <f t="shared" si="10"/>
        <v>顺交通达汽车网驾驶员培训中心</v>
      </c>
      <c r="AW16" s="17">
        <f t="shared" si="10"/>
        <v>11389.58</v>
      </c>
      <c r="AX16" s="17">
        <f t="shared" si="10"/>
        <v>0</v>
      </c>
      <c r="AY16" s="966">
        <f t="shared" si="11"/>
        <v>11389.58</v>
      </c>
      <c r="AZ16" s="27">
        <f t="shared" si="12"/>
        <v>11389.58</v>
      </c>
      <c r="BA16" s="27">
        <f t="shared" si="13"/>
        <v>11389.58</v>
      </c>
      <c r="BB16" s="27">
        <f t="shared" si="14"/>
        <v>0</v>
      </c>
      <c r="BC16" s="27">
        <f t="shared" si="15"/>
        <v>0</v>
      </c>
      <c r="BD16" s="27">
        <f t="shared" si="16"/>
        <v>11389.58</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527" t="s">
        <v>3300</v>
      </c>
      <c r="B17" s="3528">
        <v>6520</v>
      </c>
      <c r="C17" s="2695"/>
      <c r="D17" s="2694" t="s">
        <v>1651</v>
      </c>
      <c r="E17" s="27">
        <f t="shared" si="6"/>
        <v>6520</v>
      </c>
      <c r="F17" s="81"/>
      <c r="G17" s="82">
        <f t="shared" si="7"/>
        <v>6520</v>
      </c>
      <c r="H17" s="33">
        <f t="shared" si="8"/>
        <v>6520</v>
      </c>
      <c r="I17" s="2697">
        <f>B17</f>
        <v>6520</v>
      </c>
      <c r="J17" s="2697"/>
      <c r="K17" s="2697"/>
      <c r="L17" s="2697"/>
      <c r="M17" s="2697"/>
      <c r="N17" s="83"/>
      <c r="O17" s="83"/>
      <c r="P17" s="83"/>
      <c r="Q17" s="83"/>
      <c r="R17" s="83"/>
      <c r="S17" s="83"/>
      <c r="T17" s="83"/>
      <c r="U17" s="83"/>
      <c r="V17" s="83"/>
      <c r="W17" s="83"/>
      <c r="X17" s="83"/>
      <c r="Y17" s="83"/>
      <c r="Z17" s="83"/>
      <c r="AA17" s="83"/>
      <c r="AB17" s="83"/>
      <c r="AC17" s="27">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t="str">
        <f t="shared" si="10"/>
        <v>北京通达实业总公司</v>
      </c>
      <c r="AW17" s="17">
        <f t="shared" si="10"/>
        <v>6520</v>
      </c>
      <c r="AX17" s="17">
        <f t="shared" si="10"/>
        <v>0</v>
      </c>
      <c r="AY17" s="966">
        <f t="shared" si="11"/>
        <v>6520</v>
      </c>
      <c r="AZ17" s="27">
        <f t="shared" si="12"/>
        <v>6520</v>
      </c>
      <c r="BA17" s="27">
        <f t="shared" si="13"/>
        <v>6520</v>
      </c>
      <c r="BB17" s="27">
        <f t="shared" si="14"/>
        <v>6520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42.75">
      <c r="A18" s="3527" t="s">
        <v>3300</v>
      </c>
      <c r="B18" s="3529">
        <v>6520</v>
      </c>
      <c r="C18" s="85"/>
      <c r="D18" s="2696" t="s">
        <v>1651</v>
      </c>
      <c r="E18" s="87">
        <f t="shared" si="6"/>
        <v>6520</v>
      </c>
      <c r="F18" s="88"/>
      <c r="G18" s="89">
        <f t="shared" si="7"/>
        <v>6520</v>
      </c>
      <c r="H18" s="90">
        <f t="shared" si="8"/>
        <v>6520</v>
      </c>
      <c r="I18" s="1317"/>
      <c r="J18" s="91"/>
      <c r="K18" s="2697">
        <f t="shared" si="33"/>
        <v>6520</v>
      </c>
      <c r="L18" s="91"/>
      <c r="M18" s="2697"/>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t="str">
        <f t="shared" si="10"/>
        <v>北京通达实业总公司</v>
      </c>
      <c r="AW18" s="962">
        <f t="shared" si="10"/>
        <v>6520</v>
      </c>
      <c r="AX18" s="962">
        <f t="shared" si="10"/>
        <v>0</v>
      </c>
      <c r="AY18" s="95">
        <f t="shared" si="11"/>
        <v>6520</v>
      </c>
      <c r="AZ18" s="87">
        <f t="shared" si="12"/>
        <v>6520</v>
      </c>
      <c r="BA18" s="87">
        <f t="shared" si="13"/>
        <v>6520</v>
      </c>
      <c r="BB18" s="87">
        <f t="shared" si="14"/>
        <v>0</v>
      </c>
      <c r="BC18" s="87">
        <f t="shared" si="15"/>
        <v>6520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42.75">
      <c r="A19" s="3527" t="s">
        <v>3300</v>
      </c>
      <c r="B19" s="3530">
        <v>6114</v>
      </c>
      <c r="C19" s="1317"/>
      <c r="D19" s="80" t="s">
        <v>1651</v>
      </c>
      <c r="E19" s="87">
        <f t="shared" si="6"/>
        <v>6114</v>
      </c>
      <c r="F19" s="88"/>
      <c r="G19" s="89">
        <f t="shared" si="7"/>
        <v>6114</v>
      </c>
      <c r="H19" s="90">
        <f t="shared" si="8"/>
        <v>6114</v>
      </c>
      <c r="I19" s="1317"/>
      <c r="J19" s="91"/>
      <c r="K19" s="2697">
        <f t="shared" si="33"/>
        <v>6114</v>
      </c>
      <c r="L19" s="91"/>
      <c r="M19" s="2697"/>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t="str">
        <f t="shared" si="10"/>
        <v>北京通达实业总公司</v>
      </c>
      <c r="AW19" s="962">
        <f t="shared" si="10"/>
        <v>6114</v>
      </c>
      <c r="AX19" s="962">
        <f t="shared" si="10"/>
        <v>0</v>
      </c>
      <c r="AY19" s="95">
        <f t="shared" si="11"/>
        <v>6114</v>
      </c>
      <c r="AZ19" s="87">
        <f t="shared" si="12"/>
        <v>6114</v>
      </c>
      <c r="BA19" s="87">
        <f t="shared" si="13"/>
        <v>6114</v>
      </c>
      <c r="BB19" s="87">
        <f t="shared" si="14"/>
        <v>0</v>
      </c>
      <c r="BC19" s="87">
        <f t="shared" si="15"/>
        <v>6114</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42.75">
      <c r="A20" s="3527" t="s">
        <v>3300</v>
      </c>
      <c r="B20" s="3530">
        <v>6520</v>
      </c>
      <c r="C20" s="1317"/>
      <c r="D20" s="80" t="s">
        <v>1651</v>
      </c>
      <c r="E20" s="87">
        <f t="shared" si="6"/>
        <v>6520</v>
      </c>
      <c r="F20" s="88"/>
      <c r="G20" s="89">
        <f t="shared" si="7"/>
        <v>6520</v>
      </c>
      <c r="H20" s="90">
        <f t="shared" si="8"/>
        <v>6520</v>
      </c>
      <c r="I20" s="1317"/>
      <c r="J20" s="91"/>
      <c r="K20" s="2697">
        <f t="shared" si="33"/>
        <v>6520</v>
      </c>
      <c r="L20" s="91"/>
      <c r="M20" s="2697"/>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t="str">
        <f t="shared" si="10"/>
        <v>北京通达实业总公司</v>
      </c>
      <c r="AW20" s="962">
        <f t="shared" si="10"/>
        <v>6520</v>
      </c>
      <c r="AX20" s="962">
        <f t="shared" si="10"/>
        <v>0</v>
      </c>
      <c r="AY20" s="95">
        <f t="shared" si="11"/>
        <v>6520</v>
      </c>
      <c r="AZ20" s="87">
        <f t="shared" si="12"/>
        <v>6520</v>
      </c>
      <c r="BA20" s="87">
        <f t="shared" si="13"/>
        <v>6520</v>
      </c>
      <c r="BB20" s="87">
        <f t="shared" si="14"/>
        <v>0</v>
      </c>
      <c r="BC20" s="87">
        <f t="shared" si="15"/>
        <v>6520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5">IF($C$3="是",ROUND($A$3*G21/$B$3,2),ROUND($A$3*(G21-AT21)/$B$3,2))</f>
        <v>0</v>
      </c>
      <c r="F21" s="88"/>
      <c r="G21" s="89">
        <f t="shared" ref="G21:G109" si="36">H21+AC21+AT21</f>
        <v>0</v>
      </c>
      <c r="H21" s="90">
        <f t="shared" ref="H21:H109" si="37">SUMIF(I$12:AB$12,"总值",I21:AB21)</f>
        <v>0</v>
      </c>
      <c r="I21" s="1319"/>
      <c r="J21" s="91"/>
      <c r="K21" s="2697">
        <f t="shared" si="33"/>
        <v>0</v>
      </c>
      <c r="L21" s="91"/>
      <c r="M21" s="2697">
        <f t="shared" si="34"/>
        <v>0</v>
      </c>
      <c r="N21" s="91"/>
      <c r="O21" s="91"/>
      <c r="P21" s="91"/>
      <c r="Q21" s="91"/>
      <c r="R21" s="91"/>
      <c r="S21" s="91"/>
      <c r="T21" s="91"/>
      <c r="U21" s="91"/>
      <c r="V21" s="91"/>
      <c r="W21" s="91"/>
      <c r="X21" s="91"/>
      <c r="Y21" s="91"/>
      <c r="Z21" s="91"/>
      <c r="AA21" s="91"/>
      <c r="AB21" s="91"/>
      <c r="AC21" s="87">
        <f t="shared" ref="AC21:AC109" si="38">SUMIF(AD$12:AS$12,"总值",AD21:AS21)</f>
        <v>0</v>
      </c>
      <c r="AD21" s="92"/>
      <c r="AE21" s="92"/>
      <c r="AF21" s="1320"/>
      <c r="AG21" s="92"/>
      <c r="AH21" s="92"/>
      <c r="AI21" s="92"/>
      <c r="AJ21" s="92"/>
      <c r="AK21" s="92"/>
      <c r="AL21" s="92"/>
      <c r="AM21" s="92"/>
      <c r="AN21" s="1291"/>
      <c r="AO21" s="92"/>
      <c r="AP21" s="92"/>
      <c r="AQ21" s="92"/>
      <c r="AR21" s="92"/>
      <c r="AS21" s="92"/>
      <c r="AT21" s="93"/>
      <c r="AU21" s="94"/>
      <c r="AV21" s="1863">
        <f t="shared" ref="AV21:AV112" si="39">A21</f>
        <v>0</v>
      </c>
      <c r="AW21" s="1863">
        <f t="shared" ref="AW21:AW112" si="40">B21</f>
        <v>0</v>
      </c>
      <c r="AX21" s="1863">
        <f t="shared" ref="AX21:AX112" si="41">C21</f>
        <v>0</v>
      </c>
      <c r="AY21" s="95">
        <f t="shared" ref="AY21:AY109" si="42">ROUND($AY$6*AZ21/$AZ$5,2)</f>
        <v>0</v>
      </c>
      <c r="AZ21" s="87">
        <f t="shared" ref="AZ21:AZ109" si="43">BA21+BL21</f>
        <v>0</v>
      </c>
      <c r="BA21" s="87">
        <f t="shared" ref="BA21:BA109" si="44">SUM(BB21:BK21)</f>
        <v>0</v>
      </c>
      <c r="BB21" s="87">
        <f t="shared" ref="BB21:BB109" si="45">IF($D21="是",I21-J21,0)</f>
        <v>0</v>
      </c>
      <c r="BC21" s="87">
        <f t="shared" ref="BC21:BC109" si="46">IF($D21="是",K21-L21,0)</f>
        <v>0</v>
      </c>
      <c r="BD21" s="87">
        <f t="shared" ref="BD21:BD109" si="47">IF($D21="是",M21-N21,0)</f>
        <v>0</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0</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0</v>
      </c>
      <c r="BR21" s="87">
        <f t="shared" ref="BR21:BR109" si="61">IF($D21="是",AN21-AO21,0)</f>
        <v>0</v>
      </c>
      <c r="BS21" s="87">
        <f t="shared" ref="BS21:BS109" si="62">IF($D21="是",AP21-AQ21,0)</f>
        <v>0</v>
      </c>
      <c r="BT21" s="96">
        <f t="shared" ref="BT21:BT109" si="63">IF($D21="是",AR21-AS21,0)</f>
        <v>0</v>
      </c>
    </row>
    <row r="22" spans="1:72">
      <c r="A22" s="84"/>
      <c r="B22" s="1316"/>
      <c r="C22" s="1317"/>
      <c r="D22" s="80"/>
      <c r="E22" s="87">
        <f t="shared" si="35"/>
        <v>0</v>
      </c>
      <c r="F22" s="88"/>
      <c r="G22" s="89">
        <f t="shared" si="36"/>
        <v>0</v>
      </c>
      <c r="H22" s="90">
        <f t="shared" si="37"/>
        <v>0</v>
      </c>
      <c r="I22" s="1319"/>
      <c r="J22" s="91"/>
      <c r="K22" s="2697">
        <f t="shared" si="33"/>
        <v>0</v>
      </c>
      <c r="L22" s="91"/>
      <c r="M22" s="1291"/>
      <c r="N22" s="91"/>
      <c r="O22" s="91"/>
      <c r="P22" s="91"/>
      <c r="Q22" s="91"/>
      <c r="R22" s="91"/>
      <c r="S22" s="91"/>
      <c r="T22" s="91"/>
      <c r="U22" s="91"/>
      <c r="V22" s="91"/>
      <c r="W22" s="91"/>
      <c r="X22" s="91"/>
      <c r="Y22" s="91"/>
      <c r="Z22" s="91"/>
      <c r="AA22" s="91"/>
      <c r="AB22" s="91"/>
      <c r="AC22" s="87">
        <f t="shared" si="38"/>
        <v>0</v>
      </c>
      <c r="AD22" s="1291"/>
      <c r="AE22" s="92"/>
      <c r="AF22" s="1320"/>
      <c r="AG22" s="92"/>
      <c r="AH22" s="92"/>
      <c r="AI22" s="92"/>
      <c r="AJ22" s="92"/>
      <c r="AK22" s="92"/>
      <c r="AL22" s="1291"/>
      <c r="AM22" s="92"/>
      <c r="AN22" s="1291"/>
      <c r="AO22" s="92"/>
      <c r="AP22" s="92"/>
      <c r="AQ22" s="92"/>
      <c r="AR22" s="92"/>
      <c r="AS22" s="92"/>
      <c r="AT22" s="93"/>
      <c r="AU22" s="94"/>
      <c r="AV22" s="1863">
        <f t="shared" si="39"/>
        <v>0</v>
      </c>
      <c r="AW22" s="1863">
        <f t="shared" si="40"/>
        <v>0</v>
      </c>
      <c r="AX22" s="1863">
        <f t="shared" si="41"/>
        <v>0</v>
      </c>
      <c r="AY22" s="95">
        <f t="shared" si="42"/>
        <v>0</v>
      </c>
      <c r="AZ22" s="87">
        <f t="shared" si="43"/>
        <v>0</v>
      </c>
      <c r="BA22" s="87">
        <f t="shared" si="44"/>
        <v>0</v>
      </c>
      <c r="BB22" s="87">
        <f t="shared" si="45"/>
        <v>0</v>
      </c>
      <c r="BC22" s="87">
        <f t="shared" si="46"/>
        <v>0</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16"/>
      <c r="C23" s="1317"/>
      <c r="D23" s="80"/>
      <c r="E23" s="87">
        <f t="shared" si="35"/>
        <v>0</v>
      </c>
      <c r="F23" s="88"/>
      <c r="G23" s="89">
        <f t="shared" si="36"/>
        <v>0</v>
      </c>
      <c r="H23" s="90">
        <f t="shared" si="37"/>
        <v>0</v>
      </c>
      <c r="I23" s="1319"/>
      <c r="J23" s="91"/>
      <c r="K23" s="2697">
        <f t="shared" si="33"/>
        <v>0</v>
      </c>
      <c r="L23" s="91"/>
      <c r="M23" s="1291"/>
      <c r="N23" s="91"/>
      <c r="O23" s="91"/>
      <c r="P23" s="91"/>
      <c r="Q23" s="91"/>
      <c r="R23" s="91"/>
      <c r="S23" s="91"/>
      <c r="T23" s="91"/>
      <c r="U23" s="91"/>
      <c r="V23" s="91"/>
      <c r="W23" s="91"/>
      <c r="X23" s="91"/>
      <c r="Y23" s="91"/>
      <c r="Z23" s="91"/>
      <c r="AA23" s="91"/>
      <c r="AB23" s="91"/>
      <c r="AC23" s="87">
        <f t="shared" si="38"/>
        <v>0</v>
      </c>
      <c r="AD23" s="92"/>
      <c r="AE23" s="92"/>
      <c r="AF23" s="1320"/>
      <c r="AG23" s="92"/>
      <c r="AH23" s="92"/>
      <c r="AI23" s="92"/>
      <c r="AJ23" s="92"/>
      <c r="AK23" s="92"/>
      <c r="AL23" s="1291"/>
      <c r="AM23" s="92"/>
      <c r="AN23" s="1291"/>
      <c r="AO23" s="92"/>
      <c r="AP23" s="92"/>
      <c r="AQ23" s="92"/>
      <c r="AR23" s="92"/>
      <c r="AS23" s="92"/>
      <c r="AT23" s="93"/>
      <c r="AU23" s="94"/>
      <c r="AV23" s="1863">
        <f t="shared" si="39"/>
        <v>0</v>
      </c>
      <c r="AW23" s="1863">
        <f t="shared" si="40"/>
        <v>0</v>
      </c>
      <c r="AX23" s="1863">
        <f t="shared" si="41"/>
        <v>0</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16"/>
      <c r="C24" s="1317"/>
      <c r="D24" s="80"/>
      <c r="E24" s="87">
        <f t="shared" si="35"/>
        <v>0</v>
      </c>
      <c r="F24" s="88"/>
      <c r="G24" s="89">
        <f t="shared" si="36"/>
        <v>0</v>
      </c>
      <c r="H24" s="90">
        <f t="shared" si="37"/>
        <v>0</v>
      </c>
      <c r="I24" s="1319"/>
      <c r="J24" s="91"/>
      <c r="K24" s="2697">
        <f t="shared" si="33"/>
        <v>0</v>
      </c>
      <c r="L24" s="91"/>
      <c r="M24" s="91"/>
      <c r="N24" s="91"/>
      <c r="O24" s="1291"/>
      <c r="P24" s="91"/>
      <c r="Q24" s="91"/>
      <c r="R24" s="91"/>
      <c r="S24" s="91"/>
      <c r="T24" s="91"/>
      <c r="U24" s="91"/>
      <c r="V24" s="91"/>
      <c r="W24" s="91"/>
      <c r="X24" s="91"/>
      <c r="Y24" s="91"/>
      <c r="Z24" s="91"/>
      <c r="AA24" s="91"/>
      <c r="AB24" s="91"/>
      <c r="AC24" s="87">
        <f t="shared" si="38"/>
        <v>0</v>
      </c>
      <c r="AD24" s="92"/>
      <c r="AE24" s="92"/>
      <c r="AF24" s="1320"/>
      <c r="AG24" s="92"/>
      <c r="AH24" s="92"/>
      <c r="AI24" s="92"/>
      <c r="AJ24" s="92"/>
      <c r="AK24" s="92"/>
      <c r="AL24" s="92"/>
      <c r="AM24" s="92"/>
      <c r="AN24" s="1291"/>
      <c r="AO24" s="92"/>
      <c r="AP24" s="92"/>
      <c r="AQ24" s="92"/>
      <c r="AR24" s="92"/>
      <c r="AS24" s="92"/>
      <c r="AT24" s="93"/>
      <c r="AU24" s="94"/>
      <c r="AV24" s="1863">
        <f t="shared" si="39"/>
        <v>0</v>
      </c>
      <c r="AW24" s="1863">
        <f t="shared" si="40"/>
        <v>0</v>
      </c>
      <c r="AX24" s="1863">
        <f t="shared" si="41"/>
        <v>0</v>
      </c>
      <c r="AY24" s="95">
        <f t="shared" si="42"/>
        <v>0</v>
      </c>
      <c r="AZ24" s="87">
        <f t="shared" si="43"/>
        <v>0</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0</v>
      </c>
      <c r="BM24" s="87">
        <f t="shared" si="56"/>
        <v>0</v>
      </c>
      <c r="BN24" s="87">
        <f t="shared" si="57"/>
        <v>0</v>
      </c>
      <c r="BO24" s="87">
        <f t="shared" si="58"/>
        <v>0</v>
      </c>
      <c r="BP24" s="87">
        <f t="shared" si="59"/>
        <v>0</v>
      </c>
      <c r="BQ24" s="87">
        <f t="shared" si="60"/>
        <v>0</v>
      </c>
      <c r="BR24" s="87">
        <f t="shared" si="61"/>
        <v>0</v>
      </c>
      <c r="BS24" s="87">
        <f t="shared" si="62"/>
        <v>0</v>
      </c>
      <c r="BT24" s="96">
        <f t="shared" si="63"/>
        <v>0</v>
      </c>
    </row>
    <row r="25" spans="1:72">
      <c r="A25" s="84"/>
      <c r="B25" s="1316"/>
      <c r="C25" s="1317"/>
      <c r="D25" s="80"/>
      <c r="E25" s="87">
        <f t="shared" si="35"/>
        <v>0</v>
      </c>
      <c r="F25" s="88"/>
      <c r="G25" s="89">
        <f t="shared" si="36"/>
        <v>0</v>
      </c>
      <c r="H25" s="90">
        <f t="shared" si="37"/>
        <v>0</v>
      </c>
      <c r="I25" s="1319"/>
      <c r="J25" s="91"/>
      <c r="K25" s="2697">
        <f t="shared" si="33"/>
        <v>0</v>
      </c>
      <c r="L25" s="91"/>
      <c r="M25" s="91"/>
      <c r="N25" s="91"/>
      <c r="O25" s="91"/>
      <c r="P25" s="91"/>
      <c r="Q25" s="91"/>
      <c r="R25" s="91"/>
      <c r="S25" s="91"/>
      <c r="T25" s="91"/>
      <c r="U25" s="91"/>
      <c r="V25" s="91"/>
      <c r="W25" s="91"/>
      <c r="X25" s="91"/>
      <c r="Y25" s="91"/>
      <c r="Z25" s="91"/>
      <c r="AA25" s="91"/>
      <c r="AB25" s="91"/>
      <c r="AC25" s="87">
        <f t="shared" si="38"/>
        <v>0</v>
      </c>
      <c r="AD25" s="92"/>
      <c r="AE25" s="92"/>
      <c r="AF25" s="1320"/>
      <c r="AG25" s="92"/>
      <c r="AH25" s="92"/>
      <c r="AI25" s="92"/>
      <c r="AJ25" s="92"/>
      <c r="AK25" s="92"/>
      <c r="AL25" s="92"/>
      <c r="AM25" s="92"/>
      <c r="AN25" s="92"/>
      <c r="AO25" s="92"/>
      <c r="AP25" s="92"/>
      <c r="AQ25" s="92"/>
      <c r="AR25" s="92"/>
      <c r="AS25" s="92"/>
      <c r="AT25" s="93"/>
      <c r="AU25" s="94"/>
      <c r="AV25" s="1863">
        <f t="shared" si="39"/>
        <v>0</v>
      </c>
      <c r="AW25" s="1863">
        <f t="shared" si="40"/>
        <v>0</v>
      </c>
      <c r="AX25" s="1863">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16"/>
      <c r="C26" s="1317"/>
      <c r="D26" s="80"/>
      <c r="E26" s="87">
        <f t="shared" si="35"/>
        <v>0</v>
      </c>
      <c r="F26" s="88"/>
      <c r="G26" s="89">
        <f t="shared" si="36"/>
        <v>0</v>
      </c>
      <c r="H26" s="90">
        <f t="shared" si="37"/>
        <v>0</v>
      </c>
      <c r="I26" s="1319"/>
      <c r="J26" s="91"/>
      <c r="K26" s="2697">
        <f t="shared" si="33"/>
        <v>0</v>
      </c>
      <c r="L26" s="91"/>
      <c r="M26" s="91"/>
      <c r="N26" s="91"/>
      <c r="O26" s="91"/>
      <c r="P26" s="91"/>
      <c r="Q26" s="91"/>
      <c r="R26" s="91"/>
      <c r="S26" s="91"/>
      <c r="T26" s="91"/>
      <c r="U26" s="91"/>
      <c r="V26" s="91"/>
      <c r="W26" s="91"/>
      <c r="X26" s="91"/>
      <c r="Y26" s="91"/>
      <c r="Z26" s="91"/>
      <c r="AA26" s="91"/>
      <c r="AB26" s="91"/>
      <c r="AC26" s="87">
        <f t="shared" si="38"/>
        <v>0</v>
      </c>
      <c r="AD26" s="92"/>
      <c r="AE26" s="92"/>
      <c r="AF26" s="1320"/>
      <c r="AG26" s="92"/>
      <c r="AH26" s="92"/>
      <c r="AI26" s="92"/>
      <c r="AJ26" s="92"/>
      <c r="AK26" s="92"/>
      <c r="AL26" s="92"/>
      <c r="AM26" s="92"/>
      <c r="AN26" s="92"/>
      <c r="AO26" s="92"/>
      <c r="AP26" s="92"/>
      <c r="AQ26" s="92"/>
      <c r="AR26" s="92"/>
      <c r="AS26" s="92"/>
      <c r="AT26" s="93"/>
      <c r="AU26" s="94"/>
      <c r="AV26" s="1863">
        <f t="shared" si="39"/>
        <v>0</v>
      </c>
      <c r="AW26" s="1863">
        <f t="shared" si="40"/>
        <v>0</v>
      </c>
      <c r="AX26" s="1863">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16"/>
      <c r="C27" s="1317"/>
      <c r="D27" s="80"/>
      <c r="E27" s="87">
        <f t="shared" si="35"/>
        <v>0</v>
      </c>
      <c r="F27" s="88"/>
      <c r="G27" s="89">
        <f t="shared" si="36"/>
        <v>0</v>
      </c>
      <c r="H27" s="90">
        <f t="shared" si="37"/>
        <v>0</v>
      </c>
      <c r="I27" s="1319"/>
      <c r="J27" s="91"/>
      <c r="K27" s="2697">
        <f t="shared" si="33"/>
        <v>0</v>
      </c>
      <c r="L27" s="91"/>
      <c r="M27" s="91"/>
      <c r="N27" s="91"/>
      <c r="O27" s="91"/>
      <c r="P27" s="91"/>
      <c r="Q27" s="91"/>
      <c r="R27" s="91"/>
      <c r="S27" s="91"/>
      <c r="T27" s="91"/>
      <c r="U27" s="91"/>
      <c r="V27" s="91"/>
      <c r="W27" s="91"/>
      <c r="X27" s="91"/>
      <c r="Y27" s="91"/>
      <c r="Z27" s="91"/>
      <c r="AA27" s="91"/>
      <c r="AB27" s="91"/>
      <c r="AC27" s="87">
        <f t="shared" si="38"/>
        <v>0</v>
      </c>
      <c r="AD27" s="92"/>
      <c r="AE27" s="92"/>
      <c r="AF27" s="1320"/>
      <c r="AG27" s="92"/>
      <c r="AH27" s="92"/>
      <c r="AI27" s="92"/>
      <c r="AJ27" s="92"/>
      <c r="AK27" s="92"/>
      <c r="AL27" s="92"/>
      <c r="AM27" s="92"/>
      <c r="AN27" s="92"/>
      <c r="AO27" s="92"/>
      <c r="AP27" s="92"/>
      <c r="AQ27" s="92"/>
      <c r="AR27" s="92"/>
      <c r="AS27" s="92"/>
      <c r="AT27" s="93"/>
      <c r="AU27" s="94"/>
      <c r="AV27" s="1863">
        <f t="shared" si="39"/>
        <v>0</v>
      </c>
      <c r="AW27" s="1863">
        <f t="shared" si="40"/>
        <v>0</v>
      </c>
      <c r="AX27" s="1863">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16"/>
      <c r="C28" s="1317"/>
      <c r="D28" s="80"/>
      <c r="E28" s="87">
        <f t="shared" si="35"/>
        <v>0</v>
      </c>
      <c r="F28" s="88"/>
      <c r="G28" s="89">
        <f t="shared" si="36"/>
        <v>0</v>
      </c>
      <c r="H28" s="90">
        <f t="shared" si="37"/>
        <v>0</v>
      </c>
      <c r="I28" s="1319"/>
      <c r="J28" s="91"/>
      <c r="K28" s="2697">
        <f t="shared" si="33"/>
        <v>0</v>
      </c>
      <c r="L28" s="91"/>
      <c r="M28" s="91"/>
      <c r="N28" s="91"/>
      <c r="O28" s="91"/>
      <c r="P28" s="91"/>
      <c r="Q28" s="91"/>
      <c r="R28" s="91"/>
      <c r="S28" s="91"/>
      <c r="T28" s="91"/>
      <c r="U28" s="91"/>
      <c r="V28" s="91"/>
      <c r="W28" s="91"/>
      <c r="X28" s="91"/>
      <c r="Y28" s="91"/>
      <c r="Z28" s="91"/>
      <c r="AA28" s="91"/>
      <c r="AB28" s="91"/>
      <c r="AC28" s="87">
        <f t="shared" si="38"/>
        <v>0</v>
      </c>
      <c r="AD28" s="92"/>
      <c r="AE28" s="92"/>
      <c r="AF28" s="1319"/>
      <c r="AG28" s="92"/>
      <c r="AH28" s="92"/>
      <c r="AI28" s="92"/>
      <c r="AJ28" s="92"/>
      <c r="AK28" s="92"/>
      <c r="AL28" s="92"/>
      <c r="AM28" s="92"/>
      <c r="AN28" s="92"/>
      <c r="AO28" s="92"/>
      <c r="AP28" s="92"/>
      <c r="AQ28" s="92"/>
      <c r="AR28" s="92"/>
      <c r="AS28" s="92"/>
      <c r="AT28" s="93"/>
      <c r="AU28" s="94"/>
      <c r="AV28" s="1863">
        <f t="shared" si="39"/>
        <v>0</v>
      </c>
      <c r="AW28" s="1863">
        <f t="shared" si="40"/>
        <v>0</v>
      </c>
      <c r="AX28" s="1863">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18"/>
      <c r="C29" s="1319"/>
      <c r="D29" s="80"/>
      <c r="E29" s="87">
        <f t="shared" si="35"/>
        <v>0</v>
      </c>
      <c r="F29" s="88"/>
      <c r="G29" s="89">
        <f t="shared" si="36"/>
        <v>0</v>
      </c>
      <c r="H29" s="90">
        <f t="shared" si="37"/>
        <v>0</v>
      </c>
      <c r="I29" s="1319"/>
      <c r="J29" s="91"/>
      <c r="K29" s="2697">
        <f t="shared" si="33"/>
        <v>0</v>
      </c>
      <c r="L29" s="91"/>
      <c r="M29" s="91"/>
      <c r="N29" s="91"/>
      <c r="O29" s="91"/>
      <c r="P29" s="91"/>
      <c r="Q29" s="91"/>
      <c r="R29" s="91"/>
      <c r="S29" s="91"/>
      <c r="T29" s="91"/>
      <c r="U29" s="91"/>
      <c r="V29" s="91"/>
      <c r="W29" s="91"/>
      <c r="X29" s="91"/>
      <c r="Y29" s="91"/>
      <c r="Z29" s="91"/>
      <c r="AA29" s="91"/>
      <c r="AB29" s="91"/>
      <c r="AC29" s="87">
        <f t="shared" si="38"/>
        <v>0</v>
      </c>
      <c r="AD29" s="92"/>
      <c r="AE29" s="92"/>
      <c r="AF29" s="1319"/>
      <c r="AG29" s="92"/>
      <c r="AH29" s="92"/>
      <c r="AI29" s="92"/>
      <c r="AJ29" s="92"/>
      <c r="AK29" s="92"/>
      <c r="AL29" s="92"/>
      <c r="AM29" s="92"/>
      <c r="AN29" s="92"/>
      <c r="AO29" s="92"/>
      <c r="AP29" s="92"/>
      <c r="AQ29" s="92"/>
      <c r="AR29" s="92"/>
      <c r="AS29" s="92"/>
      <c r="AT29" s="93"/>
      <c r="AU29" s="94"/>
      <c r="AV29" s="1863">
        <f t="shared" si="39"/>
        <v>0</v>
      </c>
      <c r="AW29" s="1863">
        <f t="shared" si="40"/>
        <v>0</v>
      </c>
      <c r="AX29" s="1863">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16"/>
      <c r="C30" s="1317"/>
      <c r="D30" s="80"/>
      <c r="E30" s="87">
        <f t="shared" si="35"/>
        <v>0</v>
      </c>
      <c r="F30" s="88"/>
      <c r="G30" s="89">
        <f t="shared" si="36"/>
        <v>0</v>
      </c>
      <c r="H30" s="90">
        <f t="shared" si="37"/>
        <v>0</v>
      </c>
      <c r="I30" s="1319"/>
      <c r="J30" s="91"/>
      <c r="K30" s="2697">
        <f t="shared" si="33"/>
        <v>0</v>
      </c>
      <c r="L30" s="91"/>
      <c r="M30" s="91"/>
      <c r="N30" s="91"/>
      <c r="O30" s="91"/>
      <c r="P30" s="91"/>
      <c r="Q30" s="91"/>
      <c r="R30" s="91"/>
      <c r="S30" s="91"/>
      <c r="T30" s="91"/>
      <c r="U30" s="91"/>
      <c r="V30" s="91"/>
      <c r="W30" s="91"/>
      <c r="X30" s="91"/>
      <c r="Y30" s="91"/>
      <c r="Z30" s="91"/>
      <c r="AA30" s="91"/>
      <c r="AB30" s="91"/>
      <c r="AC30" s="87">
        <f t="shared" si="38"/>
        <v>0</v>
      </c>
      <c r="AD30" s="92"/>
      <c r="AE30" s="92"/>
      <c r="AF30" s="1319"/>
      <c r="AG30" s="92"/>
      <c r="AH30" s="92"/>
      <c r="AI30" s="92"/>
      <c r="AJ30" s="92"/>
      <c r="AK30" s="92"/>
      <c r="AL30" s="92"/>
      <c r="AM30" s="92"/>
      <c r="AN30" s="92"/>
      <c r="AO30" s="92"/>
      <c r="AP30" s="92"/>
      <c r="AQ30" s="92"/>
      <c r="AR30" s="92"/>
      <c r="AS30" s="92"/>
      <c r="AT30" s="93"/>
      <c r="AU30" s="94"/>
      <c r="AV30" s="1863">
        <f t="shared" si="39"/>
        <v>0</v>
      </c>
      <c r="AW30" s="1863">
        <f t="shared" si="40"/>
        <v>0</v>
      </c>
      <c r="AX30" s="1863">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16"/>
      <c r="C31" s="1317"/>
      <c r="D31" s="80"/>
      <c r="E31" s="87">
        <f t="shared" si="35"/>
        <v>0</v>
      </c>
      <c r="F31" s="88"/>
      <c r="G31" s="89">
        <f t="shared" si="36"/>
        <v>0</v>
      </c>
      <c r="H31" s="90">
        <f t="shared" si="37"/>
        <v>0</v>
      </c>
      <c r="I31" s="1319"/>
      <c r="J31" s="91"/>
      <c r="K31" s="2697">
        <f t="shared" si="33"/>
        <v>0</v>
      </c>
      <c r="L31" s="91"/>
      <c r="M31" s="91"/>
      <c r="N31" s="91"/>
      <c r="O31" s="91"/>
      <c r="P31" s="91"/>
      <c r="Q31" s="91"/>
      <c r="R31" s="91"/>
      <c r="S31" s="91"/>
      <c r="T31" s="91"/>
      <c r="U31" s="91"/>
      <c r="V31" s="91"/>
      <c r="W31" s="91"/>
      <c r="X31" s="91"/>
      <c r="Y31" s="91"/>
      <c r="Z31" s="91"/>
      <c r="AA31" s="91"/>
      <c r="AB31" s="91"/>
      <c r="AC31" s="87">
        <f t="shared" si="38"/>
        <v>0</v>
      </c>
      <c r="AD31" s="92"/>
      <c r="AE31" s="92"/>
      <c r="AF31" s="1319"/>
      <c r="AG31" s="92"/>
      <c r="AH31" s="92"/>
      <c r="AI31" s="92"/>
      <c r="AJ31" s="92"/>
      <c r="AK31" s="92"/>
      <c r="AL31" s="92"/>
      <c r="AM31" s="92"/>
      <c r="AN31" s="92"/>
      <c r="AO31" s="92"/>
      <c r="AP31" s="92"/>
      <c r="AQ31" s="92"/>
      <c r="AR31" s="92"/>
      <c r="AS31" s="92"/>
      <c r="AT31" s="93"/>
      <c r="AU31" s="94"/>
      <c r="AV31" s="1863">
        <f t="shared" si="39"/>
        <v>0</v>
      </c>
      <c r="AW31" s="1863">
        <f t="shared" si="40"/>
        <v>0</v>
      </c>
      <c r="AX31" s="1863">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16"/>
      <c r="C32" s="1317"/>
      <c r="D32" s="80"/>
      <c r="E32" s="87">
        <f t="shared" si="35"/>
        <v>0</v>
      </c>
      <c r="F32" s="88"/>
      <c r="G32" s="89">
        <f t="shared" si="36"/>
        <v>0</v>
      </c>
      <c r="H32" s="90">
        <f t="shared" si="37"/>
        <v>0</v>
      </c>
      <c r="I32" s="1319"/>
      <c r="J32" s="91"/>
      <c r="K32" s="2697">
        <f t="shared" si="33"/>
        <v>0</v>
      </c>
      <c r="L32" s="91"/>
      <c r="M32" s="91"/>
      <c r="N32" s="91"/>
      <c r="O32" s="91"/>
      <c r="P32" s="91"/>
      <c r="Q32" s="91"/>
      <c r="R32" s="91"/>
      <c r="S32" s="91"/>
      <c r="T32" s="91"/>
      <c r="U32" s="91"/>
      <c r="V32" s="91"/>
      <c r="W32" s="91"/>
      <c r="X32" s="91"/>
      <c r="Y32" s="91"/>
      <c r="Z32" s="91"/>
      <c r="AA32" s="91"/>
      <c r="AB32" s="91"/>
      <c r="AC32" s="87">
        <f t="shared" si="38"/>
        <v>0</v>
      </c>
      <c r="AD32" s="92"/>
      <c r="AE32" s="92"/>
      <c r="AF32" s="1319"/>
      <c r="AG32" s="92"/>
      <c r="AH32" s="92"/>
      <c r="AI32" s="92"/>
      <c r="AJ32" s="92"/>
      <c r="AK32" s="92"/>
      <c r="AL32" s="92"/>
      <c r="AM32" s="92"/>
      <c r="AN32" s="92"/>
      <c r="AO32" s="92"/>
      <c r="AP32" s="92"/>
      <c r="AQ32" s="92"/>
      <c r="AR32" s="92"/>
      <c r="AS32" s="92"/>
      <c r="AT32" s="93"/>
      <c r="AU32" s="94"/>
      <c r="AV32" s="1863">
        <f t="shared" si="39"/>
        <v>0</v>
      </c>
      <c r="AW32" s="1863">
        <f t="shared" si="40"/>
        <v>0</v>
      </c>
      <c r="AX32" s="1863">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16"/>
      <c r="C33" s="1317"/>
      <c r="D33" s="80"/>
      <c r="E33" s="87">
        <f t="shared" si="35"/>
        <v>0</v>
      </c>
      <c r="F33" s="88"/>
      <c r="G33" s="89">
        <f t="shared" si="36"/>
        <v>0</v>
      </c>
      <c r="H33" s="90">
        <f t="shared" si="37"/>
        <v>0</v>
      </c>
      <c r="I33" s="1319"/>
      <c r="J33" s="91"/>
      <c r="K33" s="2697">
        <f t="shared" si="33"/>
        <v>0</v>
      </c>
      <c r="L33" s="91"/>
      <c r="M33" s="91"/>
      <c r="N33" s="91"/>
      <c r="O33" s="91"/>
      <c r="P33" s="91"/>
      <c r="Q33" s="91"/>
      <c r="R33" s="91"/>
      <c r="S33" s="91"/>
      <c r="T33" s="91"/>
      <c r="U33" s="91"/>
      <c r="V33" s="91"/>
      <c r="W33" s="91"/>
      <c r="X33" s="91"/>
      <c r="Y33" s="91"/>
      <c r="Z33" s="91"/>
      <c r="AA33" s="91"/>
      <c r="AB33" s="91"/>
      <c r="AC33" s="87">
        <f t="shared" si="38"/>
        <v>0</v>
      </c>
      <c r="AD33" s="92"/>
      <c r="AE33" s="92"/>
      <c r="AF33" s="1319"/>
      <c r="AG33" s="92"/>
      <c r="AH33" s="92"/>
      <c r="AI33" s="92"/>
      <c r="AJ33" s="92"/>
      <c r="AK33" s="92"/>
      <c r="AL33" s="92"/>
      <c r="AM33" s="92"/>
      <c r="AN33" s="92"/>
      <c r="AO33" s="92"/>
      <c r="AP33" s="92"/>
      <c r="AQ33" s="92"/>
      <c r="AR33" s="92"/>
      <c r="AS33" s="92"/>
      <c r="AT33" s="93"/>
      <c r="AU33" s="94"/>
      <c r="AV33" s="1863">
        <f t="shared" si="39"/>
        <v>0</v>
      </c>
      <c r="AW33" s="1863">
        <f t="shared" si="40"/>
        <v>0</v>
      </c>
      <c r="AX33" s="1863">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16"/>
      <c r="C34" s="1317"/>
      <c r="D34" s="80"/>
      <c r="E34" s="87">
        <f t="shared" si="35"/>
        <v>0</v>
      </c>
      <c r="F34" s="88"/>
      <c r="G34" s="89">
        <f t="shared" si="36"/>
        <v>0</v>
      </c>
      <c r="H34" s="90">
        <f t="shared" si="37"/>
        <v>0</v>
      </c>
      <c r="I34" s="1319"/>
      <c r="J34" s="91"/>
      <c r="K34" s="2697">
        <f t="shared" si="33"/>
        <v>0</v>
      </c>
      <c r="L34" s="91"/>
      <c r="M34" s="91"/>
      <c r="N34" s="91"/>
      <c r="O34" s="91"/>
      <c r="P34" s="91"/>
      <c r="Q34" s="91"/>
      <c r="R34" s="91"/>
      <c r="S34" s="91"/>
      <c r="T34" s="91"/>
      <c r="U34" s="91"/>
      <c r="V34" s="91"/>
      <c r="W34" s="91"/>
      <c r="X34" s="91"/>
      <c r="Y34" s="91"/>
      <c r="Z34" s="91"/>
      <c r="AA34" s="91"/>
      <c r="AB34" s="91"/>
      <c r="AC34" s="87">
        <f t="shared" si="38"/>
        <v>0</v>
      </c>
      <c r="AD34" s="92"/>
      <c r="AE34" s="92"/>
      <c r="AF34" s="1319"/>
      <c r="AG34" s="92"/>
      <c r="AH34" s="92"/>
      <c r="AI34" s="92"/>
      <c r="AJ34" s="92"/>
      <c r="AK34" s="92"/>
      <c r="AL34" s="92"/>
      <c r="AM34" s="92"/>
      <c r="AN34" s="92"/>
      <c r="AO34" s="92"/>
      <c r="AP34" s="92"/>
      <c r="AQ34" s="92"/>
      <c r="AR34" s="92"/>
      <c r="AS34" s="92"/>
      <c r="AT34" s="93"/>
      <c r="AU34" s="94"/>
      <c r="AV34" s="1863">
        <f t="shared" si="39"/>
        <v>0</v>
      </c>
      <c r="AW34" s="1863">
        <f t="shared" si="40"/>
        <v>0</v>
      </c>
      <c r="AX34" s="1863">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16"/>
      <c r="C35" s="1317"/>
      <c r="D35" s="80"/>
      <c r="E35" s="87">
        <f t="shared" si="35"/>
        <v>0</v>
      </c>
      <c r="F35" s="88"/>
      <c r="G35" s="89">
        <f t="shared" si="36"/>
        <v>0</v>
      </c>
      <c r="H35" s="90">
        <f t="shared" si="37"/>
        <v>0</v>
      </c>
      <c r="I35" s="1319"/>
      <c r="J35" s="91"/>
      <c r="K35" s="1319"/>
      <c r="L35" s="91"/>
      <c r="M35" s="91"/>
      <c r="N35" s="91"/>
      <c r="O35" s="91"/>
      <c r="P35" s="91"/>
      <c r="Q35" s="91"/>
      <c r="R35" s="91"/>
      <c r="S35" s="91"/>
      <c r="T35" s="91"/>
      <c r="U35" s="91"/>
      <c r="V35" s="91"/>
      <c r="W35" s="91"/>
      <c r="X35" s="91"/>
      <c r="Y35" s="91"/>
      <c r="Z35" s="91"/>
      <c r="AA35" s="91"/>
      <c r="AB35" s="91"/>
      <c r="AC35" s="87">
        <f t="shared" si="38"/>
        <v>0</v>
      </c>
      <c r="AD35" s="92"/>
      <c r="AE35" s="92"/>
      <c r="AF35" s="1319"/>
      <c r="AG35" s="92"/>
      <c r="AH35" s="92"/>
      <c r="AI35" s="92"/>
      <c r="AJ35" s="92"/>
      <c r="AK35" s="92"/>
      <c r="AL35" s="92"/>
      <c r="AM35" s="92"/>
      <c r="AN35" s="92"/>
      <c r="AO35" s="92"/>
      <c r="AP35" s="92"/>
      <c r="AQ35" s="92"/>
      <c r="AR35" s="92"/>
      <c r="AS35" s="92"/>
      <c r="AT35" s="93"/>
      <c r="AU35" s="94"/>
      <c r="AV35" s="1863">
        <f t="shared" si="39"/>
        <v>0</v>
      </c>
      <c r="AW35" s="1863">
        <f t="shared" si="40"/>
        <v>0</v>
      </c>
      <c r="AX35" s="1863">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16"/>
      <c r="C36" s="1317"/>
      <c r="D36" s="80"/>
      <c r="E36" s="87">
        <f t="shared" si="35"/>
        <v>0</v>
      </c>
      <c r="F36" s="88"/>
      <c r="G36" s="89">
        <f t="shared" si="36"/>
        <v>0</v>
      </c>
      <c r="H36" s="90">
        <f t="shared" si="37"/>
        <v>0</v>
      </c>
      <c r="I36" s="1319"/>
      <c r="J36" s="91"/>
      <c r="K36" s="1319"/>
      <c r="L36" s="91"/>
      <c r="M36" s="91"/>
      <c r="N36" s="91"/>
      <c r="O36" s="91"/>
      <c r="P36" s="91"/>
      <c r="Q36" s="91"/>
      <c r="R36" s="91"/>
      <c r="S36" s="91"/>
      <c r="T36" s="91"/>
      <c r="U36" s="91"/>
      <c r="V36" s="91"/>
      <c r="W36" s="91"/>
      <c r="X36" s="91"/>
      <c r="Y36" s="91"/>
      <c r="Z36" s="91"/>
      <c r="AA36" s="91"/>
      <c r="AB36" s="91"/>
      <c r="AC36" s="87">
        <f t="shared" si="38"/>
        <v>0</v>
      </c>
      <c r="AD36" s="92"/>
      <c r="AE36" s="92"/>
      <c r="AF36" s="1319"/>
      <c r="AG36" s="92"/>
      <c r="AH36" s="92"/>
      <c r="AI36" s="92"/>
      <c r="AJ36" s="92"/>
      <c r="AK36" s="92"/>
      <c r="AL36" s="92"/>
      <c r="AM36" s="92"/>
      <c r="AN36" s="92"/>
      <c r="AO36" s="92"/>
      <c r="AP36" s="92"/>
      <c r="AQ36" s="92"/>
      <c r="AR36" s="92"/>
      <c r="AS36" s="92"/>
      <c r="AT36" s="93"/>
      <c r="AU36" s="94"/>
      <c r="AV36" s="1863">
        <f t="shared" si="39"/>
        <v>0</v>
      </c>
      <c r="AW36" s="1863">
        <f t="shared" si="40"/>
        <v>0</v>
      </c>
      <c r="AX36" s="1863">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16"/>
      <c r="C37" s="1317"/>
      <c r="D37" s="80"/>
      <c r="E37" s="87">
        <f t="shared" si="35"/>
        <v>0</v>
      </c>
      <c r="F37" s="88"/>
      <c r="G37" s="89">
        <f t="shared" si="36"/>
        <v>0</v>
      </c>
      <c r="H37" s="90">
        <f t="shared" si="37"/>
        <v>0</v>
      </c>
      <c r="I37" s="1319"/>
      <c r="J37" s="91"/>
      <c r="K37" s="1319"/>
      <c r="L37" s="91"/>
      <c r="M37" s="91"/>
      <c r="N37" s="91"/>
      <c r="O37" s="91"/>
      <c r="P37" s="91"/>
      <c r="Q37" s="91"/>
      <c r="R37" s="91"/>
      <c r="S37" s="91"/>
      <c r="T37" s="91"/>
      <c r="U37" s="91"/>
      <c r="V37" s="91"/>
      <c r="W37" s="91"/>
      <c r="X37" s="91"/>
      <c r="Y37" s="91"/>
      <c r="Z37" s="91"/>
      <c r="AA37" s="91"/>
      <c r="AB37" s="91"/>
      <c r="AC37" s="87">
        <f t="shared" si="38"/>
        <v>0</v>
      </c>
      <c r="AD37" s="92"/>
      <c r="AE37" s="92"/>
      <c r="AF37" s="1319"/>
      <c r="AG37" s="92"/>
      <c r="AH37" s="92"/>
      <c r="AI37" s="92"/>
      <c r="AJ37" s="92"/>
      <c r="AK37" s="92"/>
      <c r="AL37" s="92"/>
      <c r="AM37" s="92"/>
      <c r="AN37" s="92"/>
      <c r="AO37" s="92"/>
      <c r="AP37" s="92"/>
      <c r="AQ37" s="92"/>
      <c r="AR37" s="92"/>
      <c r="AS37" s="92"/>
      <c r="AT37" s="93"/>
      <c r="AU37" s="94"/>
      <c r="AV37" s="1863">
        <f t="shared" si="39"/>
        <v>0</v>
      </c>
      <c r="AW37" s="1863">
        <f t="shared" si="40"/>
        <v>0</v>
      </c>
      <c r="AX37" s="1863">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16"/>
      <c r="C38" s="1317"/>
      <c r="D38" s="80"/>
      <c r="E38" s="87">
        <f t="shared" si="35"/>
        <v>0</v>
      </c>
      <c r="F38" s="88"/>
      <c r="G38" s="89">
        <f t="shared" si="36"/>
        <v>0</v>
      </c>
      <c r="H38" s="90">
        <f t="shared" si="37"/>
        <v>0</v>
      </c>
      <c r="I38" s="1319"/>
      <c r="J38" s="91"/>
      <c r="K38" s="1319"/>
      <c r="L38" s="91"/>
      <c r="M38" s="91"/>
      <c r="N38" s="91"/>
      <c r="O38" s="91"/>
      <c r="P38" s="91"/>
      <c r="Q38" s="91"/>
      <c r="R38" s="91"/>
      <c r="S38" s="91"/>
      <c r="T38" s="91"/>
      <c r="U38" s="91"/>
      <c r="V38" s="91"/>
      <c r="W38" s="91"/>
      <c r="X38" s="91"/>
      <c r="Y38" s="91"/>
      <c r="Z38" s="91"/>
      <c r="AA38" s="91"/>
      <c r="AB38" s="91"/>
      <c r="AC38" s="87">
        <f t="shared" si="38"/>
        <v>0</v>
      </c>
      <c r="AD38" s="92"/>
      <c r="AE38" s="92"/>
      <c r="AF38" s="1319"/>
      <c r="AG38" s="92"/>
      <c r="AH38" s="92"/>
      <c r="AI38" s="92"/>
      <c r="AJ38" s="92"/>
      <c r="AK38" s="92"/>
      <c r="AL38" s="92"/>
      <c r="AM38" s="92"/>
      <c r="AN38" s="92"/>
      <c r="AO38" s="92"/>
      <c r="AP38" s="92"/>
      <c r="AQ38" s="92"/>
      <c r="AR38" s="92"/>
      <c r="AS38" s="92"/>
      <c r="AT38" s="93"/>
      <c r="AU38" s="94"/>
      <c r="AV38" s="1863">
        <f t="shared" si="39"/>
        <v>0</v>
      </c>
      <c r="AW38" s="1863">
        <f t="shared" si="40"/>
        <v>0</v>
      </c>
      <c r="AX38" s="1863">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16"/>
      <c r="C39" s="1317"/>
      <c r="D39" s="80"/>
      <c r="E39" s="87">
        <f t="shared" si="35"/>
        <v>0</v>
      </c>
      <c r="F39" s="88"/>
      <c r="G39" s="89">
        <f t="shared" si="36"/>
        <v>0</v>
      </c>
      <c r="H39" s="90">
        <f t="shared" si="37"/>
        <v>0</v>
      </c>
      <c r="I39" s="1319"/>
      <c r="J39" s="91"/>
      <c r="K39" s="1319"/>
      <c r="L39" s="91"/>
      <c r="M39" s="91"/>
      <c r="N39" s="91"/>
      <c r="O39" s="91"/>
      <c r="P39" s="91"/>
      <c r="Q39" s="91"/>
      <c r="R39" s="91"/>
      <c r="S39" s="91"/>
      <c r="T39" s="91"/>
      <c r="U39" s="91"/>
      <c r="V39" s="91"/>
      <c r="W39" s="91"/>
      <c r="X39" s="91"/>
      <c r="Y39" s="91"/>
      <c r="Z39" s="91"/>
      <c r="AA39" s="91"/>
      <c r="AB39" s="91"/>
      <c r="AC39" s="87">
        <f t="shared" si="38"/>
        <v>0</v>
      </c>
      <c r="AD39" s="92"/>
      <c r="AE39" s="92"/>
      <c r="AF39" s="1319"/>
      <c r="AG39" s="92"/>
      <c r="AH39" s="92"/>
      <c r="AI39" s="92"/>
      <c r="AJ39" s="92"/>
      <c r="AK39" s="92"/>
      <c r="AL39" s="92"/>
      <c r="AM39" s="92"/>
      <c r="AN39" s="92"/>
      <c r="AO39" s="92"/>
      <c r="AP39" s="92"/>
      <c r="AQ39" s="92"/>
      <c r="AR39" s="92"/>
      <c r="AS39" s="92"/>
      <c r="AT39" s="93"/>
      <c r="AU39" s="94"/>
      <c r="AV39" s="1863">
        <f t="shared" si="39"/>
        <v>0</v>
      </c>
      <c r="AW39" s="1863">
        <f t="shared" si="40"/>
        <v>0</v>
      </c>
      <c r="AX39" s="1863">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16"/>
      <c r="C40" s="1317"/>
      <c r="D40" s="80"/>
      <c r="E40" s="87">
        <f t="shared" si="35"/>
        <v>0</v>
      </c>
      <c r="F40" s="88"/>
      <c r="G40" s="89">
        <f t="shared" si="36"/>
        <v>0</v>
      </c>
      <c r="H40" s="90">
        <f t="shared" si="37"/>
        <v>0</v>
      </c>
      <c r="I40" s="1319"/>
      <c r="J40" s="91"/>
      <c r="K40" s="1319"/>
      <c r="L40" s="91"/>
      <c r="M40" s="91"/>
      <c r="N40" s="91"/>
      <c r="O40" s="91"/>
      <c r="P40" s="91"/>
      <c r="Q40" s="91"/>
      <c r="R40" s="91"/>
      <c r="S40" s="91"/>
      <c r="T40" s="91"/>
      <c r="U40" s="91"/>
      <c r="V40" s="91"/>
      <c r="W40" s="91"/>
      <c r="X40" s="91"/>
      <c r="Y40" s="91"/>
      <c r="Z40" s="91"/>
      <c r="AA40" s="91"/>
      <c r="AB40" s="91"/>
      <c r="AC40" s="87">
        <f t="shared" si="38"/>
        <v>0</v>
      </c>
      <c r="AD40" s="92"/>
      <c r="AE40" s="92"/>
      <c r="AF40" s="1319"/>
      <c r="AG40" s="92"/>
      <c r="AH40" s="92"/>
      <c r="AI40" s="92"/>
      <c r="AJ40" s="92"/>
      <c r="AK40" s="92"/>
      <c r="AL40" s="92"/>
      <c r="AM40" s="92"/>
      <c r="AN40" s="92"/>
      <c r="AO40" s="92"/>
      <c r="AP40" s="92"/>
      <c r="AQ40" s="92"/>
      <c r="AR40" s="92"/>
      <c r="AS40" s="92"/>
      <c r="AT40" s="93"/>
      <c r="AU40" s="94"/>
      <c r="AV40" s="1863">
        <f t="shared" si="39"/>
        <v>0</v>
      </c>
      <c r="AW40" s="1863">
        <f t="shared" si="40"/>
        <v>0</v>
      </c>
      <c r="AX40" s="1863">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16"/>
      <c r="C41" s="1317"/>
      <c r="D41" s="80"/>
      <c r="E41" s="87">
        <f t="shared" si="35"/>
        <v>0</v>
      </c>
      <c r="F41" s="88"/>
      <c r="G41" s="89">
        <f t="shared" si="36"/>
        <v>0</v>
      </c>
      <c r="H41" s="90">
        <f t="shared" si="37"/>
        <v>0</v>
      </c>
      <c r="I41" s="1319"/>
      <c r="J41" s="91"/>
      <c r="K41" s="1319"/>
      <c r="L41" s="91"/>
      <c r="M41" s="91"/>
      <c r="N41" s="91"/>
      <c r="O41" s="91"/>
      <c r="P41" s="91"/>
      <c r="Q41" s="91"/>
      <c r="R41" s="91"/>
      <c r="S41" s="91"/>
      <c r="T41" s="91"/>
      <c r="U41" s="91"/>
      <c r="V41" s="91"/>
      <c r="W41" s="91"/>
      <c r="X41" s="91"/>
      <c r="Y41" s="91"/>
      <c r="Z41" s="91"/>
      <c r="AA41" s="91"/>
      <c r="AB41" s="91"/>
      <c r="AC41" s="87">
        <f t="shared" si="38"/>
        <v>0</v>
      </c>
      <c r="AD41" s="92"/>
      <c r="AE41" s="92"/>
      <c r="AF41" s="1319"/>
      <c r="AG41" s="92"/>
      <c r="AH41" s="92"/>
      <c r="AI41" s="92"/>
      <c r="AJ41" s="92"/>
      <c r="AK41" s="92"/>
      <c r="AL41" s="92"/>
      <c r="AM41" s="92"/>
      <c r="AN41" s="92"/>
      <c r="AO41" s="92"/>
      <c r="AP41" s="92"/>
      <c r="AQ41" s="92"/>
      <c r="AR41" s="92"/>
      <c r="AS41" s="92"/>
      <c r="AT41" s="93"/>
      <c r="AU41" s="94"/>
      <c r="AV41" s="1863">
        <f t="shared" si="39"/>
        <v>0</v>
      </c>
      <c r="AW41" s="1863">
        <f t="shared" si="40"/>
        <v>0</v>
      </c>
      <c r="AX41" s="1863">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16"/>
      <c r="C42" s="1317"/>
      <c r="D42" s="80"/>
      <c r="E42" s="87">
        <f t="shared" si="35"/>
        <v>0</v>
      </c>
      <c r="F42" s="88"/>
      <c r="G42" s="89">
        <f t="shared" si="36"/>
        <v>0</v>
      </c>
      <c r="H42" s="90">
        <f t="shared" si="37"/>
        <v>0</v>
      </c>
      <c r="I42" s="1319"/>
      <c r="J42" s="91"/>
      <c r="K42" s="1319"/>
      <c r="L42" s="91"/>
      <c r="M42" s="91"/>
      <c r="N42" s="91"/>
      <c r="O42" s="91"/>
      <c r="P42" s="91"/>
      <c r="Q42" s="91"/>
      <c r="R42" s="91"/>
      <c r="S42" s="91"/>
      <c r="T42" s="91"/>
      <c r="U42" s="91"/>
      <c r="V42" s="91"/>
      <c r="W42" s="91"/>
      <c r="X42" s="91"/>
      <c r="Y42" s="91"/>
      <c r="Z42" s="91"/>
      <c r="AA42" s="91"/>
      <c r="AB42" s="91"/>
      <c r="AC42" s="87">
        <f t="shared" si="38"/>
        <v>0</v>
      </c>
      <c r="AD42" s="92"/>
      <c r="AE42" s="92"/>
      <c r="AF42" s="1319"/>
      <c r="AG42" s="92"/>
      <c r="AH42" s="92"/>
      <c r="AI42" s="92"/>
      <c r="AJ42" s="92"/>
      <c r="AK42" s="92"/>
      <c r="AL42" s="92"/>
      <c r="AM42" s="92"/>
      <c r="AN42" s="92"/>
      <c r="AO42" s="92"/>
      <c r="AP42" s="92"/>
      <c r="AQ42" s="92"/>
      <c r="AR42" s="92"/>
      <c r="AS42" s="92"/>
      <c r="AT42" s="93"/>
      <c r="AU42" s="94"/>
      <c r="AV42" s="1863">
        <f t="shared" si="39"/>
        <v>0</v>
      </c>
      <c r="AW42" s="1863">
        <f t="shared" si="40"/>
        <v>0</v>
      </c>
      <c r="AX42" s="1863">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16"/>
      <c r="C43" s="1317"/>
      <c r="D43" s="80"/>
      <c r="E43" s="87">
        <f t="shared" si="35"/>
        <v>0</v>
      </c>
      <c r="F43" s="88"/>
      <c r="G43" s="89">
        <f t="shared" si="36"/>
        <v>0</v>
      </c>
      <c r="H43" s="90">
        <f t="shared" si="37"/>
        <v>0</v>
      </c>
      <c r="I43" s="1319"/>
      <c r="J43" s="91"/>
      <c r="K43" s="1319"/>
      <c r="L43" s="91"/>
      <c r="M43" s="91"/>
      <c r="N43" s="91"/>
      <c r="O43" s="91"/>
      <c r="P43" s="91"/>
      <c r="Q43" s="91"/>
      <c r="R43" s="91"/>
      <c r="S43" s="91"/>
      <c r="T43" s="91"/>
      <c r="U43" s="91"/>
      <c r="V43" s="91"/>
      <c r="W43" s="91"/>
      <c r="X43" s="91"/>
      <c r="Y43" s="91"/>
      <c r="Z43" s="91"/>
      <c r="AA43" s="91"/>
      <c r="AB43" s="91"/>
      <c r="AC43" s="87">
        <f t="shared" si="38"/>
        <v>0</v>
      </c>
      <c r="AD43" s="92"/>
      <c r="AE43" s="92"/>
      <c r="AF43" s="1319"/>
      <c r="AG43" s="92"/>
      <c r="AH43" s="92"/>
      <c r="AI43" s="92"/>
      <c r="AJ43" s="92"/>
      <c r="AK43" s="92"/>
      <c r="AL43" s="92"/>
      <c r="AM43" s="92"/>
      <c r="AN43" s="92"/>
      <c r="AO43" s="92"/>
      <c r="AP43" s="92"/>
      <c r="AQ43" s="92"/>
      <c r="AR43" s="92"/>
      <c r="AS43" s="92"/>
      <c r="AT43" s="93"/>
      <c r="AU43" s="94"/>
      <c r="AV43" s="1863">
        <f t="shared" si="39"/>
        <v>0</v>
      </c>
      <c r="AW43" s="1863">
        <f t="shared" si="40"/>
        <v>0</v>
      </c>
      <c r="AX43" s="1863">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16"/>
      <c r="C44" s="1317"/>
      <c r="D44" s="80"/>
      <c r="E44" s="87">
        <f t="shared" si="35"/>
        <v>0</v>
      </c>
      <c r="F44" s="88"/>
      <c r="G44" s="89">
        <f t="shared" si="36"/>
        <v>0</v>
      </c>
      <c r="H44" s="90">
        <f t="shared" si="37"/>
        <v>0</v>
      </c>
      <c r="I44" s="1319"/>
      <c r="J44" s="91"/>
      <c r="K44" s="1319"/>
      <c r="L44" s="91"/>
      <c r="M44" s="91"/>
      <c r="N44" s="91"/>
      <c r="O44" s="91"/>
      <c r="P44" s="91"/>
      <c r="Q44" s="91"/>
      <c r="R44" s="91"/>
      <c r="S44" s="91"/>
      <c r="T44" s="91"/>
      <c r="U44" s="91"/>
      <c r="V44" s="91"/>
      <c r="W44" s="91"/>
      <c r="X44" s="91"/>
      <c r="Y44" s="91"/>
      <c r="Z44" s="91"/>
      <c r="AA44" s="91"/>
      <c r="AB44" s="91"/>
      <c r="AC44" s="87">
        <f t="shared" si="38"/>
        <v>0</v>
      </c>
      <c r="AD44" s="92"/>
      <c r="AE44" s="92"/>
      <c r="AF44" s="1319"/>
      <c r="AG44" s="92"/>
      <c r="AH44" s="92"/>
      <c r="AI44" s="92"/>
      <c r="AJ44" s="92"/>
      <c r="AK44" s="92"/>
      <c r="AL44" s="92"/>
      <c r="AM44" s="92"/>
      <c r="AN44" s="92"/>
      <c r="AO44" s="92"/>
      <c r="AP44" s="92"/>
      <c r="AQ44" s="92"/>
      <c r="AR44" s="92"/>
      <c r="AS44" s="92"/>
      <c r="AT44" s="93"/>
      <c r="AU44" s="94"/>
      <c r="AV44" s="1863">
        <f t="shared" si="39"/>
        <v>0</v>
      </c>
      <c r="AW44" s="1863">
        <f t="shared" si="40"/>
        <v>0</v>
      </c>
      <c r="AX44" s="1863">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16"/>
      <c r="C45" s="1317"/>
      <c r="D45" s="80"/>
      <c r="E45" s="87">
        <f t="shared" si="35"/>
        <v>0</v>
      </c>
      <c r="F45" s="88"/>
      <c r="G45" s="89">
        <f t="shared" si="36"/>
        <v>0</v>
      </c>
      <c r="H45" s="90">
        <f t="shared" si="37"/>
        <v>0</v>
      </c>
      <c r="I45" s="1319"/>
      <c r="J45" s="91"/>
      <c r="K45" s="1319"/>
      <c r="L45" s="91"/>
      <c r="M45" s="91"/>
      <c r="N45" s="91"/>
      <c r="O45" s="91"/>
      <c r="P45" s="91"/>
      <c r="Q45" s="91"/>
      <c r="R45" s="91"/>
      <c r="S45" s="91"/>
      <c r="T45" s="91"/>
      <c r="U45" s="91"/>
      <c r="V45" s="91"/>
      <c r="W45" s="91"/>
      <c r="X45" s="91"/>
      <c r="Y45" s="91"/>
      <c r="Z45" s="91"/>
      <c r="AA45" s="91"/>
      <c r="AB45" s="91"/>
      <c r="AC45" s="87">
        <f t="shared" si="38"/>
        <v>0</v>
      </c>
      <c r="AD45" s="92"/>
      <c r="AE45" s="92"/>
      <c r="AF45" s="1319"/>
      <c r="AG45" s="92"/>
      <c r="AH45" s="92"/>
      <c r="AI45" s="92"/>
      <c r="AJ45" s="92"/>
      <c r="AK45" s="92"/>
      <c r="AL45" s="92"/>
      <c r="AM45" s="92"/>
      <c r="AN45" s="92"/>
      <c r="AO45" s="92"/>
      <c r="AP45" s="92"/>
      <c r="AQ45" s="92"/>
      <c r="AR45" s="92"/>
      <c r="AS45" s="92"/>
      <c r="AT45" s="93"/>
      <c r="AU45" s="94"/>
      <c r="AV45" s="1863">
        <f t="shared" si="39"/>
        <v>0</v>
      </c>
      <c r="AW45" s="1863">
        <f t="shared" si="40"/>
        <v>0</v>
      </c>
      <c r="AX45" s="1863">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16"/>
      <c r="C46" s="1317"/>
      <c r="D46" s="80"/>
      <c r="E46" s="87">
        <f t="shared" si="35"/>
        <v>0</v>
      </c>
      <c r="F46" s="88"/>
      <c r="G46" s="89">
        <f t="shared" si="36"/>
        <v>0</v>
      </c>
      <c r="H46" s="90">
        <f t="shared" si="37"/>
        <v>0</v>
      </c>
      <c r="I46" s="1319"/>
      <c r="J46" s="91"/>
      <c r="K46" s="1319"/>
      <c r="L46" s="91"/>
      <c r="M46" s="91"/>
      <c r="N46" s="91"/>
      <c r="O46" s="91"/>
      <c r="P46" s="91"/>
      <c r="Q46" s="91"/>
      <c r="R46" s="91"/>
      <c r="S46" s="91"/>
      <c r="T46" s="91"/>
      <c r="U46" s="91"/>
      <c r="V46" s="91"/>
      <c r="W46" s="91"/>
      <c r="X46" s="91"/>
      <c r="Y46" s="91"/>
      <c r="Z46" s="91"/>
      <c r="AA46" s="91"/>
      <c r="AB46" s="91"/>
      <c r="AC46" s="87">
        <f t="shared" si="38"/>
        <v>0</v>
      </c>
      <c r="AD46" s="92"/>
      <c r="AE46" s="92"/>
      <c r="AF46" s="1319"/>
      <c r="AG46" s="92"/>
      <c r="AH46" s="92"/>
      <c r="AI46" s="92"/>
      <c r="AJ46" s="92"/>
      <c r="AK46" s="92"/>
      <c r="AL46" s="92"/>
      <c r="AM46" s="92"/>
      <c r="AN46" s="92"/>
      <c r="AO46" s="92"/>
      <c r="AP46" s="92"/>
      <c r="AQ46" s="92"/>
      <c r="AR46" s="92"/>
      <c r="AS46" s="92"/>
      <c r="AT46" s="93"/>
      <c r="AU46" s="94"/>
      <c r="AV46" s="1863">
        <f t="shared" si="39"/>
        <v>0</v>
      </c>
      <c r="AW46" s="1863">
        <f t="shared" si="40"/>
        <v>0</v>
      </c>
      <c r="AX46" s="1863">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16"/>
      <c r="C47" s="1317"/>
      <c r="D47" s="80"/>
      <c r="E47" s="87">
        <f t="shared" si="35"/>
        <v>0</v>
      </c>
      <c r="F47" s="88"/>
      <c r="G47" s="89">
        <f t="shared" si="36"/>
        <v>0</v>
      </c>
      <c r="H47" s="90">
        <f t="shared" si="37"/>
        <v>0</v>
      </c>
      <c r="I47" s="1319"/>
      <c r="J47" s="91"/>
      <c r="K47" s="1319"/>
      <c r="L47" s="91"/>
      <c r="M47" s="91"/>
      <c r="N47" s="91"/>
      <c r="O47" s="91"/>
      <c r="P47" s="91"/>
      <c r="Q47" s="91"/>
      <c r="R47" s="91"/>
      <c r="S47" s="91"/>
      <c r="T47" s="91"/>
      <c r="U47" s="91"/>
      <c r="V47" s="91"/>
      <c r="W47" s="91"/>
      <c r="X47" s="91"/>
      <c r="Y47" s="91"/>
      <c r="Z47" s="91"/>
      <c r="AA47" s="91"/>
      <c r="AB47" s="91"/>
      <c r="AC47" s="87">
        <f t="shared" si="38"/>
        <v>0</v>
      </c>
      <c r="AD47" s="92"/>
      <c r="AE47" s="92"/>
      <c r="AF47" s="1317"/>
      <c r="AG47" s="92"/>
      <c r="AH47" s="92"/>
      <c r="AI47" s="92"/>
      <c r="AJ47" s="92"/>
      <c r="AK47" s="92"/>
      <c r="AL47" s="92"/>
      <c r="AM47" s="92"/>
      <c r="AN47" s="92"/>
      <c r="AO47" s="92"/>
      <c r="AP47" s="92"/>
      <c r="AQ47" s="92"/>
      <c r="AR47" s="92"/>
      <c r="AS47" s="92"/>
      <c r="AT47" s="93"/>
      <c r="AU47" s="94"/>
      <c r="AV47" s="1863">
        <f t="shared" si="39"/>
        <v>0</v>
      </c>
      <c r="AW47" s="1863">
        <f t="shared" si="40"/>
        <v>0</v>
      </c>
      <c r="AX47" s="1863">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16"/>
      <c r="C48" s="1317"/>
      <c r="D48" s="80"/>
      <c r="E48" s="87">
        <f t="shared" si="35"/>
        <v>0</v>
      </c>
      <c r="F48" s="88"/>
      <c r="G48" s="89">
        <f t="shared" si="36"/>
        <v>0</v>
      </c>
      <c r="H48" s="90">
        <f t="shared" si="37"/>
        <v>0</v>
      </c>
      <c r="I48" s="1317"/>
      <c r="J48" s="91"/>
      <c r="K48" s="1317"/>
      <c r="L48" s="91"/>
      <c r="M48" s="91"/>
      <c r="N48" s="91"/>
      <c r="O48" s="91"/>
      <c r="P48" s="91"/>
      <c r="Q48" s="91"/>
      <c r="R48" s="91"/>
      <c r="S48" s="91"/>
      <c r="T48" s="91"/>
      <c r="U48" s="91"/>
      <c r="V48" s="91"/>
      <c r="W48" s="91"/>
      <c r="X48" s="91"/>
      <c r="Y48" s="91"/>
      <c r="Z48" s="91"/>
      <c r="AA48" s="91"/>
      <c r="AB48" s="91"/>
      <c r="AC48" s="87">
        <f t="shared" si="38"/>
        <v>0</v>
      </c>
      <c r="AD48" s="92"/>
      <c r="AE48" s="92"/>
      <c r="AF48" s="1317"/>
      <c r="AG48" s="92"/>
      <c r="AH48" s="92"/>
      <c r="AI48" s="92"/>
      <c r="AJ48" s="92"/>
      <c r="AK48" s="92"/>
      <c r="AL48" s="92"/>
      <c r="AM48" s="92"/>
      <c r="AN48" s="92"/>
      <c r="AO48" s="92"/>
      <c r="AP48" s="92"/>
      <c r="AQ48" s="92"/>
      <c r="AR48" s="92"/>
      <c r="AS48" s="92"/>
      <c r="AT48" s="93"/>
      <c r="AU48" s="94"/>
      <c r="AV48" s="1863">
        <f t="shared" si="39"/>
        <v>0</v>
      </c>
      <c r="AW48" s="1863">
        <f t="shared" si="40"/>
        <v>0</v>
      </c>
      <c r="AX48" s="1863">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16"/>
      <c r="C49" s="1317"/>
      <c r="D49" s="80"/>
      <c r="E49" s="87">
        <f t="shared" si="35"/>
        <v>0</v>
      </c>
      <c r="F49" s="88"/>
      <c r="G49" s="89">
        <f t="shared" si="36"/>
        <v>0</v>
      </c>
      <c r="H49" s="90">
        <f t="shared" si="37"/>
        <v>0</v>
      </c>
      <c r="I49" s="1317"/>
      <c r="J49" s="91"/>
      <c r="K49" s="1317"/>
      <c r="L49" s="91"/>
      <c r="M49" s="91"/>
      <c r="N49" s="91"/>
      <c r="O49" s="91"/>
      <c r="P49" s="91"/>
      <c r="Q49" s="91"/>
      <c r="R49" s="91"/>
      <c r="S49" s="91"/>
      <c r="T49" s="91"/>
      <c r="U49" s="91"/>
      <c r="V49" s="91"/>
      <c r="W49" s="91"/>
      <c r="X49" s="91"/>
      <c r="Y49" s="91"/>
      <c r="Z49" s="91"/>
      <c r="AA49" s="91"/>
      <c r="AB49" s="91"/>
      <c r="AC49" s="87">
        <f t="shared" si="38"/>
        <v>0</v>
      </c>
      <c r="AD49" s="92"/>
      <c r="AE49" s="92"/>
      <c r="AF49" s="1317"/>
      <c r="AG49" s="92"/>
      <c r="AH49" s="92"/>
      <c r="AI49" s="92"/>
      <c r="AJ49" s="92"/>
      <c r="AK49" s="92"/>
      <c r="AL49" s="92"/>
      <c r="AM49" s="92"/>
      <c r="AN49" s="92"/>
      <c r="AO49" s="92"/>
      <c r="AP49" s="92"/>
      <c r="AQ49" s="92"/>
      <c r="AR49" s="92"/>
      <c r="AS49" s="92"/>
      <c r="AT49" s="93"/>
      <c r="AU49" s="94"/>
      <c r="AV49" s="1863">
        <f t="shared" si="39"/>
        <v>0</v>
      </c>
      <c r="AW49" s="1863">
        <f t="shared" si="40"/>
        <v>0</v>
      </c>
      <c r="AX49" s="1863">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16"/>
      <c r="C50" s="1317"/>
      <c r="D50" s="80"/>
      <c r="E50" s="87">
        <f t="shared" si="35"/>
        <v>0</v>
      </c>
      <c r="F50" s="88"/>
      <c r="G50" s="89">
        <f t="shared" si="36"/>
        <v>0</v>
      </c>
      <c r="H50" s="90">
        <f t="shared" si="37"/>
        <v>0</v>
      </c>
      <c r="I50" s="1317"/>
      <c r="J50" s="91"/>
      <c r="K50" s="1317"/>
      <c r="L50" s="91"/>
      <c r="M50" s="91"/>
      <c r="N50" s="91"/>
      <c r="O50" s="91"/>
      <c r="P50" s="91"/>
      <c r="Q50" s="91"/>
      <c r="R50" s="91"/>
      <c r="S50" s="91"/>
      <c r="T50" s="91"/>
      <c r="U50" s="91"/>
      <c r="V50" s="91"/>
      <c r="W50" s="91"/>
      <c r="X50" s="91"/>
      <c r="Y50" s="91"/>
      <c r="Z50" s="91"/>
      <c r="AA50" s="91"/>
      <c r="AB50" s="91"/>
      <c r="AC50" s="87">
        <f t="shared" si="38"/>
        <v>0</v>
      </c>
      <c r="AD50" s="92"/>
      <c r="AE50" s="92"/>
      <c r="AF50" s="1317"/>
      <c r="AG50" s="92"/>
      <c r="AH50" s="92"/>
      <c r="AI50" s="92"/>
      <c r="AJ50" s="92"/>
      <c r="AK50" s="92"/>
      <c r="AL50" s="92"/>
      <c r="AM50" s="92"/>
      <c r="AN50" s="92"/>
      <c r="AO50" s="92"/>
      <c r="AP50" s="92"/>
      <c r="AQ50" s="92"/>
      <c r="AR50" s="92"/>
      <c r="AS50" s="92"/>
      <c r="AT50" s="93"/>
      <c r="AU50" s="94"/>
      <c r="AV50" s="1863">
        <f t="shared" si="39"/>
        <v>0</v>
      </c>
      <c r="AW50" s="1863">
        <f t="shared" si="40"/>
        <v>0</v>
      </c>
      <c r="AX50" s="1863">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16"/>
      <c r="C51" s="1317"/>
      <c r="D51" s="80"/>
      <c r="E51" s="87">
        <f t="shared" si="35"/>
        <v>0</v>
      </c>
      <c r="F51" s="88"/>
      <c r="G51" s="89">
        <f t="shared" si="36"/>
        <v>0</v>
      </c>
      <c r="H51" s="90">
        <f t="shared" si="37"/>
        <v>0</v>
      </c>
      <c r="I51" s="1317"/>
      <c r="J51" s="91"/>
      <c r="K51" s="1317"/>
      <c r="L51" s="91"/>
      <c r="M51" s="91"/>
      <c r="N51" s="91"/>
      <c r="O51" s="91"/>
      <c r="P51" s="91"/>
      <c r="Q51" s="91"/>
      <c r="R51" s="91"/>
      <c r="S51" s="91"/>
      <c r="T51" s="91"/>
      <c r="U51" s="91"/>
      <c r="V51" s="91"/>
      <c r="W51" s="91"/>
      <c r="X51" s="91"/>
      <c r="Y51" s="91"/>
      <c r="Z51" s="91"/>
      <c r="AA51" s="91"/>
      <c r="AB51" s="91"/>
      <c r="AC51" s="87">
        <f t="shared" si="38"/>
        <v>0</v>
      </c>
      <c r="AD51" s="92"/>
      <c r="AE51" s="92"/>
      <c r="AF51" s="1317"/>
      <c r="AG51" s="92"/>
      <c r="AH51" s="92"/>
      <c r="AI51" s="92"/>
      <c r="AJ51" s="92"/>
      <c r="AK51" s="92"/>
      <c r="AL51" s="92"/>
      <c r="AM51" s="92"/>
      <c r="AN51" s="92"/>
      <c r="AO51" s="92"/>
      <c r="AP51" s="92"/>
      <c r="AQ51" s="92"/>
      <c r="AR51" s="92"/>
      <c r="AS51" s="92"/>
      <c r="AT51" s="93"/>
      <c r="AU51" s="94"/>
      <c r="AV51" s="1863">
        <f t="shared" si="39"/>
        <v>0</v>
      </c>
      <c r="AW51" s="1863">
        <f t="shared" si="40"/>
        <v>0</v>
      </c>
      <c r="AX51" s="1863">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16"/>
      <c r="C52" s="1317"/>
      <c r="D52" s="80"/>
      <c r="E52" s="87">
        <f t="shared" si="35"/>
        <v>0</v>
      </c>
      <c r="F52" s="88"/>
      <c r="G52" s="89">
        <f t="shared" si="36"/>
        <v>0</v>
      </c>
      <c r="H52" s="90">
        <f t="shared" si="37"/>
        <v>0</v>
      </c>
      <c r="I52" s="1317"/>
      <c r="J52" s="91"/>
      <c r="K52" s="1317"/>
      <c r="L52" s="91"/>
      <c r="M52" s="91"/>
      <c r="N52" s="91"/>
      <c r="O52" s="91"/>
      <c r="P52" s="91"/>
      <c r="Q52" s="91"/>
      <c r="R52" s="91"/>
      <c r="S52" s="91"/>
      <c r="T52" s="91"/>
      <c r="U52" s="91"/>
      <c r="V52" s="91"/>
      <c r="W52" s="91"/>
      <c r="X52" s="91"/>
      <c r="Y52" s="91"/>
      <c r="Z52" s="91"/>
      <c r="AA52" s="91"/>
      <c r="AB52" s="91"/>
      <c r="AC52" s="87">
        <f t="shared" si="38"/>
        <v>0</v>
      </c>
      <c r="AD52" s="92"/>
      <c r="AE52" s="92"/>
      <c r="AF52" s="1317"/>
      <c r="AG52" s="92"/>
      <c r="AH52" s="92"/>
      <c r="AI52" s="92"/>
      <c r="AJ52" s="92"/>
      <c r="AK52" s="92"/>
      <c r="AL52" s="92"/>
      <c r="AM52" s="92"/>
      <c r="AN52" s="92"/>
      <c r="AO52" s="92"/>
      <c r="AP52" s="92"/>
      <c r="AQ52" s="92"/>
      <c r="AR52" s="92"/>
      <c r="AS52" s="92"/>
      <c r="AT52" s="93"/>
      <c r="AU52" s="94"/>
      <c r="AV52" s="1863">
        <f t="shared" si="39"/>
        <v>0</v>
      </c>
      <c r="AW52" s="1863">
        <f t="shared" si="40"/>
        <v>0</v>
      </c>
      <c r="AX52" s="1863">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16"/>
      <c r="C53" s="1317"/>
      <c r="D53" s="80"/>
      <c r="E53" s="87">
        <f t="shared" si="35"/>
        <v>0</v>
      </c>
      <c r="F53" s="88"/>
      <c r="G53" s="89">
        <f t="shared" si="36"/>
        <v>0</v>
      </c>
      <c r="H53" s="90">
        <f t="shared" si="37"/>
        <v>0</v>
      </c>
      <c r="I53" s="1317"/>
      <c r="J53" s="91"/>
      <c r="K53" s="1317"/>
      <c r="L53" s="91"/>
      <c r="M53" s="91"/>
      <c r="N53" s="91"/>
      <c r="O53" s="91"/>
      <c r="P53" s="91"/>
      <c r="Q53" s="91"/>
      <c r="R53" s="91"/>
      <c r="S53" s="91"/>
      <c r="T53" s="91"/>
      <c r="U53" s="91"/>
      <c r="V53" s="91"/>
      <c r="W53" s="91"/>
      <c r="X53" s="91"/>
      <c r="Y53" s="91"/>
      <c r="Z53" s="91"/>
      <c r="AA53" s="91"/>
      <c r="AB53" s="91"/>
      <c r="AC53" s="87">
        <f t="shared" si="38"/>
        <v>0</v>
      </c>
      <c r="AD53" s="92"/>
      <c r="AE53" s="92"/>
      <c r="AF53" s="1317"/>
      <c r="AG53" s="92"/>
      <c r="AH53" s="92"/>
      <c r="AI53" s="92"/>
      <c r="AJ53" s="92"/>
      <c r="AK53" s="92"/>
      <c r="AL53" s="92"/>
      <c r="AM53" s="92"/>
      <c r="AN53" s="92"/>
      <c r="AO53" s="92"/>
      <c r="AP53" s="92"/>
      <c r="AQ53" s="92"/>
      <c r="AR53" s="92"/>
      <c r="AS53" s="92"/>
      <c r="AT53" s="93"/>
      <c r="AU53" s="94"/>
      <c r="AV53" s="1863">
        <f t="shared" si="39"/>
        <v>0</v>
      </c>
      <c r="AW53" s="1863">
        <f t="shared" si="40"/>
        <v>0</v>
      </c>
      <c r="AX53" s="1863">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16"/>
      <c r="C54" s="1317"/>
      <c r="D54" s="80"/>
      <c r="E54" s="87">
        <f t="shared" si="35"/>
        <v>0</v>
      </c>
      <c r="F54" s="88"/>
      <c r="G54" s="89">
        <f t="shared" si="36"/>
        <v>0</v>
      </c>
      <c r="H54" s="90">
        <f t="shared" si="37"/>
        <v>0</v>
      </c>
      <c r="I54" s="1317"/>
      <c r="J54" s="91"/>
      <c r="K54" s="1317"/>
      <c r="L54" s="91"/>
      <c r="M54" s="91"/>
      <c r="N54" s="91"/>
      <c r="O54" s="91"/>
      <c r="P54" s="91"/>
      <c r="Q54" s="91"/>
      <c r="R54" s="91"/>
      <c r="S54" s="91"/>
      <c r="T54" s="91"/>
      <c r="U54" s="91"/>
      <c r="V54" s="91"/>
      <c r="W54" s="91"/>
      <c r="X54" s="91"/>
      <c r="Y54" s="91"/>
      <c r="Z54" s="91"/>
      <c r="AA54" s="91"/>
      <c r="AB54" s="91"/>
      <c r="AC54" s="87">
        <f t="shared" si="38"/>
        <v>0</v>
      </c>
      <c r="AD54" s="92"/>
      <c r="AE54" s="92"/>
      <c r="AF54" s="1317"/>
      <c r="AG54" s="92"/>
      <c r="AH54" s="92"/>
      <c r="AI54" s="92"/>
      <c r="AJ54" s="92"/>
      <c r="AK54" s="92"/>
      <c r="AL54" s="92"/>
      <c r="AM54" s="92"/>
      <c r="AN54" s="92"/>
      <c r="AO54" s="92"/>
      <c r="AP54" s="92"/>
      <c r="AQ54" s="92"/>
      <c r="AR54" s="92"/>
      <c r="AS54" s="92"/>
      <c r="AT54" s="93"/>
      <c r="AU54" s="94"/>
      <c r="AV54" s="1863">
        <f t="shared" si="39"/>
        <v>0</v>
      </c>
      <c r="AW54" s="1863">
        <f t="shared" si="40"/>
        <v>0</v>
      </c>
      <c r="AX54" s="1863">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18"/>
      <c r="C55" s="1319"/>
      <c r="D55" s="80"/>
      <c r="E55" s="87">
        <f t="shared" si="35"/>
        <v>0</v>
      </c>
      <c r="F55" s="88"/>
      <c r="G55" s="89">
        <f t="shared" si="36"/>
        <v>0</v>
      </c>
      <c r="H55" s="90">
        <f t="shared" si="37"/>
        <v>0</v>
      </c>
      <c r="I55" s="1317"/>
      <c r="J55" s="91"/>
      <c r="K55" s="1317"/>
      <c r="L55" s="91"/>
      <c r="M55" s="1317"/>
      <c r="N55" s="91"/>
      <c r="O55" s="91"/>
      <c r="P55" s="91"/>
      <c r="Q55" s="91"/>
      <c r="R55" s="91"/>
      <c r="S55" s="91"/>
      <c r="T55" s="91"/>
      <c r="U55" s="91"/>
      <c r="V55" s="91"/>
      <c r="W55" s="91"/>
      <c r="X55" s="91"/>
      <c r="Y55" s="91"/>
      <c r="Z55" s="91"/>
      <c r="AA55" s="91"/>
      <c r="AB55" s="91"/>
      <c r="AC55" s="87">
        <f t="shared" si="38"/>
        <v>0</v>
      </c>
      <c r="AD55" s="92"/>
      <c r="AE55" s="92"/>
      <c r="AF55" s="1317"/>
      <c r="AG55" s="92"/>
      <c r="AH55" s="92"/>
      <c r="AI55" s="92"/>
      <c r="AJ55" s="92"/>
      <c r="AK55" s="92"/>
      <c r="AL55" s="92"/>
      <c r="AM55" s="92"/>
      <c r="AN55" s="92"/>
      <c r="AO55" s="92"/>
      <c r="AP55" s="92"/>
      <c r="AQ55" s="92"/>
      <c r="AR55" s="92"/>
      <c r="AS55" s="92"/>
      <c r="AT55" s="93"/>
      <c r="AU55" s="94"/>
      <c r="AV55" s="1863">
        <f t="shared" si="39"/>
        <v>0</v>
      </c>
      <c r="AW55" s="1863">
        <f t="shared" si="40"/>
        <v>0</v>
      </c>
      <c r="AX55" s="1863">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863">
        <f t="shared" si="39"/>
        <v>0</v>
      </c>
      <c r="AW56" s="1863">
        <f t="shared" si="40"/>
        <v>0</v>
      </c>
      <c r="AX56" s="1863">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863">
        <f t="shared" si="39"/>
        <v>0</v>
      </c>
      <c r="AW57" s="1863">
        <f t="shared" si="40"/>
        <v>0</v>
      </c>
      <c r="AX57" s="1863">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863">
        <f t="shared" si="39"/>
        <v>0</v>
      </c>
      <c r="AW58" s="1863">
        <f t="shared" si="40"/>
        <v>0</v>
      </c>
      <c r="AX58" s="1863">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863">
        <f t="shared" si="39"/>
        <v>0</v>
      </c>
      <c r="AW59" s="1863">
        <f t="shared" si="40"/>
        <v>0</v>
      </c>
      <c r="AX59" s="1863">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863">
        <f t="shared" si="39"/>
        <v>0</v>
      </c>
      <c r="AW60" s="1863">
        <f t="shared" si="40"/>
        <v>0</v>
      </c>
      <c r="AX60" s="1863">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863">
        <f t="shared" si="39"/>
        <v>0</v>
      </c>
      <c r="AW61" s="1863">
        <f t="shared" si="40"/>
        <v>0</v>
      </c>
      <c r="AX61" s="1863">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863">
        <f t="shared" si="39"/>
        <v>0</v>
      </c>
      <c r="AW62" s="1863">
        <f t="shared" si="40"/>
        <v>0</v>
      </c>
      <c r="AX62" s="1863">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863">
        <f t="shared" si="39"/>
        <v>0</v>
      </c>
      <c r="AW63" s="1863">
        <f t="shared" si="40"/>
        <v>0</v>
      </c>
      <c r="AX63" s="1863">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863">
        <f t="shared" si="39"/>
        <v>0</v>
      </c>
      <c r="AW64" s="1863">
        <f t="shared" si="40"/>
        <v>0</v>
      </c>
      <c r="AX64" s="1863">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863">
        <f t="shared" si="39"/>
        <v>0</v>
      </c>
      <c r="AW65" s="1863">
        <f t="shared" si="40"/>
        <v>0</v>
      </c>
      <c r="AX65" s="1863">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863">
        <f t="shared" si="39"/>
        <v>0</v>
      </c>
      <c r="AW66" s="1863">
        <f t="shared" si="40"/>
        <v>0</v>
      </c>
      <c r="AX66" s="1863">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863">
        <f t="shared" si="39"/>
        <v>0</v>
      </c>
      <c r="AW67" s="1863">
        <f t="shared" si="40"/>
        <v>0</v>
      </c>
      <c r="AX67" s="1863">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863">
        <f t="shared" si="39"/>
        <v>0</v>
      </c>
      <c r="AW68" s="1863">
        <f t="shared" si="40"/>
        <v>0</v>
      </c>
      <c r="AX68" s="1863">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863">
        <f t="shared" si="39"/>
        <v>0</v>
      </c>
      <c r="AW69" s="1863">
        <f t="shared" si="40"/>
        <v>0</v>
      </c>
      <c r="AX69" s="1863">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863">
        <f t="shared" si="39"/>
        <v>0</v>
      </c>
      <c r="AW70" s="1863">
        <f t="shared" si="40"/>
        <v>0</v>
      </c>
      <c r="AX70" s="1863">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863">
        <f t="shared" si="39"/>
        <v>0</v>
      </c>
      <c r="AW71" s="1863">
        <f t="shared" si="40"/>
        <v>0</v>
      </c>
      <c r="AX71" s="1863">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863">
        <f t="shared" si="39"/>
        <v>0</v>
      </c>
      <c r="AW72" s="1863">
        <f t="shared" si="40"/>
        <v>0</v>
      </c>
      <c r="AX72" s="1863">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863">
        <f t="shared" si="39"/>
        <v>0</v>
      </c>
      <c r="AW73" s="1863">
        <f t="shared" si="40"/>
        <v>0</v>
      </c>
      <c r="AX73" s="1863">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863">
        <f t="shared" si="39"/>
        <v>0</v>
      </c>
      <c r="AW74" s="1863">
        <f t="shared" si="40"/>
        <v>0</v>
      </c>
      <c r="AX74" s="1863">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863">
        <f t="shared" si="39"/>
        <v>0</v>
      </c>
      <c r="AW75" s="1863">
        <f t="shared" si="40"/>
        <v>0</v>
      </c>
      <c r="AX75" s="1863">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863">
        <f t="shared" si="39"/>
        <v>0</v>
      </c>
      <c r="AW76" s="1863">
        <f t="shared" si="40"/>
        <v>0</v>
      </c>
      <c r="AX76" s="1863">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863">
        <f t="shared" si="39"/>
        <v>0</v>
      </c>
      <c r="AW77" s="1863">
        <f t="shared" si="40"/>
        <v>0</v>
      </c>
      <c r="AX77" s="1863">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863">
        <f t="shared" si="39"/>
        <v>0</v>
      </c>
      <c r="AW78" s="1863">
        <f t="shared" si="40"/>
        <v>0</v>
      </c>
      <c r="AX78" s="1863">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863">
        <f t="shared" si="39"/>
        <v>0</v>
      </c>
      <c r="AW79" s="1863">
        <f t="shared" si="40"/>
        <v>0</v>
      </c>
      <c r="AX79" s="1863">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863">
        <f t="shared" si="39"/>
        <v>0</v>
      </c>
      <c r="AW80" s="1863">
        <f t="shared" si="40"/>
        <v>0</v>
      </c>
      <c r="AX80" s="1863">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863">
        <f t="shared" si="39"/>
        <v>0</v>
      </c>
      <c r="AW81" s="1863">
        <f t="shared" si="40"/>
        <v>0</v>
      </c>
      <c r="AX81" s="1863">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863">
        <f t="shared" si="39"/>
        <v>0</v>
      </c>
      <c r="AW82" s="1863">
        <f t="shared" si="40"/>
        <v>0</v>
      </c>
      <c r="AX82" s="1863">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863">
        <f t="shared" si="39"/>
        <v>0</v>
      </c>
      <c r="AW83" s="1863">
        <f t="shared" si="40"/>
        <v>0</v>
      </c>
      <c r="AX83" s="1863">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863">
        <f t="shared" si="39"/>
        <v>0</v>
      </c>
      <c r="AW84" s="1863">
        <f t="shared" si="40"/>
        <v>0</v>
      </c>
      <c r="AX84" s="1863">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863">
        <f t="shared" si="39"/>
        <v>0</v>
      </c>
      <c r="AW85" s="1863">
        <f t="shared" si="40"/>
        <v>0</v>
      </c>
      <c r="AX85" s="1863">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863">
        <f t="shared" si="39"/>
        <v>0</v>
      </c>
      <c r="AW86" s="1863">
        <f t="shared" si="40"/>
        <v>0</v>
      </c>
      <c r="AX86" s="1863">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863">
        <f t="shared" si="39"/>
        <v>0</v>
      </c>
      <c r="AW87" s="1863">
        <f t="shared" si="40"/>
        <v>0</v>
      </c>
      <c r="AX87" s="1863">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863">
        <f t="shared" si="39"/>
        <v>0</v>
      </c>
      <c r="AW88" s="1863">
        <f t="shared" si="40"/>
        <v>0</v>
      </c>
      <c r="AX88" s="1863">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863">
        <f t="shared" si="39"/>
        <v>0</v>
      </c>
      <c r="AW89" s="1863">
        <f t="shared" si="40"/>
        <v>0</v>
      </c>
      <c r="AX89" s="1863">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863">
        <f t="shared" si="39"/>
        <v>0</v>
      </c>
      <c r="AW90" s="1863">
        <f t="shared" si="40"/>
        <v>0</v>
      </c>
      <c r="AX90" s="1863">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863">
        <f t="shared" si="39"/>
        <v>0</v>
      </c>
      <c r="AW91" s="1863">
        <f t="shared" si="40"/>
        <v>0</v>
      </c>
      <c r="AX91" s="1863">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863">
        <f t="shared" si="39"/>
        <v>0</v>
      </c>
      <c r="AW92" s="1863">
        <f t="shared" si="40"/>
        <v>0</v>
      </c>
      <c r="AX92" s="1863">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863">
        <f t="shared" si="39"/>
        <v>0</v>
      </c>
      <c r="AW93" s="1863">
        <f t="shared" si="40"/>
        <v>0</v>
      </c>
      <c r="AX93" s="1863">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863">
        <f t="shared" si="39"/>
        <v>0</v>
      </c>
      <c r="AW94" s="1863">
        <f t="shared" si="40"/>
        <v>0</v>
      </c>
      <c r="AX94" s="1863">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863">
        <f t="shared" si="39"/>
        <v>0</v>
      </c>
      <c r="AW95" s="1863">
        <f t="shared" si="40"/>
        <v>0</v>
      </c>
      <c r="AX95" s="1863">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863">
        <f t="shared" si="39"/>
        <v>0</v>
      </c>
      <c r="AW96" s="1863">
        <f t="shared" si="40"/>
        <v>0</v>
      </c>
      <c r="AX96" s="1863">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863">
        <f t="shared" si="39"/>
        <v>0</v>
      </c>
      <c r="AW97" s="1863">
        <f t="shared" si="40"/>
        <v>0</v>
      </c>
      <c r="AX97" s="1863">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863">
        <f t="shared" si="39"/>
        <v>0</v>
      </c>
      <c r="AW98" s="1863">
        <f t="shared" si="40"/>
        <v>0</v>
      </c>
      <c r="AX98" s="1863">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863">
        <f t="shared" si="39"/>
        <v>0</v>
      </c>
      <c r="AW99" s="1863">
        <f t="shared" si="40"/>
        <v>0</v>
      </c>
      <c r="AX99" s="1863">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863">
        <f t="shared" si="39"/>
        <v>0</v>
      </c>
      <c r="AW100" s="1863">
        <f t="shared" si="40"/>
        <v>0</v>
      </c>
      <c r="AX100" s="1863">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863">
        <f t="shared" si="39"/>
        <v>0</v>
      </c>
      <c r="AW101" s="1863">
        <f t="shared" si="40"/>
        <v>0</v>
      </c>
      <c r="AX101" s="1863">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863">
        <f t="shared" si="39"/>
        <v>0</v>
      </c>
      <c r="AW102" s="1863">
        <f t="shared" si="40"/>
        <v>0</v>
      </c>
      <c r="AX102" s="1863">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863">
        <f t="shared" si="39"/>
        <v>0</v>
      </c>
      <c r="AW103" s="1863">
        <f t="shared" si="40"/>
        <v>0</v>
      </c>
      <c r="AX103" s="1863">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863">
        <f t="shared" si="39"/>
        <v>0</v>
      </c>
      <c r="AW104" s="1863">
        <f t="shared" si="40"/>
        <v>0</v>
      </c>
      <c r="AX104" s="1863">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863">
        <f t="shared" si="39"/>
        <v>0</v>
      </c>
      <c r="AW105" s="1863">
        <f t="shared" si="40"/>
        <v>0</v>
      </c>
      <c r="AX105" s="1863">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863">
        <f t="shared" si="39"/>
        <v>0</v>
      </c>
      <c r="AW106" s="1863">
        <f t="shared" si="40"/>
        <v>0</v>
      </c>
      <c r="AX106" s="1863">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863">
        <f t="shared" si="39"/>
        <v>0</v>
      </c>
      <c r="AW107" s="1863">
        <f t="shared" si="40"/>
        <v>0</v>
      </c>
      <c r="AX107" s="1863">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863">
        <f t="shared" si="39"/>
        <v>0</v>
      </c>
      <c r="AW108" s="1863">
        <f t="shared" si="40"/>
        <v>0</v>
      </c>
      <c r="AX108" s="1863">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863">
        <f t="shared" si="39"/>
        <v>0</v>
      </c>
      <c r="AW109" s="1863">
        <f t="shared" si="40"/>
        <v>0</v>
      </c>
      <c r="AX109" s="1863">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9"/>
        <v>0</v>
      </c>
      <c r="AW110" s="1863">
        <f t="shared" si="40"/>
        <v>0</v>
      </c>
      <c r="AX110" s="1863">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863">
        <f t="shared" si="39"/>
        <v>0</v>
      </c>
      <c r="AW111" s="1863">
        <f t="shared" si="40"/>
        <v>0</v>
      </c>
      <c r="AX111" s="1863">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863">
        <f t="shared" si="39"/>
        <v>0</v>
      </c>
      <c r="AW112" s="1863">
        <f t="shared" si="40"/>
        <v>0</v>
      </c>
      <c r="AX112" s="1863">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16"/>
      <c r="C113" s="1317"/>
      <c r="D113" s="80"/>
      <c r="E113" s="87">
        <f t="shared" ref="E113:E144" si="89">IF($C$3="是",ROUND($A$3*G113/$B$3,2),ROUND($A$3*(G113-AT113)/$B$3,2))</f>
        <v>0</v>
      </c>
      <c r="F113" s="88"/>
      <c r="G113" s="89">
        <f t="shared" si="64"/>
        <v>0</v>
      </c>
      <c r="H113" s="90">
        <f t="shared" si="65"/>
        <v>0</v>
      </c>
      <c r="I113" s="1319"/>
      <c r="J113" s="91"/>
      <c r="K113" s="1319"/>
      <c r="L113" s="91"/>
      <c r="M113" s="91"/>
      <c r="N113" s="91"/>
      <c r="O113" s="91"/>
      <c r="P113" s="91"/>
      <c r="Q113" s="91"/>
      <c r="R113" s="91"/>
      <c r="S113" s="91"/>
      <c r="T113" s="91"/>
      <c r="U113" s="91"/>
      <c r="V113" s="91"/>
      <c r="W113" s="91"/>
      <c r="X113" s="91"/>
      <c r="Y113" s="91"/>
      <c r="Z113" s="91"/>
      <c r="AA113" s="91"/>
      <c r="AB113" s="91"/>
      <c r="AC113" s="87">
        <f t="shared" si="66"/>
        <v>0</v>
      </c>
      <c r="AD113" s="92"/>
      <c r="AE113" s="92"/>
      <c r="AF113" s="1320"/>
      <c r="AG113" s="92"/>
      <c r="AH113" s="92"/>
      <c r="AI113" s="92"/>
      <c r="AJ113" s="92"/>
      <c r="AK113" s="92"/>
      <c r="AL113" s="92"/>
      <c r="AM113" s="92"/>
      <c r="AN113" s="1291"/>
      <c r="AO113" s="92"/>
      <c r="AP113" s="92"/>
      <c r="AQ113" s="92"/>
      <c r="AR113" s="92"/>
      <c r="AS113" s="92"/>
      <c r="AT113" s="93"/>
      <c r="AU113" s="94"/>
      <c r="AV113" s="1863">
        <f t="shared" ref="AV113:AV144" si="90">A113</f>
        <v>0</v>
      </c>
      <c r="AW113" s="1863">
        <f t="shared" ref="AW113:AW144" si="91">B113</f>
        <v>0</v>
      </c>
      <c r="AX113" s="1863">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16"/>
      <c r="C114" s="1317"/>
      <c r="D114" s="80"/>
      <c r="E114" s="87">
        <f t="shared" si="89"/>
        <v>0</v>
      </c>
      <c r="F114" s="88"/>
      <c r="G114" s="89">
        <f t="shared" si="64"/>
        <v>0</v>
      </c>
      <c r="H114" s="90">
        <f t="shared" si="65"/>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6"/>
        <v>0</v>
      </c>
      <c r="AD114" s="1291"/>
      <c r="AE114" s="92"/>
      <c r="AF114" s="1320"/>
      <c r="AG114" s="92"/>
      <c r="AH114" s="92"/>
      <c r="AI114" s="92"/>
      <c r="AJ114" s="92"/>
      <c r="AK114" s="92"/>
      <c r="AL114" s="1291"/>
      <c r="AM114" s="92"/>
      <c r="AN114" s="1291"/>
      <c r="AO114" s="92"/>
      <c r="AP114" s="92"/>
      <c r="AQ114" s="92"/>
      <c r="AR114" s="92"/>
      <c r="AS114" s="92"/>
      <c r="AT114" s="93"/>
      <c r="AU114" s="94"/>
      <c r="AV114" s="1863">
        <f t="shared" si="90"/>
        <v>0</v>
      </c>
      <c r="AW114" s="1863">
        <f t="shared" si="91"/>
        <v>0</v>
      </c>
      <c r="AX114" s="1863">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16"/>
      <c r="C115" s="1317"/>
      <c r="D115" s="80"/>
      <c r="E115" s="87">
        <f t="shared" si="89"/>
        <v>0</v>
      </c>
      <c r="F115" s="88"/>
      <c r="G115" s="89">
        <f t="shared" si="64"/>
        <v>0</v>
      </c>
      <c r="H115" s="90">
        <f t="shared" si="65"/>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6"/>
        <v>0</v>
      </c>
      <c r="AD115" s="92"/>
      <c r="AE115" s="92"/>
      <c r="AF115" s="1320"/>
      <c r="AG115" s="92"/>
      <c r="AH115" s="92"/>
      <c r="AI115" s="92"/>
      <c r="AJ115" s="92"/>
      <c r="AK115" s="92"/>
      <c r="AL115" s="1291"/>
      <c r="AM115" s="92"/>
      <c r="AN115" s="1291"/>
      <c r="AO115" s="92"/>
      <c r="AP115" s="92"/>
      <c r="AQ115" s="92"/>
      <c r="AR115" s="92"/>
      <c r="AS115" s="92"/>
      <c r="AT115" s="93"/>
      <c r="AU115" s="94"/>
      <c r="AV115" s="1863">
        <f t="shared" si="90"/>
        <v>0</v>
      </c>
      <c r="AW115" s="1863">
        <f t="shared" si="91"/>
        <v>0</v>
      </c>
      <c r="AX115" s="1863">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16"/>
      <c r="C116" s="1317"/>
      <c r="D116" s="80"/>
      <c r="E116" s="87">
        <f t="shared" si="89"/>
        <v>0</v>
      </c>
      <c r="F116" s="88"/>
      <c r="G116" s="89">
        <f t="shared" si="64"/>
        <v>0</v>
      </c>
      <c r="H116" s="90">
        <f t="shared" si="65"/>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6"/>
        <v>0</v>
      </c>
      <c r="AD116" s="92"/>
      <c r="AE116" s="92"/>
      <c r="AF116" s="1320"/>
      <c r="AG116" s="92"/>
      <c r="AH116" s="92"/>
      <c r="AI116" s="92"/>
      <c r="AJ116" s="92"/>
      <c r="AK116" s="92"/>
      <c r="AL116" s="92"/>
      <c r="AM116" s="92"/>
      <c r="AN116" s="1291"/>
      <c r="AO116" s="92"/>
      <c r="AP116" s="92"/>
      <c r="AQ116" s="92"/>
      <c r="AR116" s="92"/>
      <c r="AS116" s="92"/>
      <c r="AT116" s="93"/>
      <c r="AU116" s="94"/>
      <c r="AV116" s="1863">
        <f t="shared" si="90"/>
        <v>0</v>
      </c>
      <c r="AW116" s="1863">
        <f t="shared" si="91"/>
        <v>0</v>
      </c>
      <c r="AX116" s="1863">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16"/>
      <c r="C117" s="1317"/>
      <c r="D117" s="80"/>
      <c r="E117" s="87">
        <f t="shared" si="89"/>
        <v>0</v>
      </c>
      <c r="F117" s="88"/>
      <c r="G117" s="89">
        <f t="shared" si="64"/>
        <v>0</v>
      </c>
      <c r="H117" s="90">
        <f t="shared" si="65"/>
        <v>0</v>
      </c>
      <c r="I117" s="1319"/>
      <c r="J117" s="91"/>
      <c r="K117" s="1319"/>
      <c r="L117" s="91"/>
      <c r="M117" s="91"/>
      <c r="N117" s="91"/>
      <c r="O117" s="91"/>
      <c r="P117" s="91"/>
      <c r="Q117" s="91"/>
      <c r="R117" s="91"/>
      <c r="S117" s="91"/>
      <c r="T117" s="91"/>
      <c r="U117" s="91"/>
      <c r="V117" s="91"/>
      <c r="W117" s="91"/>
      <c r="X117" s="91"/>
      <c r="Y117" s="91"/>
      <c r="Z117" s="91"/>
      <c r="AA117" s="91"/>
      <c r="AB117" s="91"/>
      <c r="AC117" s="87">
        <f t="shared" si="66"/>
        <v>0</v>
      </c>
      <c r="AD117" s="92"/>
      <c r="AE117" s="92"/>
      <c r="AF117" s="1320"/>
      <c r="AG117" s="92"/>
      <c r="AH117" s="92"/>
      <c r="AI117" s="92"/>
      <c r="AJ117" s="92"/>
      <c r="AK117" s="92"/>
      <c r="AL117" s="92"/>
      <c r="AM117" s="92"/>
      <c r="AN117" s="92"/>
      <c r="AO117" s="92"/>
      <c r="AP117" s="92"/>
      <c r="AQ117" s="92"/>
      <c r="AR117" s="92"/>
      <c r="AS117" s="92"/>
      <c r="AT117" s="93"/>
      <c r="AU117" s="94"/>
      <c r="AV117" s="1863">
        <f t="shared" si="90"/>
        <v>0</v>
      </c>
      <c r="AW117" s="1863">
        <f t="shared" si="91"/>
        <v>0</v>
      </c>
      <c r="AX117" s="1863">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16"/>
      <c r="C118" s="1317"/>
      <c r="D118" s="80"/>
      <c r="E118" s="87">
        <f t="shared" si="89"/>
        <v>0</v>
      </c>
      <c r="F118" s="88"/>
      <c r="G118" s="89">
        <f t="shared" si="64"/>
        <v>0</v>
      </c>
      <c r="H118" s="90">
        <f t="shared" si="65"/>
        <v>0</v>
      </c>
      <c r="I118" s="1319"/>
      <c r="J118" s="91"/>
      <c r="K118" s="1319"/>
      <c r="L118" s="91"/>
      <c r="M118" s="91"/>
      <c r="N118" s="91"/>
      <c r="O118" s="91"/>
      <c r="P118" s="91"/>
      <c r="Q118" s="91"/>
      <c r="R118" s="91"/>
      <c r="S118" s="91"/>
      <c r="T118" s="91"/>
      <c r="U118" s="91"/>
      <c r="V118" s="91"/>
      <c r="W118" s="91"/>
      <c r="X118" s="91"/>
      <c r="Y118" s="91"/>
      <c r="Z118" s="91"/>
      <c r="AA118" s="91"/>
      <c r="AB118" s="91"/>
      <c r="AC118" s="87">
        <f t="shared" si="66"/>
        <v>0</v>
      </c>
      <c r="AD118" s="92"/>
      <c r="AE118" s="92"/>
      <c r="AF118" s="1320"/>
      <c r="AG118" s="92"/>
      <c r="AH118" s="92"/>
      <c r="AI118" s="92"/>
      <c r="AJ118" s="92"/>
      <c r="AK118" s="92"/>
      <c r="AL118" s="92"/>
      <c r="AM118" s="92"/>
      <c r="AN118" s="92"/>
      <c r="AO118" s="92"/>
      <c r="AP118" s="92"/>
      <c r="AQ118" s="92"/>
      <c r="AR118" s="92"/>
      <c r="AS118" s="92"/>
      <c r="AT118" s="93"/>
      <c r="AU118" s="94"/>
      <c r="AV118" s="1863">
        <f t="shared" si="90"/>
        <v>0</v>
      </c>
      <c r="AW118" s="1863">
        <f t="shared" si="91"/>
        <v>0</v>
      </c>
      <c r="AX118" s="1863">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16"/>
      <c r="C119" s="1317"/>
      <c r="D119" s="80"/>
      <c r="E119" s="87">
        <f t="shared" si="89"/>
        <v>0</v>
      </c>
      <c r="F119" s="88"/>
      <c r="G119" s="89">
        <f t="shared" si="64"/>
        <v>0</v>
      </c>
      <c r="H119" s="90">
        <f t="shared" si="65"/>
        <v>0</v>
      </c>
      <c r="I119" s="1319"/>
      <c r="J119" s="91"/>
      <c r="K119" s="1319"/>
      <c r="L119" s="91"/>
      <c r="M119" s="91"/>
      <c r="N119" s="91"/>
      <c r="O119" s="91"/>
      <c r="P119" s="91"/>
      <c r="Q119" s="91"/>
      <c r="R119" s="91"/>
      <c r="S119" s="91"/>
      <c r="T119" s="91"/>
      <c r="U119" s="91"/>
      <c r="V119" s="91"/>
      <c r="W119" s="91"/>
      <c r="X119" s="91"/>
      <c r="Y119" s="91"/>
      <c r="Z119" s="91"/>
      <c r="AA119" s="91"/>
      <c r="AB119" s="91"/>
      <c r="AC119" s="87">
        <f t="shared" si="66"/>
        <v>0</v>
      </c>
      <c r="AD119" s="92"/>
      <c r="AE119" s="92"/>
      <c r="AF119" s="1320"/>
      <c r="AG119" s="92"/>
      <c r="AH119" s="92"/>
      <c r="AI119" s="92"/>
      <c r="AJ119" s="92"/>
      <c r="AK119" s="92"/>
      <c r="AL119" s="92"/>
      <c r="AM119" s="92"/>
      <c r="AN119" s="92"/>
      <c r="AO119" s="92"/>
      <c r="AP119" s="92"/>
      <c r="AQ119" s="92"/>
      <c r="AR119" s="92"/>
      <c r="AS119" s="92"/>
      <c r="AT119" s="93"/>
      <c r="AU119" s="94"/>
      <c r="AV119" s="1863">
        <f t="shared" si="90"/>
        <v>0</v>
      </c>
      <c r="AW119" s="1863">
        <f t="shared" si="91"/>
        <v>0</v>
      </c>
      <c r="AX119" s="1863">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16"/>
      <c r="C120" s="1317"/>
      <c r="D120" s="80"/>
      <c r="E120" s="87">
        <f t="shared" si="89"/>
        <v>0</v>
      </c>
      <c r="F120" s="88"/>
      <c r="G120" s="89">
        <f t="shared" si="64"/>
        <v>0</v>
      </c>
      <c r="H120" s="90">
        <f t="shared" si="65"/>
        <v>0</v>
      </c>
      <c r="I120" s="1319"/>
      <c r="J120" s="91"/>
      <c r="K120" s="1319"/>
      <c r="L120" s="91"/>
      <c r="M120" s="91"/>
      <c r="N120" s="91"/>
      <c r="O120" s="91"/>
      <c r="P120" s="91"/>
      <c r="Q120" s="91"/>
      <c r="R120" s="91"/>
      <c r="S120" s="91"/>
      <c r="T120" s="91"/>
      <c r="U120" s="91"/>
      <c r="V120" s="91"/>
      <c r="W120" s="91"/>
      <c r="X120" s="91"/>
      <c r="Y120" s="91"/>
      <c r="Z120" s="91"/>
      <c r="AA120" s="91"/>
      <c r="AB120" s="91"/>
      <c r="AC120" s="87">
        <f t="shared" si="66"/>
        <v>0</v>
      </c>
      <c r="AD120" s="92"/>
      <c r="AE120" s="92"/>
      <c r="AF120" s="1319"/>
      <c r="AG120" s="92"/>
      <c r="AH120" s="92"/>
      <c r="AI120" s="92"/>
      <c r="AJ120" s="92"/>
      <c r="AK120" s="92"/>
      <c r="AL120" s="92"/>
      <c r="AM120" s="92"/>
      <c r="AN120" s="92"/>
      <c r="AO120" s="92"/>
      <c r="AP120" s="92"/>
      <c r="AQ120" s="92"/>
      <c r="AR120" s="92"/>
      <c r="AS120" s="92"/>
      <c r="AT120" s="93"/>
      <c r="AU120" s="94"/>
      <c r="AV120" s="1863">
        <f t="shared" si="90"/>
        <v>0</v>
      </c>
      <c r="AW120" s="1863">
        <f t="shared" si="91"/>
        <v>0</v>
      </c>
      <c r="AX120" s="1863">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18"/>
      <c r="C121" s="1319"/>
      <c r="D121" s="80"/>
      <c r="E121" s="87">
        <f t="shared" si="89"/>
        <v>0</v>
      </c>
      <c r="F121" s="88"/>
      <c r="G121" s="89">
        <f t="shared" si="64"/>
        <v>0</v>
      </c>
      <c r="H121" s="90">
        <f t="shared" si="65"/>
        <v>0</v>
      </c>
      <c r="I121" s="1319"/>
      <c r="J121" s="91"/>
      <c r="K121" s="1319"/>
      <c r="L121" s="91"/>
      <c r="M121" s="91"/>
      <c r="N121" s="91"/>
      <c r="O121" s="91"/>
      <c r="P121" s="91"/>
      <c r="Q121" s="91"/>
      <c r="R121" s="91"/>
      <c r="S121" s="91"/>
      <c r="T121" s="91"/>
      <c r="U121" s="91"/>
      <c r="V121" s="91"/>
      <c r="W121" s="91"/>
      <c r="X121" s="91"/>
      <c r="Y121" s="91"/>
      <c r="Z121" s="91"/>
      <c r="AA121" s="91"/>
      <c r="AB121" s="91"/>
      <c r="AC121" s="87">
        <f t="shared" si="66"/>
        <v>0</v>
      </c>
      <c r="AD121" s="92"/>
      <c r="AE121" s="92"/>
      <c r="AF121" s="1319"/>
      <c r="AG121" s="92"/>
      <c r="AH121" s="92"/>
      <c r="AI121" s="92"/>
      <c r="AJ121" s="92"/>
      <c r="AK121" s="92"/>
      <c r="AL121" s="92"/>
      <c r="AM121" s="92"/>
      <c r="AN121" s="92"/>
      <c r="AO121" s="92"/>
      <c r="AP121" s="92"/>
      <c r="AQ121" s="92"/>
      <c r="AR121" s="92"/>
      <c r="AS121" s="92"/>
      <c r="AT121" s="93"/>
      <c r="AU121" s="94"/>
      <c r="AV121" s="1863">
        <f t="shared" si="90"/>
        <v>0</v>
      </c>
      <c r="AW121" s="1863">
        <f t="shared" si="91"/>
        <v>0</v>
      </c>
      <c r="AX121" s="1863">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16"/>
      <c r="C122" s="1317"/>
      <c r="D122" s="80"/>
      <c r="E122" s="87">
        <f t="shared" si="89"/>
        <v>0</v>
      </c>
      <c r="F122" s="88"/>
      <c r="G122" s="89">
        <f t="shared" si="64"/>
        <v>0</v>
      </c>
      <c r="H122" s="90">
        <f t="shared" si="65"/>
        <v>0</v>
      </c>
      <c r="I122" s="1319"/>
      <c r="J122" s="91"/>
      <c r="K122" s="1319"/>
      <c r="L122" s="91"/>
      <c r="M122" s="91"/>
      <c r="N122" s="91"/>
      <c r="O122" s="91"/>
      <c r="P122" s="91"/>
      <c r="Q122" s="91"/>
      <c r="R122" s="91"/>
      <c r="S122" s="91"/>
      <c r="T122" s="91"/>
      <c r="U122" s="91"/>
      <c r="V122" s="91"/>
      <c r="W122" s="91"/>
      <c r="X122" s="91"/>
      <c r="Y122" s="91"/>
      <c r="Z122" s="91"/>
      <c r="AA122" s="91"/>
      <c r="AB122" s="91"/>
      <c r="AC122" s="87">
        <f t="shared" si="66"/>
        <v>0</v>
      </c>
      <c r="AD122" s="92"/>
      <c r="AE122" s="92"/>
      <c r="AF122" s="1319"/>
      <c r="AG122" s="92"/>
      <c r="AH122" s="92"/>
      <c r="AI122" s="92"/>
      <c r="AJ122" s="92"/>
      <c r="AK122" s="92"/>
      <c r="AL122" s="92"/>
      <c r="AM122" s="92"/>
      <c r="AN122" s="92"/>
      <c r="AO122" s="92"/>
      <c r="AP122" s="92"/>
      <c r="AQ122" s="92"/>
      <c r="AR122" s="92"/>
      <c r="AS122" s="92"/>
      <c r="AT122" s="93"/>
      <c r="AU122" s="94"/>
      <c r="AV122" s="1863">
        <f t="shared" si="90"/>
        <v>0</v>
      </c>
      <c r="AW122" s="1863">
        <f t="shared" si="91"/>
        <v>0</v>
      </c>
      <c r="AX122" s="1863">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16"/>
      <c r="C123" s="1317"/>
      <c r="D123" s="80"/>
      <c r="E123" s="87">
        <f t="shared" si="89"/>
        <v>0</v>
      </c>
      <c r="F123" s="88"/>
      <c r="G123" s="89">
        <f t="shared" si="64"/>
        <v>0</v>
      </c>
      <c r="H123" s="90">
        <f t="shared" si="65"/>
        <v>0</v>
      </c>
      <c r="I123" s="1319"/>
      <c r="J123" s="91"/>
      <c r="K123" s="1319"/>
      <c r="L123" s="91"/>
      <c r="M123" s="91"/>
      <c r="N123" s="91"/>
      <c r="O123" s="91"/>
      <c r="P123" s="91"/>
      <c r="Q123" s="91"/>
      <c r="R123" s="91"/>
      <c r="S123" s="91"/>
      <c r="T123" s="91"/>
      <c r="U123" s="91"/>
      <c r="V123" s="91"/>
      <c r="W123" s="91"/>
      <c r="X123" s="91"/>
      <c r="Y123" s="91"/>
      <c r="Z123" s="91"/>
      <c r="AA123" s="91"/>
      <c r="AB123" s="91"/>
      <c r="AC123" s="87">
        <f t="shared" si="66"/>
        <v>0</v>
      </c>
      <c r="AD123" s="92"/>
      <c r="AE123" s="92"/>
      <c r="AF123" s="1319"/>
      <c r="AG123" s="92"/>
      <c r="AH123" s="92"/>
      <c r="AI123" s="92"/>
      <c r="AJ123" s="92"/>
      <c r="AK123" s="92"/>
      <c r="AL123" s="92"/>
      <c r="AM123" s="92"/>
      <c r="AN123" s="92"/>
      <c r="AO123" s="92"/>
      <c r="AP123" s="92"/>
      <c r="AQ123" s="92"/>
      <c r="AR123" s="92"/>
      <c r="AS123" s="92"/>
      <c r="AT123" s="93"/>
      <c r="AU123" s="94"/>
      <c r="AV123" s="1863">
        <f t="shared" si="90"/>
        <v>0</v>
      </c>
      <c r="AW123" s="1863">
        <f t="shared" si="91"/>
        <v>0</v>
      </c>
      <c r="AX123" s="1863">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16"/>
      <c r="C124" s="1317"/>
      <c r="D124" s="80"/>
      <c r="E124" s="87">
        <f t="shared" si="89"/>
        <v>0</v>
      </c>
      <c r="F124" s="88"/>
      <c r="G124" s="89">
        <f t="shared" si="64"/>
        <v>0</v>
      </c>
      <c r="H124" s="90">
        <f t="shared" si="65"/>
        <v>0</v>
      </c>
      <c r="I124" s="1319"/>
      <c r="J124" s="91"/>
      <c r="K124" s="1319"/>
      <c r="L124" s="91"/>
      <c r="M124" s="91"/>
      <c r="N124" s="91"/>
      <c r="O124" s="91"/>
      <c r="P124" s="91"/>
      <c r="Q124" s="91"/>
      <c r="R124" s="91"/>
      <c r="S124" s="91"/>
      <c r="T124" s="91"/>
      <c r="U124" s="91"/>
      <c r="V124" s="91"/>
      <c r="W124" s="91"/>
      <c r="X124" s="91"/>
      <c r="Y124" s="91"/>
      <c r="Z124" s="91"/>
      <c r="AA124" s="91"/>
      <c r="AB124" s="91"/>
      <c r="AC124" s="87">
        <f t="shared" si="66"/>
        <v>0</v>
      </c>
      <c r="AD124" s="92"/>
      <c r="AE124" s="92"/>
      <c r="AF124" s="1319"/>
      <c r="AG124" s="92"/>
      <c r="AH124" s="92"/>
      <c r="AI124" s="92"/>
      <c r="AJ124" s="92"/>
      <c r="AK124" s="92"/>
      <c r="AL124" s="92"/>
      <c r="AM124" s="92"/>
      <c r="AN124" s="92"/>
      <c r="AO124" s="92"/>
      <c r="AP124" s="92"/>
      <c r="AQ124" s="92"/>
      <c r="AR124" s="92"/>
      <c r="AS124" s="92"/>
      <c r="AT124" s="93"/>
      <c r="AU124" s="94"/>
      <c r="AV124" s="1863">
        <f t="shared" si="90"/>
        <v>0</v>
      </c>
      <c r="AW124" s="1863">
        <f t="shared" si="91"/>
        <v>0</v>
      </c>
      <c r="AX124" s="1863">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16"/>
      <c r="C125" s="1317"/>
      <c r="D125" s="80"/>
      <c r="E125" s="87">
        <f t="shared" si="89"/>
        <v>0</v>
      </c>
      <c r="F125" s="88"/>
      <c r="G125" s="89">
        <f t="shared" si="64"/>
        <v>0</v>
      </c>
      <c r="H125" s="90">
        <f t="shared" si="65"/>
        <v>0</v>
      </c>
      <c r="I125" s="1319"/>
      <c r="J125" s="91"/>
      <c r="K125" s="1319"/>
      <c r="L125" s="91"/>
      <c r="M125" s="91"/>
      <c r="N125" s="91"/>
      <c r="O125" s="91"/>
      <c r="P125" s="91"/>
      <c r="Q125" s="91"/>
      <c r="R125" s="91"/>
      <c r="S125" s="91"/>
      <c r="T125" s="91"/>
      <c r="U125" s="91"/>
      <c r="V125" s="91"/>
      <c r="W125" s="91"/>
      <c r="X125" s="91"/>
      <c r="Y125" s="91"/>
      <c r="Z125" s="91"/>
      <c r="AA125" s="91"/>
      <c r="AB125" s="91"/>
      <c r="AC125" s="87">
        <f t="shared" si="66"/>
        <v>0</v>
      </c>
      <c r="AD125" s="92"/>
      <c r="AE125" s="92"/>
      <c r="AF125" s="1319"/>
      <c r="AG125" s="92"/>
      <c r="AH125" s="92"/>
      <c r="AI125" s="92"/>
      <c r="AJ125" s="92"/>
      <c r="AK125" s="92"/>
      <c r="AL125" s="92"/>
      <c r="AM125" s="92"/>
      <c r="AN125" s="92"/>
      <c r="AO125" s="92"/>
      <c r="AP125" s="92"/>
      <c r="AQ125" s="92"/>
      <c r="AR125" s="92"/>
      <c r="AS125" s="92"/>
      <c r="AT125" s="93"/>
      <c r="AU125" s="94"/>
      <c r="AV125" s="1863">
        <f t="shared" si="90"/>
        <v>0</v>
      </c>
      <c r="AW125" s="1863">
        <f t="shared" si="91"/>
        <v>0</v>
      </c>
      <c r="AX125" s="1863">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16"/>
      <c r="C126" s="1317"/>
      <c r="D126" s="80"/>
      <c r="E126" s="87">
        <f t="shared" si="89"/>
        <v>0</v>
      </c>
      <c r="F126" s="88"/>
      <c r="G126" s="89">
        <f t="shared" si="64"/>
        <v>0</v>
      </c>
      <c r="H126" s="90">
        <f t="shared" si="65"/>
        <v>0</v>
      </c>
      <c r="I126" s="1319"/>
      <c r="J126" s="91"/>
      <c r="K126" s="1319"/>
      <c r="L126" s="91"/>
      <c r="M126" s="91"/>
      <c r="N126" s="91"/>
      <c r="O126" s="91"/>
      <c r="P126" s="91"/>
      <c r="Q126" s="91"/>
      <c r="R126" s="91"/>
      <c r="S126" s="91"/>
      <c r="T126" s="91"/>
      <c r="U126" s="91"/>
      <c r="V126" s="91"/>
      <c r="W126" s="91"/>
      <c r="X126" s="91"/>
      <c r="Y126" s="91"/>
      <c r="Z126" s="91"/>
      <c r="AA126" s="91"/>
      <c r="AB126" s="91"/>
      <c r="AC126" s="87">
        <f t="shared" si="66"/>
        <v>0</v>
      </c>
      <c r="AD126" s="92"/>
      <c r="AE126" s="92"/>
      <c r="AF126" s="1319"/>
      <c r="AG126" s="92"/>
      <c r="AH126" s="92"/>
      <c r="AI126" s="92"/>
      <c r="AJ126" s="92"/>
      <c r="AK126" s="92"/>
      <c r="AL126" s="92"/>
      <c r="AM126" s="92"/>
      <c r="AN126" s="92"/>
      <c r="AO126" s="92"/>
      <c r="AP126" s="92"/>
      <c r="AQ126" s="92"/>
      <c r="AR126" s="92"/>
      <c r="AS126" s="92"/>
      <c r="AT126" s="93"/>
      <c r="AU126" s="94"/>
      <c r="AV126" s="1863">
        <f t="shared" si="90"/>
        <v>0</v>
      </c>
      <c r="AW126" s="1863">
        <f t="shared" si="91"/>
        <v>0</v>
      </c>
      <c r="AX126" s="1863">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16"/>
      <c r="C127" s="1317"/>
      <c r="D127" s="80"/>
      <c r="E127" s="87">
        <f t="shared" si="89"/>
        <v>0</v>
      </c>
      <c r="F127" s="88"/>
      <c r="G127" s="89">
        <f t="shared" si="64"/>
        <v>0</v>
      </c>
      <c r="H127" s="90">
        <f t="shared" si="65"/>
        <v>0</v>
      </c>
      <c r="I127" s="1319"/>
      <c r="J127" s="91"/>
      <c r="K127" s="1319"/>
      <c r="L127" s="91"/>
      <c r="M127" s="91"/>
      <c r="N127" s="91"/>
      <c r="O127" s="91"/>
      <c r="P127" s="91"/>
      <c r="Q127" s="91"/>
      <c r="R127" s="91"/>
      <c r="S127" s="91"/>
      <c r="T127" s="91"/>
      <c r="U127" s="91"/>
      <c r="V127" s="91"/>
      <c r="W127" s="91"/>
      <c r="X127" s="91"/>
      <c r="Y127" s="91"/>
      <c r="Z127" s="91"/>
      <c r="AA127" s="91"/>
      <c r="AB127" s="91"/>
      <c r="AC127" s="87">
        <f t="shared" si="66"/>
        <v>0</v>
      </c>
      <c r="AD127" s="92"/>
      <c r="AE127" s="92"/>
      <c r="AF127" s="1319"/>
      <c r="AG127" s="92"/>
      <c r="AH127" s="92"/>
      <c r="AI127" s="92"/>
      <c r="AJ127" s="92"/>
      <c r="AK127" s="92"/>
      <c r="AL127" s="92"/>
      <c r="AM127" s="92"/>
      <c r="AN127" s="92"/>
      <c r="AO127" s="92"/>
      <c r="AP127" s="92"/>
      <c r="AQ127" s="92"/>
      <c r="AR127" s="92"/>
      <c r="AS127" s="92"/>
      <c r="AT127" s="93"/>
      <c r="AU127" s="94"/>
      <c r="AV127" s="1863">
        <f t="shared" si="90"/>
        <v>0</v>
      </c>
      <c r="AW127" s="1863">
        <f t="shared" si="91"/>
        <v>0</v>
      </c>
      <c r="AX127" s="1863">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16"/>
      <c r="C128" s="1317"/>
      <c r="D128" s="80"/>
      <c r="E128" s="87">
        <f t="shared" si="89"/>
        <v>0</v>
      </c>
      <c r="F128" s="88"/>
      <c r="G128" s="89">
        <f t="shared" si="64"/>
        <v>0</v>
      </c>
      <c r="H128" s="90">
        <f t="shared" si="65"/>
        <v>0</v>
      </c>
      <c r="I128" s="1319"/>
      <c r="J128" s="91"/>
      <c r="K128" s="1319"/>
      <c r="L128" s="91"/>
      <c r="M128" s="91"/>
      <c r="N128" s="91"/>
      <c r="O128" s="91"/>
      <c r="P128" s="91"/>
      <c r="Q128" s="91"/>
      <c r="R128" s="91"/>
      <c r="S128" s="91"/>
      <c r="T128" s="91"/>
      <c r="U128" s="91"/>
      <c r="V128" s="91"/>
      <c r="W128" s="91"/>
      <c r="X128" s="91"/>
      <c r="Y128" s="91"/>
      <c r="Z128" s="91"/>
      <c r="AA128" s="91"/>
      <c r="AB128" s="91"/>
      <c r="AC128" s="87">
        <f t="shared" si="66"/>
        <v>0</v>
      </c>
      <c r="AD128" s="92"/>
      <c r="AE128" s="92"/>
      <c r="AF128" s="1319"/>
      <c r="AG128" s="92"/>
      <c r="AH128" s="92"/>
      <c r="AI128" s="92"/>
      <c r="AJ128" s="92"/>
      <c r="AK128" s="92"/>
      <c r="AL128" s="92"/>
      <c r="AM128" s="92"/>
      <c r="AN128" s="92"/>
      <c r="AO128" s="92"/>
      <c r="AP128" s="92"/>
      <c r="AQ128" s="92"/>
      <c r="AR128" s="92"/>
      <c r="AS128" s="92"/>
      <c r="AT128" s="93"/>
      <c r="AU128" s="94"/>
      <c r="AV128" s="1863">
        <f t="shared" si="90"/>
        <v>0</v>
      </c>
      <c r="AW128" s="1863">
        <f t="shared" si="91"/>
        <v>0</v>
      </c>
      <c r="AX128" s="1863">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16"/>
      <c r="C129" s="1317"/>
      <c r="D129" s="80"/>
      <c r="E129" s="87">
        <f t="shared" si="89"/>
        <v>0</v>
      </c>
      <c r="F129" s="88"/>
      <c r="G129" s="89">
        <f t="shared" si="64"/>
        <v>0</v>
      </c>
      <c r="H129" s="90">
        <f t="shared" si="65"/>
        <v>0</v>
      </c>
      <c r="I129" s="1319"/>
      <c r="J129" s="91"/>
      <c r="K129" s="1319"/>
      <c r="L129" s="91"/>
      <c r="M129" s="91"/>
      <c r="N129" s="91"/>
      <c r="O129" s="91"/>
      <c r="P129" s="91"/>
      <c r="Q129" s="91"/>
      <c r="R129" s="91"/>
      <c r="S129" s="91"/>
      <c r="T129" s="91"/>
      <c r="U129" s="91"/>
      <c r="V129" s="91"/>
      <c r="W129" s="91"/>
      <c r="X129" s="91"/>
      <c r="Y129" s="91"/>
      <c r="Z129" s="91"/>
      <c r="AA129" s="91"/>
      <c r="AB129" s="91"/>
      <c r="AC129" s="87">
        <f t="shared" si="66"/>
        <v>0</v>
      </c>
      <c r="AD129" s="92"/>
      <c r="AE129" s="92"/>
      <c r="AF129" s="1319"/>
      <c r="AG129" s="92"/>
      <c r="AH129" s="92"/>
      <c r="AI129" s="92"/>
      <c r="AJ129" s="92"/>
      <c r="AK129" s="92"/>
      <c r="AL129" s="92"/>
      <c r="AM129" s="92"/>
      <c r="AN129" s="92"/>
      <c r="AO129" s="92"/>
      <c r="AP129" s="92"/>
      <c r="AQ129" s="92"/>
      <c r="AR129" s="92"/>
      <c r="AS129" s="92"/>
      <c r="AT129" s="93"/>
      <c r="AU129" s="94"/>
      <c r="AV129" s="1863">
        <f t="shared" si="90"/>
        <v>0</v>
      </c>
      <c r="AW129" s="1863">
        <f t="shared" si="91"/>
        <v>0</v>
      </c>
      <c r="AX129" s="1863">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16"/>
      <c r="C130" s="1317"/>
      <c r="D130" s="80"/>
      <c r="E130" s="87">
        <f t="shared" si="89"/>
        <v>0</v>
      </c>
      <c r="F130" s="88"/>
      <c r="G130" s="89">
        <f t="shared" si="64"/>
        <v>0</v>
      </c>
      <c r="H130" s="90">
        <f t="shared" si="65"/>
        <v>0</v>
      </c>
      <c r="I130" s="1319"/>
      <c r="J130" s="91"/>
      <c r="K130" s="1319"/>
      <c r="L130" s="91"/>
      <c r="M130" s="91"/>
      <c r="N130" s="91"/>
      <c r="O130" s="91"/>
      <c r="P130" s="91"/>
      <c r="Q130" s="91"/>
      <c r="R130" s="91"/>
      <c r="S130" s="91"/>
      <c r="T130" s="91"/>
      <c r="U130" s="91"/>
      <c r="V130" s="91"/>
      <c r="W130" s="91"/>
      <c r="X130" s="91"/>
      <c r="Y130" s="91"/>
      <c r="Z130" s="91"/>
      <c r="AA130" s="91"/>
      <c r="AB130" s="91"/>
      <c r="AC130" s="87">
        <f t="shared" si="66"/>
        <v>0</v>
      </c>
      <c r="AD130" s="92"/>
      <c r="AE130" s="92"/>
      <c r="AF130" s="1319"/>
      <c r="AG130" s="92"/>
      <c r="AH130" s="92"/>
      <c r="AI130" s="92"/>
      <c r="AJ130" s="92"/>
      <c r="AK130" s="92"/>
      <c r="AL130" s="92"/>
      <c r="AM130" s="92"/>
      <c r="AN130" s="92"/>
      <c r="AO130" s="92"/>
      <c r="AP130" s="92"/>
      <c r="AQ130" s="92"/>
      <c r="AR130" s="92"/>
      <c r="AS130" s="92"/>
      <c r="AT130" s="93"/>
      <c r="AU130" s="94"/>
      <c r="AV130" s="1863">
        <f t="shared" si="90"/>
        <v>0</v>
      </c>
      <c r="AW130" s="1863">
        <f t="shared" si="91"/>
        <v>0</v>
      </c>
      <c r="AX130" s="1863">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16"/>
      <c r="C131" s="1317"/>
      <c r="D131" s="80"/>
      <c r="E131" s="87">
        <f t="shared" si="89"/>
        <v>0</v>
      </c>
      <c r="F131" s="88"/>
      <c r="G131" s="89">
        <f t="shared" si="64"/>
        <v>0</v>
      </c>
      <c r="H131" s="90">
        <f t="shared" si="65"/>
        <v>0</v>
      </c>
      <c r="I131" s="1319"/>
      <c r="J131" s="91"/>
      <c r="K131" s="1319"/>
      <c r="L131" s="91"/>
      <c r="M131" s="91"/>
      <c r="N131" s="91"/>
      <c r="O131" s="91"/>
      <c r="P131" s="91"/>
      <c r="Q131" s="91"/>
      <c r="R131" s="91"/>
      <c r="S131" s="91"/>
      <c r="T131" s="91"/>
      <c r="U131" s="91"/>
      <c r="V131" s="91"/>
      <c r="W131" s="91"/>
      <c r="X131" s="91"/>
      <c r="Y131" s="91"/>
      <c r="Z131" s="91"/>
      <c r="AA131" s="91"/>
      <c r="AB131" s="91"/>
      <c r="AC131" s="87">
        <f t="shared" si="66"/>
        <v>0</v>
      </c>
      <c r="AD131" s="92"/>
      <c r="AE131" s="92"/>
      <c r="AF131" s="1319"/>
      <c r="AG131" s="92"/>
      <c r="AH131" s="92"/>
      <c r="AI131" s="92"/>
      <c r="AJ131" s="92"/>
      <c r="AK131" s="92"/>
      <c r="AL131" s="92"/>
      <c r="AM131" s="92"/>
      <c r="AN131" s="92"/>
      <c r="AO131" s="92"/>
      <c r="AP131" s="92"/>
      <c r="AQ131" s="92"/>
      <c r="AR131" s="92"/>
      <c r="AS131" s="92"/>
      <c r="AT131" s="93"/>
      <c r="AU131" s="94"/>
      <c r="AV131" s="1863">
        <f t="shared" si="90"/>
        <v>0</v>
      </c>
      <c r="AW131" s="1863">
        <f t="shared" si="91"/>
        <v>0</v>
      </c>
      <c r="AX131" s="1863">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16"/>
      <c r="C132" s="1317"/>
      <c r="D132" s="80"/>
      <c r="E132" s="87">
        <f t="shared" si="89"/>
        <v>0</v>
      </c>
      <c r="F132" s="88"/>
      <c r="G132" s="89">
        <f t="shared" si="64"/>
        <v>0</v>
      </c>
      <c r="H132" s="90">
        <f t="shared" si="65"/>
        <v>0</v>
      </c>
      <c r="I132" s="1319"/>
      <c r="J132" s="91"/>
      <c r="K132" s="1319"/>
      <c r="L132" s="91"/>
      <c r="M132" s="91"/>
      <c r="N132" s="91"/>
      <c r="O132" s="91"/>
      <c r="P132" s="91"/>
      <c r="Q132" s="91"/>
      <c r="R132" s="91"/>
      <c r="S132" s="91"/>
      <c r="T132" s="91"/>
      <c r="U132" s="91"/>
      <c r="V132" s="91"/>
      <c r="W132" s="91"/>
      <c r="X132" s="91"/>
      <c r="Y132" s="91"/>
      <c r="Z132" s="91"/>
      <c r="AA132" s="91"/>
      <c r="AB132" s="91"/>
      <c r="AC132" s="87">
        <f t="shared" si="66"/>
        <v>0</v>
      </c>
      <c r="AD132" s="92"/>
      <c r="AE132" s="92"/>
      <c r="AF132" s="1319"/>
      <c r="AG132" s="92"/>
      <c r="AH132" s="92"/>
      <c r="AI132" s="92"/>
      <c r="AJ132" s="92"/>
      <c r="AK132" s="92"/>
      <c r="AL132" s="92"/>
      <c r="AM132" s="92"/>
      <c r="AN132" s="92"/>
      <c r="AO132" s="92"/>
      <c r="AP132" s="92"/>
      <c r="AQ132" s="92"/>
      <c r="AR132" s="92"/>
      <c r="AS132" s="92"/>
      <c r="AT132" s="93"/>
      <c r="AU132" s="94"/>
      <c r="AV132" s="1863">
        <f t="shared" si="90"/>
        <v>0</v>
      </c>
      <c r="AW132" s="1863">
        <f t="shared" si="91"/>
        <v>0</v>
      </c>
      <c r="AX132" s="1863">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16"/>
      <c r="C133" s="1317"/>
      <c r="D133" s="80"/>
      <c r="E133" s="87">
        <f t="shared" si="89"/>
        <v>0</v>
      </c>
      <c r="F133" s="88"/>
      <c r="G133" s="89">
        <f t="shared" si="64"/>
        <v>0</v>
      </c>
      <c r="H133" s="90">
        <f t="shared" si="65"/>
        <v>0</v>
      </c>
      <c r="I133" s="1319"/>
      <c r="J133" s="91"/>
      <c r="K133" s="1319"/>
      <c r="L133" s="91"/>
      <c r="M133" s="91"/>
      <c r="N133" s="91"/>
      <c r="O133" s="91"/>
      <c r="P133" s="91"/>
      <c r="Q133" s="91"/>
      <c r="R133" s="91"/>
      <c r="S133" s="91"/>
      <c r="T133" s="91"/>
      <c r="U133" s="91"/>
      <c r="V133" s="91"/>
      <c r="W133" s="91"/>
      <c r="X133" s="91"/>
      <c r="Y133" s="91"/>
      <c r="Z133" s="91"/>
      <c r="AA133" s="91"/>
      <c r="AB133" s="91"/>
      <c r="AC133" s="87">
        <f t="shared" si="66"/>
        <v>0</v>
      </c>
      <c r="AD133" s="92"/>
      <c r="AE133" s="92"/>
      <c r="AF133" s="1319"/>
      <c r="AG133" s="92"/>
      <c r="AH133" s="92"/>
      <c r="AI133" s="92"/>
      <c r="AJ133" s="92"/>
      <c r="AK133" s="92"/>
      <c r="AL133" s="92"/>
      <c r="AM133" s="92"/>
      <c r="AN133" s="92"/>
      <c r="AO133" s="92"/>
      <c r="AP133" s="92"/>
      <c r="AQ133" s="92"/>
      <c r="AR133" s="92"/>
      <c r="AS133" s="92"/>
      <c r="AT133" s="93"/>
      <c r="AU133" s="94"/>
      <c r="AV133" s="1863">
        <f t="shared" si="90"/>
        <v>0</v>
      </c>
      <c r="AW133" s="1863">
        <f t="shared" si="91"/>
        <v>0</v>
      </c>
      <c r="AX133" s="1863">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16"/>
      <c r="C134" s="1317"/>
      <c r="D134" s="80"/>
      <c r="E134" s="87">
        <f t="shared" si="89"/>
        <v>0</v>
      </c>
      <c r="F134" s="88"/>
      <c r="G134" s="89">
        <f t="shared" si="64"/>
        <v>0</v>
      </c>
      <c r="H134" s="90">
        <f t="shared" si="65"/>
        <v>0</v>
      </c>
      <c r="I134" s="1319"/>
      <c r="J134" s="91"/>
      <c r="K134" s="1319"/>
      <c r="L134" s="91"/>
      <c r="M134" s="91"/>
      <c r="N134" s="91"/>
      <c r="O134" s="91"/>
      <c r="P134" s="91"/>
      <c r="Q134" s="91"/>
      <c r="R134" s="91"/>
      <c r="S134" s="91"/>
      <c r="T134" s="91"/>
      <c r="U134" s="91"/>
      <c r="V134" s="91"/>
      <c r="W134" s="91"/>
      <c r="X134" s="91"/>
      <c r="Y134" s="91"/>
      <c r="Z134" s="91"/>
      <c r="AA134" s="91"/>
      <c r="AB134" s="91"/>
      <c r="AC134" s="87">
        <f t="shared" si="66"/>
        <v>0</v>
      </c>
      <c r="AD134" s="92"/>
      <c r="AE134" s="92"/>
      <c r="AF134" s="1319"/>
      <c r="AG134" s="92"/>
      <c r="AH134" s="92"/>
      <c r="AI134" s="92"/>
      <c r="AJ134" s="92"/>
      <c r="AK134" s="92"/>
      <c r="AL134" s="92"/>
      <c r="AM134" s="92"/>
      <c r="AN134" s="92"/>
      <c r="AO134" s="92"/>
      <c r="AP134" s="92"/>
      <c r="AQ134" s="92"/>
      <c r="AR134" s="92"/>
      <c r="AS134" s="92"/>
      <c r="AT134" s="93"/>
      <c r="AU134" s="94"/>
      <c r="AV134" s="1863">
        <f t="shared" si="90"/>
        <v>0</v>
      </c>
      <c r="AW134" s="1863">
        <f t="shared" si="91"/>
        <v>0</v>
      </c>
      <c r="AX134" s="1863">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16"/>
      <c r="C135" s="1317"/>
      <c r="D135" s="80"/>
      <c r="E135" s="87">
        <f t="shared" si="89"/>
        <v>0</v>
      </c>
      <c r="F135" s="88"/>
      <c r="G135" s="89">
        <f t="shared" si="64"/>
        <v>0</v>
      </c>
      <c r="H135" s="90">
        <f t="shared" si="65"/>
        <v>0</v>
      </c>
      <c r="I135" s="1319"/>
      <c r="J135" s="91"/>
      <c r="K135" s="1319"/>
      <c r="L135" s="91"/>
      <c r="M135" s="91"/>
      <c r="N135" s="91"/>
      <c r="O135" s="91"/>
      <c r="P135" s="91"/>
      <c r="Q135" s="91"/>
      <c r="R135" s="91"/>
      <c r="S135" s="91"/>
      <c r="T135" s="91"/>
      <c r="U135" s="91"/>
      <c r="V135" s="91"/>
      <c r="W135" s="91"/>
      <c r="X135" s="91"/>
      <c r="Y135" s="91"/>
      <c r="Z135" s="91"/>
      <c r="AA135" s="91"/>
      <c r="AB135" s="91"/>
      <c r="AC135" s="87">
        <f t="shared" si="66"/>
        <v>0</v>
      </c>
      <c r="AD135" s="92"/>
      <c r="AE135" s="92"/>
      <c r="AF135" s="1319"/>
      <c r="AG135" s="92"/>
      <c r="AH135" s="92"/>
      <c r="AI135" s="92"/>
      <c r="AJ135" s="92"/>
      <c r="AK135" s="92"/>
      <c r="AL135" s="92"/>
      <c r="AM135" s="92"/>
      <c r="AN135" s="92"/>
      <c r="AO135" s="92"/>
      <c r="AP135" s="92"/>
      <c r="AQ135" s="92"/>
      <c r="AR135" s="92"/>
      <c r="AS135" s="92"/>
      <c r="AT135" s="93"/>
      <c r="AU135" s="94"/>
      <c r="AV135" s="1863">
        <f t="shared" si="90"/>
        <v>0</v>
      </c>
      <c r="AW135" s="1863">
        <f t="shared" si="91"/>
        <v>0</v>
      </c>
      <c r="AX135" s="1863">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16"/>
      <c r="C136" s="1317"/>
      <c r="D136" s="80"/>
      <c r="E136" s="87">
        <f t="shared" si="89"/>
        <v>0</v>
      </c>
      <c r="F136" s="88"/>
      <c r="G136" s="89">
        <f t="shared" si="64"/>
        <v>0</v>
      </c>
      <c r="H136" s="90">
        <f t="shared" si="65"/>
        <v>0</v>
      </c>
      <c r="I136" s="1319"/>
      <c r="J136" s="91"/>
      <c r="K136" s="1319"/>
      <c r="L136" s="91"/>
      <c r="M136" s="91"/>
      <c r="N136" s="91"/>
      <c r="O136" s="91"/>
      <c r="P136" s="91"/>
      <c r="Q136" s="91"/>
      <c r="R136" s="91"/>
      <c r="S136" s="91"/>
      <c r="T136" s="91"/>
      <c r="U136" s="91"/>
      <c r="V136" s="91"/>
      <c r="W136" s="91"/>
      <c r="X136" s="91"/>
      <c r="Y136" s="91"/>
      <c r="Z136" s="91"/>
      <c r="AA136" s="91"/>
      <c r="AB136" s="91"/>
      <c r="AC136" s="87">
        <f t="shared" si="66"/>
        <v>0</v>
      </c>
      <c r="AD136" s="92"/>
      <c r="AE136" s="92"/>
      <c r="AF136" s="1319"/>
      <c r="AG136" s="92"/>
      <c r="AH136" s="92"/>
      <c r="AI136" s="92"/>
      <c r="AJ136" s="92"/>
      <c r="AK136" s="92"/>
      <c r="AL136" s="92"/>
      <c r="AM136" s="92"/>
      <c r="AN136" s="92"/>
      <c r="AO136" s="92"/>
      <c r="AP136" s="92"/>
      <c r="AQ136" s="92"/>
      <c r="AR136" s="92"/>
      <c r="AS136" s="92"/>
      <c r="AT136" s="93"/>
      <c r="AU136" s="94"/>
      <c r="AV136" s="1863">
        <f t="shared" si="90"/>
        <v>0</v>
      </c>
      <c r="AW136" s="1863">
        <f t="shared" si="91"/>
        <v>0</v>
      </c>
      <c r="AX136" s="1863">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16"/>
      <c r="C137" s="1317"/>
      <c r="D137" s="80"/>
      <c r="E137" s="87">
        <f t="shared" si="89"/>
        <v>0</v>
      </c>
      <c r="F137" s="88"/>
      <c r="G137" s="89">
        <f t="shared" si="64"/>
        <v>0</v>
      </c>
      <c r="H137" s="90">
        <f t="shared" si="65"/>
        <v>0</v>
      </c>
      <c r="I137" s="1319"/>
      <c r="J137" s="91"/>
      <c r="K137" s="1319"/>
      <c r="L137" s="91"/>
      <c r="M137" s="91"/>
      <c r="N137" s="91"/>
      <c r="O137" s="91"/>
      <c r="P137" s="91"/>
      <c r="Q137" s="91"/>
      <c r="R137" s="91"/>
      <c r="S137" s="91"/>
      <c r="T137" s="91"/>
      <c r="U137" s="91"/>
      <c r="V137" s="91"/>
      <c r="W137" s="91"/>
      <c r="X137" s="91"/>
      <c r="Y137" s="91"/>
      <c r="Z137" s="91"/>
      <c r="AA137" s="91"/>
      <c r="AB137" s="91"/>
      <c r="AC137" s="87">
        <f t="shared" si="66"/>
        <v>0</v>
      </c>
      <c r="AD137" s="92"/>
      <c r="AE137" s="92"/>
      <c r="AF137" s="1319"/>
      <c r="AG137" s="92"/>
      <c r="AH137" s="92"/>
      <c r="AI137" s="92"/>
      <c r="AJ137" s="92"/>
      <c r="AK137" s="92"/>
      <c r="AL137" s="92"/>
      <c r="AM137" s="92"/>
      <c r="AN137" s="92"/>
      <c r="AO137" s="92"/>
      <c r="AP137" s="92"/>
      <c r="AQ137" s="92"/>
      <c r="AR137" s="92"/>
      <c r="AS137" s="92"/>
      <c r="AT137" s="93"/>
      <c r="AU137" s="94"/>
      <c r="AV137" s="1863">
        <f t="shared" si="90"/>
        <v>0</v>
      </c>
      <c r="AW137" s="1863">
        <f t="shared" si="91"/>
        <v>0</v>
      </c>
      <c r="AX137" s="1863">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16"/>
      <c r="C138" s="1317"/>
      <c r="D138" s="80"/>
      <c r="E138" s="87">
        <f t="shared" si="89"/>
        <v>0</v>
      </c>
      <c r="F138" s="88"/>
      <c r="G138" s="89">
        <f t="shared" si="64"/>
        <v>0</v>
      </c>
      <c r="H138" s="90">
        <f t="shared" si="65"/>
        <v>0</v>
      </c>
      <c r="I138" s="1319"/>
      <c r="J138" s="91"/>
      <c r="K138" s="1319"/>
      <c r="L138" s="91"/>
      <c r="M138" s="91"/>
      <c r="N138" s="91"/>
      <c r="O138" s="91"/>
      <c r="P138" s="91"/>
      <c r="Q138" s="91"/>
      <c r="R138" s="91"/>
      <c r="S138" s="91"/>
      <c r="T138" s="91"/>
      <c r="U138" s="91"/>
      <c r="V138" s="91"/>
      <c r="W138" s="91"/>
      <c r="X138" s="91"/>
      <c r="Y138" s="91"/>
      <c r="Z138" s="91"/>
      <c r="AA138" s="91"/>
      <c r="AB138" s="91"/>
      <c r="AC138" s="87">
        <f t="shared" si="66"/>
        <v>0</v>
      </c>
      <c r="AD138" s="92"/>
      <c r="AE138" s="92"/>
      <c r="AF138" s="1319"/>
      <c r="AG138" s="92"/>
      <c r="AH138" s="92"/>
      <c r="AI138" s="92"/>
      <c r="AJ138" s="92"/>
      <c r="AK138" s="92"/>
      <c r="AL138" s="92"/>
      <c r="AM138" s="92"/>
      <c r="AN138" s="92"/>
      <c r="AO138" s="92"/>
      <c r="AP138" s="92"/>
      <c r="AQ138" s="92"/>
      <c r="AR138" s="92"/>
      <c r="AS138" s="92"/>
      <c r="AT138" s="93"/>
      <c r="AU138" s="94"/>
      <c r="AV138" s="1863">
        <f t="shared" si="90"/>
        <v>0</v>
      </c>
      <c r="AW138" s="1863">
        <f t="shared" si="91"/>
        <v>0</v>
      </c>
      <c r="AX138" s="1863">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16"/>
      <c r="C139" s="1317"/>
      <c r="D139" s="80"/>
      <c r="E139" s="87">
        <f t="shared" si="89"/>
        <v>0</v>
      </c>
      <c r="F139" s="88"/>
      <c r="G139" s="89">
        <f t="shared" si="64"/>
        <v>0</v>
      </c>
      <c r="H139" s="90">
        <f t="shared" si="65"/>
        <v>0</v>
      </c>
      <c r="I139" s="1319"/>
      <c r="J139" s="91"/>
      <c r="K139" s="1319"/>
      <c r="L139" s="91"/>
      <c r="M139" s="91"/>
      <c r="N139" s="91"/>
      <c r="O139" s="91"/>
      <c r="P139" s="91"/>
      <c r="Q139" s="91"/>
      <c r="R139" s="91"/>
      <c r="S139" s="91"/>
      <c r="T139" s="91"/>
      <c r="U139" s="91"/>
      <c r="V139" s="91"/>
      <c r="W139" s="91"/>
      <c r="X139" s="91"/>
      <c r="Y139" s="91"/>
      <c r="Z139" s="91"/>
      <c r="AA139" s="91"/>
      <c r="AB139" s="91"/>
      <c r="AC139" s="87">
        <f t="shared" si="66"/>
        <v>0</v>
      </c>
      <c r="AD139" s="92"/>
      <c r="AE139" s="92"/>
      <c r="AF139" s="1317"/>
      <c r="AG139" s="92"/>
      <c r="AH139" s="92"/>
      <c r="AI139" s="92"/>
      <c r="AJ139" s="92"/>
      <c r="AK139" s="92"/>
      <c r="AL139" s="92"/>
      <c r="AM139" s="92"/>
      <c r="AN139" s="92"/>
      <c r="AO139" s="92"/>
      <c r="AP139" s="92"/>
      <c r="AQ139" s="92"/>
      <c r="AR139" s="92"/>
      <c r="AS139" s="92"/>
      <c r="AT139" s="93"/>
      <c r="AU139" s="94"/>
      <c r="AV139" s="1863">
        <f t="shared" si="90"/>
        <v>0</v>
      </c>
      <c r="AW139" s="1863">
        <f t="shared" si="91"/>
        <v>0</v>
      </c>
      <c r="AX139" s="1863">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16"/>
      <c r="C140" s="1317"/>
      <c r="D140" s="80"/>
      <c r="E140" s="87">
        <f t="shared" si="89"/>
        <v>0</v>
      </c>
      <c r="F140" s="88"/>
      <c r="G140" s="89">
        <f t="shared" si="64"/>
        <v>0</v>
      </c>
      <c r="H140" s="90">
        <f t="shared" si="65"/>
        <v>0</v>
      </c>
      <c r="I140" s="1317"/>
      <c r="J140" s="91"/>
      <c r="K140" s="1317"/>
      <c r="L140" s="91"/>
      <c r="M140" s="91"/>
      <c r="N140" s="91"/>
      <c r="O140" s="91"/>
      <c r="P140" s="91"/>
      <c r="Q140" s="91"/>
      <c r="R140" s="91"/>
      <c r="S140" s="91"/>
      <c r="T140" s="91"/>
      <c r="U140" s="91"/>
      <c r="V140" s="91"/>
      <c r="W140" s="91"/>
      <c r="X140" s="91"/>
      <c r="Y140" s="91"/>
      <c r="Z140" s="91"/>
      <c r="AA140" s="91"/>
      <c r="AB140" s="91"/>
      <c r="AC140" s="87">
        <f t="shared" si="66"/>
        <v>0</v>
      </c>
      <c r="AD140" s="92"/>
      <c r="AE140" s="92"/>
      <c r="AF140" s="1317"/>
      <c r="AG140" s="92"/>
      <c r="AH140" s="92"/>
      <c r="AI140" s="92"/>
      <c r="AJ140" s="92"/>
      <c r="AK140" s="92"/>
      <c r="AL140" s="92"/>
      <c r="AM140" s="92"/>
      <c r="AN140" s="92"/>
      <c r="AO140" s="92"/>
      <c r="AP140" s="92"/>
      <c r="AQ140" s="92"/>
      <c r="AR140" s="92"/>
      <c r="AS140" s="92"/>
      <c r="AT140" s="93"/>
      <c r="AU140" s="94"/>
      <c r="AV140" s="1863">
        <f t="shared" si="90"/>
        <v>0</v>
      </c>
      <c r="AW140" s="1863">
        <f t="shared" si="91"/>
        <v>0</v>
      </c>
      <c r="AX140" s="1863">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16"/>
      <c r="C141" s="1317"/>
      <c r="D141" s="80"/>
      <c r="E141" s="87">
        <f t="shared" si="89"/>
        <v>0</v>
      </c>
      <c r="F141" s="88"/>
      <c r="G141" s="89">
        <f t="shared" si="64"/>
        <v>0</v>
      </c>
      <c r="H141" s="90">
        <f t="shared" si="65"/>
        <v>0</v>
      </c>
      <c r="I141" s="1317"/>
      <c r="J141" s="91"/>
      <c r="K141" s="1317"/>
      <c r="L141" s="91"/>
      <c r="M141" s="91"/>
      <c r="N141" s="91"/>
      <c r="O141" s="91"/>
      <c r="P141" s="91"/>
      <c r="Q141" s="91"/>
      <c r="R141" s="91"/>
      <c r="S141" s="91"/>
      <c r="T141" s="91"/>
      <c r="U141" s="91"/>
      <c r="V141" s="91"/>
      <c r="W141" s="91"/>
      <c r="X141" s="91"/>
      <c r="Y141" s="91"/>
      <c r="Z141" s="91"/>
      <c r="AA141" s="91"/>
      <c r="AB141" s="91"/>
      <c r="AC141" s="87">
        <f t="shared" si="66"/>
        <v>0</v>
      </c>
      <c r="AD141" s="92"/>
      <c r="AE141" s="92"/>
      <c r="AF141" s="1317"/>
      <c r="AG141" s="92"/>
      <c r="AH141" s="92"/>
      <c r="AI141" s="92"/>
      <c r="AJ141" s="92"/>
      <c r="AK141" s="92"/>
      <c r="AL141" s="92"/>
      <c r="AM141" s="92"/>
      <c r="AN141" s="92"/>
      <c r="AO141" s="92"/>
      <c r="AP141" s="92"/>
      <c r="AQ141" s="92"/>
      <c r="AR141" s="92"/>
      <c r="AS141" s="92"/>
      <c r="AT141" s="93"/>
      <c r="AU141" s="94"/>
      <c r="AV141" s="1863">
        <f t="shared" si="90"/>
        <v>0</v>
      </c>
      <c r="AW141" s="1863">
        <f t="shared" si="91"/>
        <v>0</v>
      </c>
      <c r="AX141" s="1863">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16"/>
      <c r="C142" s="1317"/>
      <c r="D142" s="80"/>
      <c r="E142" s="87">
        <f t="shared" si="89"/>
        <v>0</v>
      </c>
      <c r="F142" s="88"/>
      <c r="G142" s="89">
        <f t="shared" ref="G142:G173" si="93">H142+AC142+AT142</f>
        <v>0</v>
      </c>
      <c r="H142" s="90">
        <f t="shared" ref="H142:H173" si="94">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3">
        <f t="shared" si="90"/>
        <v>0</v>
      </c>
      <c r="AW142" s="1863">
        <f t="shared" si="91"/>
        <v>0</v>
      </c>
      <c r="AX142" s="1863">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16"/>
      <c r="C143" s="1317"/>
      <c r="D143" s="80"/>
      <c r="E143" s="87">
        <f t="shared" si="89"/>
        <v>0</v>
      </c>
      <c r="F143" s="88"/>
      <c r="G143" s="89">
        <f t="shared" si="93"/>
        <v>0</v>
      </c>
      <c r="H143" s="90">
        <f t="shared" si="94"/>
        <v>0</v>
      </c>
      <c r="I143" s="1317"/>
      <c r="J143" s="91"/>
      <c r="K143" s="1317"/>
      <c r="L143" s="91"/>
      <c r="M143" s="91"/>
      <c r="N143" s="91"/>
      <c r="O143" s="91"/>
      <c r="P143" s="91"/>
      <c r="Q143" s="91"/>
      <c r="R143" s="91"/>
      <c r="S143" s="91"/>
      <c r="T143" s="91"/>
      <c r="U143" s="91"/>
      <c r="V143" s="91"/>
      <c r="W143" s="91"/>
      <c r="X143" s="91"/>
      <c r="Y143" s="91"/>
      <c r="Z143" s="91"/>
      <c r="AA143" s="91"/>
      <c r="AB143" s="91"/>
      <c r="AC143" s="87">
        <f t="shared" si="95"/>
        <v>0</v>
      </c>
      <c r="AD143" s="92"/>
      <c r="AE143" s="92"/>
      <c r="AF143" s="1317"/>
      <c r="AG143" s="92"/>
      <c r="AH143" s="92"/>
      <c r="AI143" s="92"/>
      <c r="AJ143" s="92"/>
      <c r="AK143" s="92"/>
      <c r="AL143" s="92"/>
      <c r="AM143" s="92"/>
      <c r="AN143" s="92"/>
      <c r="AO143" s="92"/>
      <c r="AP143" s="92"/>
      <c r="AQ143" s="92"/>
      <c r="AR143" s="92"/>
      <c r="AS143" s="92"/>
      <c r="AT143" s="93"/>
      <c r="AU143" s="94"/>
      <c r="AV143" s="1863">
        <f t="shared" si="90"/>
        <v>0</v>
      </c>
      <c r="AW143" s="1863">
        <f t="shared" si="91"/>
        <v>0</v>
      </c>
      <c r="AX143" s="1863">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16"/>
      <c r="C144" s="1317"/>
      <c r="D144" s="80"/>
      <c r="E144" s="87">
        <f t="shared" si="89"/>
        <v>0</v>
      </c>
      <c r="F144" s="88"/>
      <c r="G144" s="89">
        <f t="shared" si="93"/>
        <v>0</v>
      </c>
      <c r="H144" s="90">
        <f t="shared" si="94"/>
        <v>0</v>
      </c>
      <c r="I144" s="1317"/>
      <c r="J144" s="91"/>
      <c r="K144" s="1317"/>
      <c r="L144" s="91"/>
      <c r="M144" s="91"/>
      <c r="N144" s="91"/>
      <c r="O144" s="91"/>
      <c r="P144" s="91"/>
      <c r="Q144" s="91"/>
      <c r="R144" s="91"/>
      <c r="S144" s="91"/>
      <c r="T144" s="91"/>
      <c r="U144" s="91"/>
      <c r="V144" s="91"/>
      <c r="W144" s="91"/>
      <c r="X144" s="91"/>
      <c r="Y144" s="91"/>
      <c r="Z144" s="91"/>
      <c r="AA144" s="91"/>
      <c r="AB144" s="91"/>
      <c r="AC144" s="87">
        <f t="shared" si="95"/>
        <v>0</v>
      </c>
      <c r="AD144" s="92"/>
      <c r="AE144" s="92"/>
      <c r="AF144" s="1317"/>
      <c r="AG144" s="92"/>
      <c r="AH144" s="92"/>
      <c r="AI144" s="92"/>
      <c r="AJ144" s="92"/>
      <c r="AK144" s="92"/>
      <c r="AL144" s="92"/>
      <c r="AM144" s="92"/>
      <c r="AN144" s="92"/>
      <c r="AO144" s="92"/>
      <c r="AP144" s="92"/>
      <c r="AQ144" s="92"/>
      <c r="AR144" s="92"/>
      <c r="AS144" s="92"/>
      <c r="AT144" s="93"/>
      <c r="AU144" s="94"/>
      <c r="AV144" s="1863">
        <f t="shared" si="90"/>
        <v>0</v>
      </c>
      <c r="AW144" s="1863">
        <f t="shared" si="91"/>
        <v>0</v>
      </c>
      <c r="AX144" s="1863">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16"/>
      <c r="C145" s="1317"/>
      <c r="D145" s="80"/>
      <c r="E145" s="87">
        <f t="shared" ref="E145:E176" si="118">IF($C$3="是",ROUND($A$3*G145/$B$3,2),ROUND($A$3*(G145-AT145)/$B$3,2))</f>
        <v>0</v>
      </c>
      <c r="F145" s="88"/>
      <c r="G145" s="89">
        <f t="shared" si="93"/>
        <v>0</v>
      </c>
      <c r="H145" s="90">
        <f t="shared" si="94"/>
        <v>0</v>
      </c>
      <c r="I145" s="1317"/>
      <c r="J145" s="91"/>
      <c r="K145" s="1317"/>
      <c r="L145" s="91"/>
      <c r="M145" s="91"/>
      <c r="N145" s="91"/>
      <c r="O145" s="91"/>
      <c r="P145" s="91"/>
      <c r="Q145" s="91"/>
      <c r="R145" s="91"/>
      <c r="S145" s="91"/>
      <c r="T145" s="91"/>
      <c r="U145" s="91"/>
      <c r="V145" s="91"/>
      <c r="W145" s="91"/>
      <c r="X145" s="91"/>
      <c r="Y145" s="91"/>
      <c r="Z145" s="91"/>
      <c r="AA145" s="91"/>
      <c r="AB145" s="91"/>
      <c r="AC145" s="87">
        <f t="shared" si="95"/>
        <v>0</v>
      </c>
      <c r="AD145" s="92"/>
      <c r="AE145" s="92"/>
      <c r="AF145" s="1317"/>
      <c r="AG145" s="92"/>
      <c r="AH145" s="92"/>
      <c r="AI145" s="92"/>
      <c r="AJ145" s="92"/>
      <c r="AK145" s="92"/>
      <c r="AL145" s="92"/>
      <c r="AM145" s="92"/>
      <c r="AN145" s="92"/>
      <c r="AO145" s="92"/>
      <c r="AP145" s="92"/>
      <c r="AQ145" s="92"/>
      <c r="AR145" s="92"/>
      <c r="AS145" s="92"/>
      <c r="AT145" s="93"/>
      <c r="AU145" s="94"/>
      <c r="AV145" s="1863">
        <f t="shared" ref="AV145:AV176" si="119">A145</f>
        <v>0</v>
      </c>
      <c r="AW145" s="1863">
        <f t="shared" ref="AW145:AW176" si="120">B145</f>
        <v>0</v>
      </c>
      <c r="AX145" s="1863">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16"/>
      <c r="C146" s="1317"/>
      <c r="D146" s="80"/>
      <c r="E146" s="87">
        <f t="shared" si="118"/>
        <v>0</v>
      </c>
      <c r="F146" s="88"/>
      <c r="G146" s="89">
        <f t="shared" si="93"/>
        <v>0</v>
      </c>
      <c r="H146" s="90">
        <f t="shared" si="94"/>
        <v>0</v>
      </c>
      <c r="I146" s="1317"/>
      <c r="J146" s="91"/>
      <c r="K146" s="1317"/>
      <c r="L146" s="91"/>
      <c r="M146" s="91"/>
      <c r="N146" s="91"/>
      <c r="O146" s="91"/>
      <c r="P146" s="91"/>
      <c r="Q146" s="91"/>
      <c r="R146" s="91"/>
      <c r="S146" s="91"/>
      <c r="T146" s="91"/>
      <c r="U146" s="91"/>
      <c r="V146" s="91"/>
      <c r="W146" s="91"/>
      <c r="X146" s="91"/>
      <c r="Y146" s="91"/>
      <c r="Z146" s="91"/>
      <c r="AA146" s="91"/>
      <c r="AB146" s="91"/>
      <c r="AC146" s="87">
        <f t="shared" si="95"/>
        <v>0</v>
      </c>
      <c r="AD146" s="92"/>
      <c r="AE146" s="92"/>
      <c r="AF146" s="1317"/>
      <c r="AG146" s="92"/>
      <c r="AH146" s="92"/>
      <c r="AI146" s="92"/>
      <c r="AJ146" s="92"/>
      <c r="AK146" s="92"/>
      <c r="AL146" s="92"/>
      <c r="AM146" s="92"/>
      <c r="AN146" s="92"/>
      <c r="AO146" s="92"/>
      <c r="AP146" s="92"/>
      <c r="AQ146" s="92"/>
      <c r="AR146" s="92"/>
      <c r="AS146" s="92"/>
      <c r="AT146" s="93"/>
      <c r="AU146" s="94"/>
      <c r="AV146" s="1863">
        <f t="shared" si="119"/>
        <v>0</v>
      </c>
      <c r="AW146" s="1863">
        <f t="shared" si="120"/>
        <v>0</v>
      </c>
      <c r="AX146" s="1863">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18"/>
      <c r="C147" s="1319"/>
      <c r="D147" s="80"/>
      <c r="E147" s="87">
        <f t="shared" si="118"/>
        <v>0</v>
      </c>
      <c r="F147" s="88"/>
      <c r="G147" s="89">
        <f t="shared" si="93"/>
        <v>0</v>
      </c>
      <c r="H147" s="90">
        <f t="shared" si="94"/>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5"/>
        <v>0</v>
      </c>
      <c r="AD147" s="92"/>
      <c r="AE147" s="92"/>
      <c r="AF147" s="1317"/>
      <c r="AG147" s="92"/>
      <c r="AH147" s="92"/>
      <c r="AI147" s="92"/>
      <c r="AJ147" s="92"/>
      <c r="AK147" s="92"/>
      <c r="AL147" s="92"/>
      <c r="AM147" s="92"/>
      <c r="AN147" s="92"/>
      <c r="AO147" s="92"/>
      <c r="AP147" s="92"/>
      <c r="AQ147" s="92"/>
      <c r="AR147" s="92"/>
      <c r="AS147" s="92"/>
      <c r="AT147" s="93"/>
      <c r="AU147" s="94"/>
      <c r="AV147" s="1863">
        <f t="shared" si="119"/>
        <v>0</v>
      </c>
      <c r="AW147" s="1863">
        <f t="shared" si="120"/>
        <v>0</v>
      </c>
      <c r="AX147" s="1863">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863">
        <f t="shared" si="119"/>
        <v>0</v>
      </c>
      <c r="AW148" s="1863">
        <f t="shared" si="120"/>
        <v>0</v>
      </c>
      <c r="AX148" s="1863">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863">
        <f t="shared" si="119"/>
        <v>0</v>
      </c>
      <c r="AW149" s="1863">
        <f t="shared" si="120"/>
        <v>0</v>
      </c>
      <c r="AX149" s="1863">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863">
        <f t="shared" si="119"/>
        <v>0</v>
      </c>
      <c r="AW150" s="1863">
        <f t="shared" si="120"/>
        <v>0</v>
      </c>
      <c r="AX150" s="1863">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863">
        <f t="shared" si="119"/>
        <v>0</v>
      </c>
      <c r="AW151" s="1863">
        <f t="shared" si="120"/>
        <v>0</v>
      </c>
      <c r="AX151" s="1863">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863">
        <f t="shared" si="119"/>
        <v>0</v>
      </c>
      <c r="AW152" s="1863">
        <f t="shared" si="120"/>
        <v>0</v>
      </c>
      <c r="AX152" s="1863">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863">
        <f t="shared" si="119"/>
        <v>0</v>
      </c>
      <c r="AW153" s="1863">
        <f t="shared" si="120"/>
        <v>0</v>
      </c>
      <c r="AX153" s="1863">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863">
        <f t="shared" si="119"/>
        <v>0</v>
      </c>
      <c r="AW154" s="1863">
        <f t="shared" si="120"/>
        <v>0</v>
      </c>
      <c r="AX154" s="1863">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863">
        <f t="shared" si="119"/>
        <v>0</v>
      </c>
      <c r="AW155" s="1863">
        <f t="shared" si="120"/>
        <v>0</v>
      </c>
      <c r="AX155" s="1863">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863">
        <f t="shared" si="119"/>
        <v>0</v>
      </c>
      <c r="AW156" s="1863">
        <f t="shared" si="120"/>
        <v>0</v>
      </c>
      <c r="AX156" s="1863">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863">
        <f t="shared" si="119"/>
        <v>0</v>
      </c>
      <c r="AW157" s="1863">
        <f t="shared" si="120"/>
        <v>0</v>
      </c>
      <c r="AX157" s="1863">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863">
        <f t="shared" si="119"/>
        <v>0</v>
      </c>
      <c r="AW158" s="1863">
        <f t="shared" si="120"/>
        <v>0</v>
      </c>
      <c r="AX158" s="1863">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863">
        <f t="shared" si="119"/>
        <v>0</v>
      </c>
      <c r="AW159" s="1863">
        <f t="shared" si="120"/>
        <v>0</v>
      </c>
      <c r="AX159" s="1863">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863">
        <f t="shared" si="119"/>
        <v>0</v>
      </c>
      <c r="AW160" s="1863">
        <f t="shared" si="120"/>
        <v>0</v>
      </c>
      <c r="AX160" s="1863">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863">
        <f t="shared" si="119"/>
        <v>0</v>
      </c>
      <c r="AW161" s="1863">
        <f t="shared" si="120"/>
        <v>0</v>
      </c>
      <c r="AX161" s="1863">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863">
        <f t="shared" si="119"/>
        <v>0</v>
      </c>
      <c r="AW162" s="1863">
        <f t="shared" si="120"/>
        <v>0</v>
      </c>
      <c r="AX162" s="1863">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863">
        <f t="shared" si="119"/>
        <v>0</v>
      </c>
      <c r="AW163" s="1863">
        <f t="shared" si="120"/>
        <v>0</v>
      </c>
      <c r="AX163" s="1863">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863">
        <f t="shared" si="119"/>
        <v>0</v>
      </c>
      <c r="AW164" s="1863">
        <f t="shared" si="120"/>
        <v>0</v>
      </c>
      <c r="AX164" s="1863">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863">
        <f t="shared" si="119"/>
        <v>0</v>
      </c>
      <c r="AW165" s="1863">
        <f t="shared" si="120"/>
        <v>0</v>
      </c>
      <c r="AX165" s="1863">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863">
        <f t="shared" si="119"/>
        <v>0</v>
      </c>
      <c r="AW166" s="1863">
        <f t="shared" si="120"/>
        <v>0</v>
      </c>
      <c r="AX166" s="1863">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863">
        <f t="shared" si="119"/>
        <v>0</v>
      </c>
      <c r="AW167" s="1863">
        <f t="shared" si="120"/>
        <v>0</v>
      </c>
      <c r="AX167" s="1863">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863">
        <f t="shared" si="119"/>
        <v>0</v>
      </c>
      <c r="AW168" s="1863">
        <f t="shared" si="120"/>
        <v>0</v>
      </c>
      <c r="AX168" s="1863">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863">
        <f t="shared" si="119"/>
        <v>0</v>
      </c>
      <c r="AW169" s="1863">
        <f t="shared" si="120"/>
        <v>0</v>
      </c>
      <c r="AX169" s="1863">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863">
        <f t="shared" si="119"/>
        <v>0</v>
      </c>
      <c r="AW170" s="1863">
        <f t="shared" si="120"/>
        <v>0</v>
      </c>
      <c r="AX170" s="1863">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863">
        <f t="shared" si="119"/>
        <v>0</v>
      </c>
      <c r="AW171" s="1863">
        <f t="shared" si="120"/>
        <v>0</v>
      </c>
      <c r="AX171" s="1863">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863">
        <f t="shared" si="119"/>
        <v>0</v>
      </c>
      <c r="AW172" s="1863">
        <f t="shared" si="120"/>
        <v>0</v>
      </c>
      <c r="AX172" s="1863">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863">
        <f t="shared" si="119"/>
        <v>0</v>
      </c>
      <c r="AW173" s="1863">
        <f t="shared" si="120"/>
        <v>0</v>
      </c>
      <c r="AX173" s="1863">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9"/>
        <v>0</v>
      </c>
      <c r="AW174" s="1863">
        <f t="shared" si="120"/>
        <v>0</v>
      </c>
      <c r="AX174" s="1863">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863">
        <f t="shared" si="119"/>
        <v>0</v>
      </c>
      <c r="AW175" s="1863">
        <f t="shared" si="120"/>
        <v>0</v>
      </c>
      <c r="AX175" s="1863">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863">
        <f t="shared" si="119"/>
        <v>0</v>
      </c>
      <c r="AW176" s="1863">
        <f t="shared" si="120"/>
        <v>0</v>
      </c>
      <c r="AX176" s="1863">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8">A177</f>
        <v>0</v>
      </c>
      <c r="AW177" s="1863">
        <f t="shared" ref="AW177:AW204" si="149">B177</f>
        <v>0</v>
      </c>
      <c r="AX177" s="1863">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863">
        <f t="shared" si="148"/>
        <v>0</v>
      </c>
      <c r="AW178" s="1863">
        <f t="shared" si="149"/>
        <v>0</v>
      </c>
      <c r="AX178" s="1863">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863">
        <f t="shared" si="148"/>
        <v>0</v>
      </c>
      <c r="AW179" s="1863">
        <f t="shared" si="149"/>
        <v>0</v>
      </c>
      <c r="AX179" s="1863">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863">
        <f t="shared" si="148"/>
        <v>0</v>
      </c>
      <c r="AW180" s="1863">
        <f t="shared" si="149"/>
        <v>0</v>
      </c>
      <c r="AX180" s="1863">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863">
        <f t="shared" si="148"/>
        <v>0</v>
      </c>
      <c r="AW181" s="1863">
        <f t="shared" si="149"/>
        <v>0</v>
      </c>
      <c r="AX181" s="1863">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863">
        <f t="shared" si="148"/>
        <v>0</v>
      </c>
      <c r="AW182" s="1863">
        <f t="shared" si="149"/>
        <v>0</v>
      </c>
      <c r="AX182" s="1863">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863">
        <f t="shared" si="148"/>
        <v>0</v>
      </c>
      <c r="AW183" s="1863">
        <f t="shared" si="149"/>
        <v>0</v>
      </c>
      <c r="AX183" s="1863">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863">
        <f t="shared" si="148"/>
        <v>0</v>
      </c>
      <c r="AW184" s="1863">
        <f t="shared" si="149"/>
        <v>0</v>
      </c>
      <c r="AX184" s="1863">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863">
        <f t="shared" si="148"/>
        <v>0</v>
      </c>
      <c r="AW185" s="1863">
        <f t="shared" si="149"/>
        <v>0</v>
      </c>
      <c r="AX185" s="1863">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863">
        <f t="shared" si="148"/>
        <v>0</v>
      </c>
      <c r="AW186" s="1863">
        <f t="shared" si="149"/>
        <v>0</v>
      </c>
      <c r="AX186" s="1863">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863">
        <f t="shared" si="148"/>
        <v>0</v>
      </c>
      <c r="AW187" s="1863">
        <f t="shared" si="149"/>
        <v>0</v>
      </c>
      <c r="AX187" s="1863">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863">
        <f t="shared" si="148"/>
        <v>0</v>
      </c>
      <c r="AW188" s="1863">
        <f t="shared" si="149"/>
        <v>0</v>
      </c>
      <c r="AX188" s="1863">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863">
        <f t="shared" si="148"/>
        <v>0</v>
      </c>
      <c r="AW189" s="1863">
        <f t="shared" si="149"/>
        <v>0</v>
      </c>
      <c r="AX189" s="1863">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863">
        <f t="shared" si="148"/>
        <v>0</v>
      </c>
      <c r="AW190" s="1863">
        <f t="shared" si="149"/>
        <v>0</v>
      </c>
      <c r="AX190" s="1863">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863">
        <f t="shared" si="148"/>
        <v>0</v>
      </c>
      <c r="AW191" s="1863">
        <f t="shared" si="149"/>
        <v>0</v>
      </c>
      <c r="AX191" s="1863">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863">
        <f t="shared" si="148"/>
        <v>0</v>
      </c>
      <c r="AW192" s="1863">
        <f t="shared" si="149"/>
        <v>0</v>
      </c>
      <c r="AX192" s="1863">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863">
        <f t="shared" si="148"/>
        <v>0</v>
      </c>
      <c r="AW193" s="1863">
        <f t="shared" si="149"/>
        <v>0</v>
      </c>
      <c r="AX193" s="1863">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863">
        <f t="shared" si="148"/>
        <v>0</v>
      </c>
      <c r="AW194" s="1863">
        <f t="shared" si="149"/>
        <v>0</v>
      </c>
      <c r="AX194" s="1863">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863">
        <f t="shared" si="148"/>
        <v>0</v>
      </c>
      <c r="AW195" s="1863">
        <f t="shared" si="149"/>
        <v>0</v>
      </c>
      <c r="AX195" s="1863">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863">
        <f t="shared" si="148"/>
        <v>0</v>
      </c>
      <c r="AW196" s="1863">
        <f t="shared" si="149"/>
        <v>0</v>
      </c>
      <c r="AX196" s="1863">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863">
        <f t="shared" si="148"/>
        <v>0</v>
      </c>
      <c r="AW197" s="1863">
        <f t="shared" si="149"/>
        <v>0</v>
      </c>
      <c r="AX197" s="1863">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863">
        <f t="shared" si="148"/>
        <v>0</v>
      </c>
      <c r="AW198" s="1863">
        <f t="shared" si="149"/>
        <v>0</v>
      </c>
      <c r="AX198" s="1863">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863">
        <f t="shared" si="148"/>
        <v>0</v>
      </c>
      <c r="AW199" s="1863">
        <f t="shared" si="149"/>
        <v>0</v>
      </c>
      <c r="AX199" s="1863">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863">
        <f t="shared" si="148"/>
        <v>0</v>
      </c>
      <c r="AW200" s="1863">
        <f t="shared" si="149"/>
        <v>0</v>
      </c>
      <c r="AX200" s="1863">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863">
        <f t="shared" si="148"/>
        <v>0</v>
      </c>
      <c r="AW201" s="1863">
        <f t="shared" si="149"/>
        <v>0</v>
      </c>
      <c r="AX201" s="1863">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863">
        <f t="shared" si="148"/>
        <v>0</v>
      </c>
      <c r="AW202" s="1863">
        <f t="shared" si="149"/>
        <v>0</v>
      </c>
      <c r="AX202" s="1863">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863">
        <f t="shared" si="148"/>
        <v>0</v>
      </c>
      <c r="AW203" s="1863">
        <f t="shared" si="149"/>
        <v>0</v>
      </c>
      <c r="AX203" s="1863">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863">
        <f t="shared" si="148"/>
        <v>0</v>
      </c>
      <c r="AW204" s="1863">
        <f t="shared" si="149"/>
        <v>0</v>
      </c>
      <c r="AX204" s="1863">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16"/>
      <c r="C205" s="1317"/>
      <c r="D205" s="80"/>
      <c r="E205" s="87">
        <f t="shared" ref="E205:E296" si="151">IF($C$3="是",ROUND($A$3*G205/$B$3,2),ROUND($A$3*(G205-AT205)/$B$3,2))</f>
        <v>0</v>
      </c>
      <c r="F205" s="88"/>
      <c r="G205" s="89">
        <f t="shared" ref="G205:G293" si="152">H205+AC205+AT205</f>
        <v>0</v>
      </c>
      <c r="H205" s="90">
        <f t="shared" ref="H205:H293" si="153">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3">
        <f t="shared" ref="AV205:AV296" si="155">A205</f>
        <v>0</v>
      </c>
      <c r="AW205" s="1863">
        <f t="shared" ref="AW205:AW296" si="156">B205</f>
        <v>0</v>
      </c>
      <c r="AX205" s="1863">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16"/>
      <c r="C206" s="1317"/>
      <c r="D206" s="80"/>
      <c r="E206" s="87">
        <f t="shared" si="151"/>
        <v>0</v>
      </c>
      <c r="F206" s="88"/>
      <c r="G206" s="89">
        <f t="shared" si="152"/>
        <v>0</v>
      </c>
      <c r="H206" s="90">
        <f t="shared" si="153"/>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4"/>
        <v>0</v>
      </c>
      <c r="AD206" s="1291"/>
      <c r="AE206" s="92"/>
      <c r="AF206" s="1320"/>
      <c r="AG206" s="92"/>
      <c r="AH206" s="92"/>
      <c r="AI206" s="92"/>
      <c r="AJ206" s="92"/>
      <c r="AK206" s="92"/>
      <c r="AL206" s="1291"/>
      <c r="AM206" s="92"/>
      <c r="AN206" s="1291"/>
      <c r="AO206" s="92"/>
      <c r="AP206" s="92"/>
      <c r="AQ206" s="92"/>
      <c r="AR206" s="92"/>
      <c r="AS206" s="92"/>
      <c r="AT206" s="93"/>
      <c r="AU206" s="94"/>
      <c r="AV206" s="1863">
        <f t="shared" si="155"/>
        <v>0</v>
      </c>
      <c r="AW206" s="1863">
        <f t="shared" si="156"/>
        <v>0</v>
      </c>
      <c r="AX206" s="1863">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16"/>
      <c r="C207" s="1317"/>
      <c r="D207" s="80"/>
      <c r="E207" s="87">
        <f t="shared" si="151"/>
        <v>0</v>
      </c>
      <c r="F207" s="88"/>
      <c r="G207" s="89">
        <f t="shared" si="152"/>
        <v>0</v>
      </c>
      <c r="H207" s="90">
        <f t="shared" si="153"/>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4"/>
        <v>0</v>
      </c>
      <c r="AD207" s="92"/>
      <c r="AE207" s="92"/>
      <c r="AF207" s="1320"/>
      <c r="AG207" s="92"/>
      <c r="AH207" s="92"/>
      <c r="AI207" s="92"/>
      <c r="AJ207" s="92"/>
      <c r="AK207" s="92"/>
      <c r="AL207" s="1291"/>
      <c r="AM207" s="92"/>
      <c r="AN207" s="1291"/>
      <c r="AO207" s="92"/>
      <c r="AP207" s="92"/>
      <c r="AQ207" s="92"/>
      <c r="AR207" s="92"/>
      <c r="AS207" s="92"/>
      <c r="AT207" s="93"/>
      <c r="AU207" s="94"/>
      <c r="AV207" s="1863">
        <f t="shared" si="155"/>
        <v>0</v>
      </c>
      <c r="AW207" s="1863">
        <f t="shared" si="156"/>
        <v>0</v>
      </c>
      <c r="AX207" s="1863">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16"/>
      <c r="C208" s="1317"/>
      <c r="D208" s="80"/>
      <c r="E208" s="87">
        <f t="shared" si="151"/>
        <v>0</v>
      </c>
      <c r="F208" s="88"/>
      <c r="G208" s="89">
        <f t="shared" si="152"/>
        <v>0</v>
      </c>
      <c r="H208" s="90">
        <f t="shared" si="153"/>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4"/>
        <v>0</v>
      </c>
      <c r="AD208" s="92"/>
      <c r="AE208" s="92"/>
      <c r="AF208" s="1320"/>
      <c r="AG208" s="92"/>
      <c r="AH208" s="92"/>
      <c r="AI208" s="92"/>
      <c r="AJ208" s="92"/>
      <c r="AK208" s="92"/>
      <c r="AL208" s="92"/>
      <c r="AM208" s="92"/>
      <c r="AN208" s="1291"/>
      <c r="AO208" s="92"/>
      <c r="AP208" s="92"/>
      <c r="AQ208" s="92"/>
      <c r="AR208" s="92"/>
      <c r="AS208" s="92"/>
      <c r="AT208" s="93"/>
      <c r="AU208" s="94"/>
      <c r="AV208" s="1863">
        <f t="shared" si="155"/>
        <v>0</v>
      </c>
      <c r="AW208" s="1863">
        <f t="shared" si="156"/>
        <v>0</v>
      </c>
      <c r="AX208" s="1863">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16"/>
      <c r="C209" s="1317"/>
      <c r="D209" s="80"/>
      <c r="E209" s="87">
        <f t="shared" si="151"/>
        <v>0</v>
      </c>
      <c r="F209" s="88"/>
      <c r="G209" s="89">
        <f t="shared" si="152"/>
        <v>0</v>
      </c>
      <c r="H209" s="90">
        <f t="shared" si="153"/>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20"/>
      <c r="AG209" s="92"/>
      <c r="AH209" s="92"/>
      <c r="AI209" s="92"/>
      <c r="AJ209" s="92"/>
      <c r="AK209" s="92"/>
      <c r="AL209" s="92"/>
      <c r="AM209" s="92"/>
      <c r="AN209" s="92"/>
      <c r="AO209" s="92"/>
      <c r="AP209" s="92"/>
      <c r="AQ209" s="92"/>
      <c r="AR209" s="92"/>
      <c r="AS209" s="92"/>
      <c r="AT209" s="93"/>
      <c r="AU209" s="94"/>
      <c r="AV209" s="1863">
        <f t="shared" si="155"/>
        <v>0</v>
      </c>
      <c r="AW209" s="1863">
        <f t="shared" si="156"/>
        <v>0</v>
      </c>
      <c r="AX209" s="1863">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16"/>
      <c r="C210" s="1317"/>
      <c r="D210" s="80"/>
      <c r="E210" s="87">
        <f t="shared" si="151"/>
        <v>0</v>
      </c>
      <c r="F210" s="88"/>
      <c r="G210" s="89">
        <f t="shared" si="152"/>
        <v>0</v>
      </c>
      <c r="H210" s="90">
        <f t="shared" si="153"/>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20"/>
      <c r="AG210" s="92"/>
      <c r="AH210" s="92"/>
      <c r="AI210" s="92"/>
      <c r="AJ210" s="92"/>
      <c r="AK210" s="92"/>
      <c r="AL210" s="92"/>
      <c r="AM210" s="92"/>
      <c r="AN210" s="92"/>
      <c r="AO210" s="92"/>
      <c r="AP210" s="92"/>
      <c r="AQ210" s="92"/>
      <c r="AR210" s="92"/>
      <c r="AS210" s="92"/>
      <c r="AT210" s="93"/>
      <c r="AU210" s="94"/>
      <c r="AV210" s="1863">
        <f t="shared" si="155"/>
        <v>0</v>
      </c>
      <c r="AW210" s="1863">
        <f t="shared" si="156"/>
        <v>0</v>
      </c>
      <c r="AX210" s="1863">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16"/>
      <c r="C211" s="1317"/>
      <c r="D211" s="80"/>
      <c r="E211" s="87">
        <f t="shared" si="151"/>
        <v>0</v>
      </c>
      <c r="F211" s="88"/>
      <c r="G211" s="89">
        <f t="shared" si="152"/>
        <v>0</v>
      </c>
      <c r="H211" s="90">
        <f t="shared" si="153"/>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20"/>
      <c r="AG211" s="92"/>
      <c r="AH211" s="92"/>
      <c r="AI211" s="92"/>
      <c r="AJ211" s="92"/>
      <c r="AK211" s="92"/>
      <c r="AL211" s="92"/>
      <c r="AM211" s="92"/>
      <c r="AN211" s="92"/>
      <c r="AO211" s="92"/>
      <c r="AP211" s="92"/>
      <c r="AQ211" s="92"/>
      <c r="AR211" s="92"/>
      <c r="AS211" s="92"/>
      <c r="AT211" s="93"/>
      <c r="AU211" s="94"/>
      <c r="AV211" s="1863">
        <f t="shared" si="155"/>
        <v>0</v>
      </c>
      <c r="AW211" s="1863">
        <f t="shared" si="156"/>
        <v>0</v>
      </c>
      <c r="AX211" s="1863">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16"/>
      <c r="C212" s="1317"/>
      <c r="D212" s="80"/>
      <c r="E212" s="87">
        <f t="shared" si="151"/>
        <v>0</v>
      </c>
      <c r="F212" s="88"/>
      <c r="G212" s="89">
        <f t="shared" si="152"/>
        <v>0</v>
      </c>
      <c r="H212" s="90">
        <f t="shared" si="153"/>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19"/>
      <c r="AG212" s="92"/>
      <c r="AH212" s="92"/>
      <c r="AI212" s="92"/>
      <c r="AJ212" s="92"/>
      <c r="AK212" s="92"/>
      <c r="AL212" s="92"/>
      <c r="AM212" s="92"/>
      <c r="AN212" s="92"/>
      <c r="AO212" s="92"/>
      <c r="AP212" s="92"/>
      <c r="AQ212" s="92"/>
      <c r="AR212" s="92"/>
      <c r="AS212" s="92"/>
      <c r="AT212" s="93"/>
      <c r="AU212" s="94"/>
      <c r="AV212" s="1863">
        <f t="shared" si="155"/>
        <v>0</v>
      </c>
      <c r="AW212" s="1863">
        <f t="shared" si="156"/>
        <v>0</v>
      </c>
      <c r="AX212" s="1863">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18"/>
      <c r="C213" s="1319"/>
      <c r="D213" s="80"/>
      <c r="E213" s="87">
        <f t="shared" si="151"/>
        <v>0</v>
      </c>
      <c r="F213" s="88"/>
      <c r="G213" s="89">
        <f t="shared" si="152"/>
        <v>0</v>
      </c>
      <c r="H213" s="90">
        <f t="shared" si="153"/>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19"/>
      <c r="AG213" s="92"/>
      <c r="AH213" s="92"/>
      <c r="AI213" s="92"/>
      <c r="AJ213" s="92"/>
      <c r="AK213" s="92"/>
      <c r="AL213" s="92"/>
      <c r="AM213" s="92"/>
      <c r="AN213" s="92"/>
      <c r="AO213" s="92"/>
      <c r="AP213" s="92"/>
      <c r="AQ213" s="92"/>
      <c r="AR213" s="92"/>
      <c r="AS213" s="92"/>
      <c r="AT213" s="93"/>
      <c r="AU213" s="94"/>
      <c r="AV213" s="1863">
        <f t="shared" si="155"/>
        <v>0</v>
      </c>
      <c r="AW213" s="1863">
        <f t="shared" si="156"/>
        <v>0</v>
      </c>
      <c r="AX213" s="1863">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16"/>
      <c r="C214" s="1317"/>
      <c r="D214" s="80"/>
      <c r="E214" s="87">
        <f t="shared" si="151"/>
        <v>0</v>
      </c>
      <c r="F214" s="88"/>
      <c r="G214" s="89">
        <f t="shared" si="152"/>
        <v>0</v>
      </c>
      <c r="H214" s="90">
        <f t="shared" si="153"/>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19"/>
      <c r="AG214" s="92"/>
      <c r="AH214" s="92"/>
      <c r="AI214" s="92"/>
      <c r="AJ214" s="92"/>
      <c r="AK214" s="92"/>
      <c r="AL214" s="92"/>
      <c r="AM214" s="92"/>
      <c r="AN214" s="92"/>
      <c r="AO214" s="92"/>
      <c r="AP214" s="92"/>
      <c r="AQ214" s="92"/>
      <c r="AR214" s="92"/>
      <c r="AS214" s="92"/>
      <c r="AT214" s="93"/>
      <c r="AU214" s="94"/>
      <c r="AV214" s="1863">
        <f t="shared" si="155"/>
        <v>0</v>
      </c>
      <c r="AW214" s="1863">
        <f t="shared" si="156"/>
        <v>0</v>
      </c>
      <c r="AX214" s="1863">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16"/>
      <c r="C215" s="1317"/>
      <c r="D215" s="80"/>
      <c r="E215" s="87">
        <f t="shared" si="151"/>
        <v>0</v>
      </c>
      <c r="F215" s="88"/>
      <c r="G215" s="89">
        <f t="shared" si="152"/>
        <v>0</v>
      </c>
      <c r="H215" s="90">
        <f t="shared" si="153"/>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19"/>
      <c r="AG215" s="92"/>
      <c r="AH215" s="92"/>
      <c r="AI215" s="92"/>
      <c r="AJ215" s="92"/>
      <c r="AK215" s="92"/>
      <c r="AL215" s="92"/>
      <c r="AM215" s="92"/>
      <c r="AN215" s="92"/>
      <c r="AO215" s="92"/>
      <c r="AP215" s="92"/>
      <c r="AQ215" s="92"/>
      <c r="AR215" s="92"/>
      <c r="AS215" s="92"/>
      <c r="AT215" s="93"/>
      <c r="AU215" s="94"/>
      <c r="AV215" s="1863">
        <f t="shared" si="155"/>
        <v>0</v>
      </c>
      <c r="AW215" s="1863">
        <f t="shared" si="156"/>
        <v>0</v>
      </c>
      <c r="AX215" s="1863">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16"/>
      <c r="C216" s="1317"/>
      <c r="D216" s="80"/>
      <c r="E216" s="87">
        <f t="shared" si="151"/>
        <v>0</v>
      </c>
      <c r="F216" s="88"/>
      <c r="G216" s="89">
        <f t="shared" si="152"/>
        <v>0</v>
      </c>
      <c r="H216" s="90">
        <f t="shared" si="153"/>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19"/>
      <c r="AG216" s="92"/>
      <c r="AH216" s="92"/>
      <c r="AI216" s="92"/>
      <c r="AJ216" s="92"/>
      <c r="AK216" s="92"/>
      <c r="AL216" s="92"/>
      <c r="AM216" s="92"/>
      <c r="AN216" s="92"/>
      <c r="AO216" s="92"/>
      <c r="AP216" s="92"/>
      <c r="AQ216" s="92"/>
      <c r="AR216" s="92"/>
      <c r="AS216" s="92"/>
      <c r="AT216" s="93"/>
      <c r="AU216" s="94"/>
      <c r="AV216" s="1863">
        <f t="shared" si="155"/>
        <v>0</v>
      </c>
      <c r="AW216" s="1863">
        <f t="shared" si="156"/>
        <v>0</v>
      </c>
      <c r="AX216" s="1863">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16"/>
      <c r="C217" s="1317"/>
      <c r="D217" s="80"/>
      <c r="E217" s="87">
        <f t="shared" si="151"/>
        <v>0</v>
      </c>
      <c r="F217" s="88"/>
      <c r="G217" s="89">
        <f t="shared" si="152"/>
        <v>0</v>
      </c>
      <c r="H217" s="90">
        <f t="shared" si="153"/>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19"/>
      <c r="AG217" s="92"/>
      <c r="AH217" s="92"/>
      <c r="AI217" s="92"/>
      <c r="AJ217" s="92"/>
      <c r="AK217" s="92"/>
      <c r="AL217" s="92"/>
      <c r="AM217" s="92"/>
      <c r="AN217" s="92"/>
      <c r="AO217" s="92"/>
      <c r="AP217" s="92"/>
      <c r="AQ217" s="92"/>
      <c r="AR217" s="92"/>
      <c r="AS217" s="92"/>
      <c r="AT217" s="93"/>
      <c r="AU217" s="94"/>
      <c r="AV217" s="1863">
        <f t="shared" si="155"/>
        <v>0</v>
      </c>
      <c r="AW217" s="1863">
        <f t="shared" si="156"/>
        <v>0</v>
      </c>
      <c r="AX217" s="1863">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16"/>
      <c r="C218" s="1317"/>
      <c r="D218" s="80"/>
      <c r="E218" s="87">
        <f t="shared" si="151"/>
        <v>0</v>
      </c>
      <c r="F218" s="88"/>
      <c r="G218" s="89">
        <f t="shared" si="152"/>
        <v>0</v>
      </c>
      <c r="H218" s="90">
        <f t="shared" si="153"/>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19"/>
      <c r="AG218" s="92"/>
      <c r="AH218" s="92"/>
      <c r="AI218" s="92"/>
      <c r="AJ218" s="92"/>
      <c r="AK218" s="92"/>
      <c r="AL218" s="92"/>
      <c r="AM218" s="92"/>
      <c r="AN218" s="92"/>
      <c r="AO218" s="92"/>
      <c r="AP218" s="92"/>
      <c r="AQ218" s="92"/>
      <c r="AR218" s="92"/>
      <c r="AS218" s="92"/>
      <c r="AT218" s="93"/>
      <c r="AU218" s="94"/>
      <c r="AV218" s="1863">
        <f t="shared" si="155"/>
        <v>0</v>
      </c>
      <c r="AW218" s="1863">
        <f t="shared" si="156"/>
        <v>0</v>
      </c>
      <c r="AX218" s="1863">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16"/>
      <c r="C219" s="1317"/>
      <c r="D219" s="80"/>
      <c r="E219" s="87">
        <f t="shared" si="151"/>
        <v>0</v>
      </c>
      <c r="F219" s="88"/>
      <c r="G219" s="89">
        <f t="shared" si="152"/>
        <v>0</v>
      </c>
      <c r="H219" s="90">
        <f t="shared" si="153"/>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19"/>
      <c r="AG219" s="92"/>
      <c r="AH219" s="92"/>
      <c r="AI219" s="92"/>
      <c r="AJ219" s="92"/>
      <c r="AK219" s="92"/>
      <c r="AL219" s="92"/>
      <c r="AM219" s="92"/>
      <c r="AN219" s="92"/>
      <c r="AO219" s="92"/>
      <c r="AP219" s="92"/>
      <c r="AQ219" s="92"/>
      <c r="AR219" s="92"/>
      <c r="AS219" s="92"/>
      <c r="AT219" s="93"/>
      <c r="AU219" s="94"/>
      <c r="AV219" s="1863">
        <f t="shared" si="155"/>
        <v>0</v>
      </c>
      <c r="AW219" s="1863">
        <f t="shared" si="156"/>
        <v>0</v>
      </c>
      <c r="AX219" s="1863">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16"/>
      <c r="C220" s="1317"/>
      <c r="D220" s="80"/>
      <c r="E220" s="87">
        <f t="shared" si="151"/>
        <v>0</v>
      </c>
      <c r="F220" s="88"/>
      <c r="G220" s="89">
        <f t="shared" si="152"/>
        <v>0</v>
      </c>
      <c r="H220" s="90">
        <f t="shared" si="153"/>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19"/>
      <c r="AG220" s="92"/>
      <c r="AH220" s="92"/>
      <c r="AI220" s="92"/>
      <c r="AJ220" s="92"/>
      <c r="AK220" s="92"/>
      <c r="AL220" s="92"/>
      <c r="AM220" s="92"/>
      <c r="AN220" s="92"/>
      <c r="AO220" s="92"/>
      <c r="AP220" s="92"/>
      <c r="AQ220" s="92"/>
      <c r="AR220" s="92"/>
      <c r="AS220" s="92"/>
      <c r="AT220" s="93"/>
      <c r="AU220" s="94"/>
      <c r="AV220" s="1863">
        <f t="shared" si="155"/>
        <v>0</v>
      </c>
      <c r="AW220" s="1863">
        <f t="shared" si="156"/>
        <v>0</v>
      </c>
      <c r="AX220" s="1863">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16"/>
      <c r="C221" s="1317"/>
      <c r="D221" s="80"/>
      <c r="E221" s="87">
        <f t="shared" si="151"/>
        <v>0</v>
      </c>
      <c r="F221" s="88"/>
      <c r="G221" s="89">
        <f t="shared" si="152"/>
        <v>0</v>
      </c>
      <c r="H221" s="90">
        <f t="shared" si="153"/>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19"/>
      <c r="AG221" s="92"/>
      <c r="AH221" s="92"/>
      <c r="AI221" s="92"/>
      <c r="AJ221" s="92"/>
      <c r="AK221" s="92"/>
      <c r="AL221" s="92"/>
      <c r="AM221" s="92"/>
      <c r="AN221" s="92"/>
      <c r="AO221" s="92"/>
      <c r="AP221" s="92"/>
      <c r="AQ221" s="92"/>
      <c r="AR221" s="92"/>
      <c r="AS221" s="92"/>
      <c r="AT221" s="93"/>
      <c r="AU221" s="94"/>
      <c r="AV221" s="1863">
        <f t="shared" si="155"/>
        <v>0</v>
      </c>
      <c r="AW221" s="1863">
        <f t="shared" si="156"/>
        <v>0</v>
      </c>
      <c r="AX221" s="1863">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16"/>
      <c r="C222" s="1317"/>
      <c r="D222" s="80"/>
      <c r="E222" s="87">
        <f t="shared" si="151"/>
        <v>0</v>
      </c>
      <c r="F222" s="88"/>
      <c r="G222" s="89">
        <f t="shared" si="152"/>
        <v>0</v>
      </c>
      <c r="H222" s="90">
        <f t="shared" si="153"/>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19"/>
      <c r="AG222" s="92"/>
      <c r="AH222" s="92"/>
      <c r="AI222" s="92"/>
      <c r="AJ222" s="92"/>
      <c r="AK222" s="92"/>
      <c r="AL222" s="92"/>
      <c r="AM222" s="92"/>
      <c r="AN222" s="92"/>
      <c r="AO222" s="92"/>
      <c r="AP222" s="92"/>
      <c r="AQ222" s="92"/>
      <c r="AR222" s="92"/>
      <c r="AS222" s="92"/>
      <c r="AT222" s="93"/>
      <c r="AU222" s="94"/>
      <c r="AV222" s="1863">
        <f t="shared" si="155"/>
        <v>0</v>
      </c>
      <c r="AW222" s="1863">
        <f t="shared" si="156"/>
        <v>0</v>
      </c>
      <c r="AX222" s="1863">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16"/>
      <c r="C223" s="1317"/>
      <c r="D223" s="80"/>
      <c r="E223" s="87">
        <f t="shared" si="151"/>
        <v>0</v>
      </c>
      <c r="F223" s="88"/>
      <c r="G223" s="89">
        <f t="shared" si="152"/>
        <v>0</v>
      </c>
      <c r="H223" s="90">
        <f t="shared" si="153"/>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19"/>
      <c r="AG223" s="92"/>
      <c r="AH223" s="92"/>
      <c r="AI223" s="92"/>
      <c r="AJ223" s="92"/>
      <c r="AK223" s="92"/>
      <c r="AL223" s="92"/>
      <c r="AM223" s="92"/>
      <c r="AN223" s="92"/>
      <c r="AO223" s="92"/>
      <c r="AP223" s="92"/>
      <c r="AQ223" s="92"/>
      <c r="AR223" s="92"/>
      <c r="AS223" s="92"/>
      <c r="AT223" s="93"/>
      <c r="AU223" s="94"/>
      <c r="AV223" s="1863">
        <f t="shared" si="155"/>
        <v>0</v>
      </c>
      <c r="AW223" s="1863">
        <f t="shared" si="156"/>
        <v>0</v>
      </c>
      <c r="AX223" s="1863">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16"/>
      <c r="C224" s="1317"/>
      <c r="D224" s="80"/>
      <c r="E224" s="87">
        <f t="shared" si="151"/>
        <v>0</v>
      </c>
      <c r="F224" s="88"/>
      <c r="G224" s="89">
        <f t="shared" si="152"/>
        <v>0</v>
      </c>
      <c r="H224" s="90">
        <f t="shared" si="153"/>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19"/>
      <c r="AG224" s="92"/>
      <c r="AH224" s="92"/>
      <c r="AI224" s="92"/>
      <c r="AJ224" s="92"/>
      <c r="AK224" s="92"/>
      <c r="AL224" s="92"/>
      <c r="AM224" s="92"/>
      <c r="AN224" s="92"/>
      <c r="AO224" s="92"/>
      <c r="AP224" s="92"/>
      <c r="AQ224" s="92"/>
      <c r="AR224" s="92"/>
      <c r="AS224" s="92"/>
      <c r="AT224" s="93"/>
      <c r="AU224" s="94"/>
      <c r="AV224" s="1863">
        <f t="shared" si="155"/>
        <v>0</v>
      </c>
      <c r="AW224" s="1863">
        <f t="shared" si="156"/>
        <v>0</v>
      </c>
      <c r="AX224" s="1863">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16"/>
      <c r="C225" s="1317"/>
      <c r="D225" s="80"/>
      <c r="E225" s="87">
        <f t="shared" si="151"/>
        <v>0</v>
      </c>
      <c r="F225" s="88"/>
      <c r="G225" s="89">
        <f t="shared" si="152"/>
        <v>0</v>
      </c>
      <c r="H225" s="90">
        <f t="shared" si="153"/>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19"/>
      <c r="AG225" s="92"/>
      <c r="AH225" s="92"/>
      <c r="AI225" s="92"/>
      <c r="AJ225" s="92"/>
      <c r="AK225" s="92"/>
      <c r="AL225" s="92"/>
      <c r="AM225" s="92"/>
      <c r="AN225" s="92"/>
      <c r="AO225" s="92"/>
      <c r="AP225" s="92"/>
      <c r="AQ225" s="92"/>
      <c r="AR225" s="92"/>
      <c r="AS225" s="92"/>
      <c r="AT225" s="93"/>
      <c r="AU225" s="94"/>
      <c r="AV225" s="1863">
        <f t="shared" si="155"/>
        <v>0</v>
      </c>
      <c r="AW225" s="1863">
        <f t="shared" si="156"/>
        <v>0</v>
      </c>
      <c r="AX225" s="1863">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16"/>
      <c r="C226" s="1317"/>
      <c r="D226" s="80"/>
      <c r="E226" s="87">
        <f t="shared" si="151"/>
        <v>0</v>
      </c>
      <c r="F226" s="88"/>
      <c r="G226" s="89">
        <f t="shared" si="152"/>
        <v>0</v>
      </c>
      <c r="H226" s="90">
        <f t="shared" si="153"/>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19"/>
      <c r="AG226" s="92"/>
      <c r="AH226" s="92"/>
      <c r="AI226" s="92"/>
      <c r="AJ226" s="92"/>
      <c r="AK226" s="92"/>
      <c r="AL226" s="92"/>
      <c r="AM226" s="92"/>
      <c r="AN226" s="92"/>
      <c r="AO226" s="92"/>
      <c r="AP226" s="92"/>
      <c r="AQ226" s="92"/>
      <c r="AR226" s="92"/>
      <c r="AS226" s="92"/>
      <c r="AT226" s="93"/>
      <c r="AU226" s="94"/>
      <c r="AV226" s="1863">
        <f t="shared" si="155"/>
        <v>0</v>
      </c>
      <c r="AW226" s="1863">
        <f t="shared" si="156"/>
        <v>0</v>
      </c>
      <c r="AX226" s="1863">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16"/>
      <c r="C227" s="1317"/>
      <c r="D227" s="80"/>
      <c r="E227" s="87">
        <f t="shared" si="151"/>
        <v>0</v>
      </c>
      <c r="F227" s="88"/>
      <c r="G227" s="89">
        <f t="shared" si="152"/>
        <v>0</v>
      </c>
      <c r="H227" s="90">
        <f t="shared" si="153"/>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19"/>
      <c r="AG227" s="92"/>
      <c r="AH227" s="92"/>
      <c r="AI227" s="92"/>
      <c r="AJ227" s="92"/>
      <c r="AK227" s="92"/>
      <c r="AL227" s="92"/>
      <c r="AM227" s="92"/>
      <c r="AN227" s="92"/>
      <c r="AO227" s="92"/>
      <c r="AP227" s="92"/>
      <c r="AQ227" s="92"/>
      <c r="AR227" s="92"/>
      <c r="AS227" s="92"/>
      <c r="AT227" s="93"/>
      <c r="AU227" s="94"/>
      <c r="AV227" s="1863">
        <f t="shared" si="155"/>
        <v>0</v>
      </c>
      <c r="AW227" s="1863">
        <f t="shared" si="156"/>
        <v>0</v>
      </c>
      <c r="AX227" s="1863">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16"/>
      <c r="C228" s="1317"/>
      <c r="D228" s="80"/>
      <c r="E228" s="87">
        <f t="shared" si="151"/>
        <v>0</v>
      </c>
      <c r="F228" s="88"/>
      <c r="G228" s="89">
        <f t="shared" si="152"/>
        <v>0</v>
      </c>
      <c r="H228" s="90">
        <f t="shared" si="153"/>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19"/>
      <c r="AG228" s="92"/>
      <c r="AH228" s="92"/>
      <c r="AI228" s="92"/>
      <c r="AJ228" s="92"/>
      <c r="AK228" s="92"/>
      <c r="AL228" s="92"/>
      <c r="AM228" s="92"/>
      <c r="AN228" s="92"/>
      <c r="AO228" s="92"/>
      <c r="AP228" s="92"/>
      <c r="AQ228" s="92"/>
      <c r="AR228" s="92"/>
      <c r="AS228" s="92"/>
      <c r="AT228" s="93"/>
      <c r="AU228" s="94"/>
      <c r="AV228" s="1863">
        <f t="shared" si="155"/>
        <v>0</v>
      </c>
      <c r="AW228" s="1863">
        <f t="shared" si="156"/>
        <v>0</v>
      </c>
      <c r="AX228" s="1863">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16"/>
      <c r="C229" s="1317"/>
      <c r="D229" s="80"/>
      <c r="E229" s="87">
        <f t="shared" si="151"/>
        <v>0</v>
      </c>
      <c r="F229" s="88"/>
      <c r="G229" s="89">
        <f t="shared" si="152"/>
        <v>0</v>
      </c>
      <c r="H229" s="90">
        <f t="shared" si="153"/>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19"/>
      <c r="AG229" s="92"/>
      <c r="AH229" s="92"/>
      <c r="AI229" s="92"/>
      <c r="AJ229" s="92"/>
      <c r="AK229" s="92"/>
      <c r="AL229" s="92"/>
      <c r="AM229" s="92"/>
      <c r="AN229" s="92"/>
      <c r="AO229" s="92"/>
      <c r="AP229" s="92"/>
      <c r="AQ229" s="92"/>
      <c r="AR229" s="92"/>
      <c r="AS229" s="92"/>
      <c r="AT229" s="93"/>
      <c r="AU229" s="94"/>
      <c r="AV229" s="1863">
        <f t="shared" si="155"/>
        <v>0</v>
      </c>
      <c r="AW229" s="1863">
        <f t="shared" si="156"/>
        <v>0</v>
      </c>
      <c r="AX229" s="1863">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16"/>
      <c r="C230" s="1317"/>
      <c r="D230" s="80"/>
      <c r="E230" s="87">
        <f t="shared" si="151"/>
        <v>0</v>
      </c>
      <c r="F230" s="88"/>
      <c r="G230" s="89">
        <f t="shared" si="152"/>
        <v>0</v>
      </c>
      <c r="H230" s="90">
        <f t="shared" si="153"/>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19"/>
      <c r="AG230" s="92"/>
      <c r="AH230" s="92"/>
      <c r="AI230" s="92"/>
      <c r="AJ230" s="92"/>
      <c r="AK230" s="92"/>
      <c r="AL230" s="92"/>
      <c r="AM230" s="92"/>
      <c r="AN230" s="92"/>
      <c r="AO230" s="92"/>
      <c r="AP230" s="92"/>
      <c r="AQ230" s="92"/>
      <c r="AR230" s="92"/>
      <c r="AS230" s="92"/>
      <c r="AT230" s="93"/>
      <c r="AU230" s="94"/>
      <c r="AV230" s="1863">
        <f t="shared" si="155"/>
        <v>0</v>
      </c>
      <c r="AW230" s="1863">
        <f t="shared" si="156"/>
        <v>0</v>
      </c>
      <c r="AX230" s="1863">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16"/>
      <c r="C231" s="1317"/>
      <c r="D231" s="80"/>
      <c r="E231" s="87">
        <f t="shared" si="151"/>
        <v>0</v>
      </c>
      <c r="F231" s="88"/>
      <c r="G231" s="89">
        <f t="shared" si="152"/>
        <v>0</v>
      </c>
      <c r="H231" s="90">
        <f t="shared" si="153"/>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17"/>
      <c r="AG231" s="92"/>
      <c r="AH231" s="92"/>
      <c r="AI231" s="92"/>
      <c r="AJ231" s="92"/>
      <c r="AK231" s="92"/>
      <c r="AL231" s="92"/>
      <c r="AM231" s="92"/>
      <c r="AN231" s="92"/>
      <c r="AO231" s="92"/>
      <c r="AP231" s="92"/>
      <c r="AQ231" s="92"/>
      <c r="AR231" s="92"/>
      <c r="AS231" s="92"/>
      <c r="AT231" s="93"/>
      <c r="AU231" s="94"/>
      <c r="AV231" s="1863">
        <f t="shared" si="155"/>
        <v>0</v>
      </c>
      <c r="AW231" s="1863">
        <f t="shared" si="156"/>
        <v>0</v>
      </c>
      <c r="AX231" s="1863">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16"/>
      <c r="C232" s="1317"/>
      <c r="D232" s="80"/>
      <c r="E232" s="87">
        <f t="shared" si="151"/>
        <v>0</v>
      </c>
      <c r="F232" s="88"/>
      <c r="G232" s="89">
        <f t="shared" si="152"/>
        <v>0</v>
      </c>
      <c r="H232" s="90">
        <f t="shared" si="153"/>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17"/>
      <c r="AG232" s="92"/>
      <c r="AH232" s="92"/>
      <c r="AI232" s="92"/>
      <c r="AJ232" s="92"/>
      <c r="AK232" s="92"/>
      <c r="AL232" s="92"/>
      <c r="AM232" s="92"/>
      <c r="AN232" s="92"/>
      <c r="AO232" s="92"/>
      <c r="AP232" s="92"/>
      <c r="AQ232" s="92"/>
      <c r="AR232" s="92"/>
      <c r="AS232" s="92"/>
      <c r="AT232" s="93"/>
      <c r="AU232" s="94"/>
      <c r="AV232" s="1863">
        <f t="shared" si="155"/>
        <v>0</v>
      </c>
      <c r="AW232" s="1863">
        <f t="shared" si="156"/>
        <v>0</v>
      </c>
      <c r="AX232" s="1863">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16"/>
      <c r="C233" s="1317"/>
      <c r="D233" s="80"/>
      <c r="E233" s="87">
        <f t="shared" si="151"/>
        <v>0</v>
      </c>
      <c r="F233" s="88"/>
      <c r="G233" s="89">
        <f t="shared" si="152"/>
        <v>0</v>
      </c>
      <c r="H233" s="90">
        <f t="shared" si="153"/>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17"/>
      <c r="AG233" s="92"/>
      <c r="AH233" s="92"/>
      <c r="AI233" s="92"/>
      <c r="AJ233" s="92"/>
      <c r="AK233" s="92"/>
      <c r="AL233" s="92"/>
      <c r="AM233" s="92"/>
      <c r="AN233" s="92"/>
      <c r="AO233" s="92"/>
      <c r="AP233" s="92"/>
      <c r="AQ233" s="92"/>
      <c r="AR233" s="92"/>
      <c r="AS233" s="92"/>
      <c r="AT233" s="93"/>
      <c r="AU233" s="94"/>
      <c r="AV233" s="1863">
        <f t="shared" si="155"/>
        <v>0</v>
      </c>
      <c r="AW233" s="1863">
        <f t="shared" si="156"/>
        <v>0</v>
      </c>
      <c r="AX233" s="1863">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16"/>
      <c r="C234" s="1317"/>
      <c r="D234" s="80"/>
      <c r="E234" s="87">
        <f t="shared" si="151"/>
        <v>0</v>
      </c>
      <c r="F234" s="88"/>
      <c r="G234" s="89">
        <f t="shared" si="152"/>
        <v>0</v>
      </c>
      <c r="H234" s="90">
        <f t="shared" si="153"/>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17"/>
      <c r="AG234" s="92"/>
      <c r="AH234" s="92"/>
      <c r="AI234" s="92"/>
      <c r="AJ234" s="92"/>
      <c r="AK234" s="92"/>
      <c r="AL234" s="92"/>
      <c r="AM234" s="92"/>
      <c r="AN234" s="92"/>
      <c r="AO234" s="92"/>
      <c r="AP234" s="92"/>
      <c r="AQ234" s="92"/>
      <c r="AR234" s="92"/>
      <c r="AS234" s="92"/>
      <c r="AT234" s="93"/>
      <c r="AU234" s="94"/>
      <c r="AV234" s="1863">
        <f t="shared" si="155"/>
        <v>0</v>
      </c>
      <c r="AW234" s="1863">
        <f t="shared" si="156"/>
        <v>0</v>
      </c>
      <c r="AX234" s="1863">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16"/>
      <c r="C235" s="1317"/>
      <c r="D235" s="80"/>
      <c r="E235" s="87">
        <f t="shared" si="151"/>
        <v>0</v>
      </c>
      <c r="F235" s="88"/>
      <c r="G235" s="89">
        <f t="shared" si="152"/>
        <v>0</v>
      </c>
      <c r="H235" s="90">
        <f t="shared" si="153"/>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17"/>
      <c r="AG235" s="92"/>
      <c r="AH235" s="92"/>
      <c r="AI235" s="92"/>
      <c r="AJ235" s="92"/>
      <c r="AK235" s="92"/>
      <c r="AL235" s="92"/>
      <c r="AM235" s="92"/>
      <c r="AN235" s="92"/>
      <c r="AO235" s="92"/>
      <c r="AP235" s="92"/>
      <c r="AQ235" s="92"/>
      <c r="AR235" s="92"/>
      <c r="AS235" s="92"/>
      <c r="AT235" s="93"/>
      <c r="AU235" s="94"/>
      <c r="AV235" s="1863">
        <f t="shared" si="155"/>
        <v>0</v>
      </c>
      <c r="AW235" s="1863">
        <f t="shared" si="156"/>
        <v>0</v>
      </c>
      <c r="AX235" s="1863">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16"/>
      <c r="C236" s="1317"/>
      <c r="D236" s="80"/>
      <c r="E236" s="87">
        <f t="shared" si="151"/>
        <v>0</v>
      </c>
      <c r="F236" s="88"/>
      <c r="G236" s="89">
        <f t="shared" si="152"/>
        <v>0</v>
      </c>
      <c r="H236" s="90">
        <f t="shared" si="153"/>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17"/>
      <c r="AG236" s="92"/>
      <c r="AH236" s="92"/>
      <c r="AI236" s="92"/>
      <c r="AJ236" s="92"/>
      <c r="AK236" s="92"/>
      <c r="AL236" s="92"/>
      <c r="AM236" s="92"/>
      <c r="AN236" s="92"/>
      <c r="AO236" s="92"/>
      <c r="AP236" s="92"/>
      <c r="AQ236" s="92"/>
      <c r="AR236" s="92"/>
      <c r="AS236" s="92"/>
      <c r="AT236" s="93"/>
      <c r="AU236" s="94"/>
      <c r="AV236" s="1863">
        <f t="shared" si="155"/>
        <v>0</v>
      </c>
      <c r="AW236" s="1863">
        <f t="shared" si="156"/>
        <v>0</v>
      </c>
      <c r="AX236" s="1863">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16"/>
      <c r="C237" s="1317"/>
      <c r="D237" s="80"/>
      <c r="E237" s="87">
        <f t="shared" si="151"/>
        <v>0</v>
      </c>
      <c r="F237" s="88"/>
      <c r="G237" s="89">
        <f t="shared" si="152"/>
        <v>0</v>
      </c>
      <c r="H237" s="90">
        <f t="shared" si="153"/>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17"/>
      <c r="AG237" s="92"/>
      <c r="AH237" s="92"/>
      <c r="AI237" s="92"/>
      <c r="AJ237" s="92"/>
      <c r="AK237" s="92"/>
      <c r="AL237" s="92"/>
      <c r="AM237" s="92"/>
      <c r="AN237" s="92"/>
      <c r="AO237" s="92"/>
      <c r="AP237" s="92"/>
      <c r="AQ237" s="92"/>
      <c r="AR237" s="92"/>
      <c r="AS237" s="92"/>
      <c r="AT237" s="93"/>
      <c r="AU237" s="94"/>
      <c r="AV237" s="1863">
        <f t="shared" si="155"/>
        <v>0</v>
      </c>
      <c r="AW237" s="1863">
        <f t="shared" si="156"/>
        <v>0</v>
      </c>
      <c r="AX237" s="1863">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16"/>
      <c r="C238" s="1317"/>
      <c r="D238" s="80"/>
      <c r="E238" s="87">
        <f t="shared" si="151"/>
        <v>0</v>
      </c>
      <c r="F238" s="88"/>
      <c r="G238" s="89">
        <f t="shared" si="152"/>
        <v>0</v>
      </c>
      <c r="H238" s="90">
        <f t="shared" si="153"/>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17"/>
      <c r="AG238" s="92"/>
      <c r="AH238" s="92"/>
      <c r="AI238" s="92"/>
      <c r="AJ238" s="92"/>
      <c r="AK238" s="92"/>
      <c r="AL238" s="92"/>
      <c r="AM238" s="92"/>
      <c r="AN238" s="92"/>
      <c r="AO238" s="92"/>
      <c r="AP238" s="92"/>
      <c r="AQ238" s="92"/>
      <c r="AR238" s="92"/>
      <c r="AS238" s="92"/>
      <c r="AT238" s="93"/>
      <c r="AU238" s="94"/>
      <c r="AV238" s="1863">
        <f t="shared" si="155"/>
        <v>0</v>
      </c>
      <c r="AW238" s="1863">
        <f t="shared" si="156"/>
        <v>0</v>
      </c>
      <c r="AX238" s="1863">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18"/>
      <c r="C239" s="1319"/>
      <c r="D239" s="80"/>
      <c r="E239" s="87">
        <f t="shared" si="151"/>
        <v>0</v>
      </c>
      <c r="F239" s="88"/>
      <c r="G239" s="89">
        <f t="shared" si="152"/>
        <v>0</v>
      </c>
      <c r="H239" s="90">
        <f t="shared" si="153"/>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4"/>
        <v>0</v>
      </c>
      <c r="AD239" s="92"/>
      <c r="AE239" s="92"/>
      <c r="AF239" s="1317"/>
      <c r="AG239" s="92"/>
      <c r="AH239" s="92"/>
      <c r="AI239" s="92"/>
      <c r="AJ239" s="92"/>
      <c r="AK239" s="92"/>
      <c r="AL239" s="92"/>
      <c r="AM239" s="92"/>
      <c r="AN239" s="92"/>
      <c r="AO239" s="92"/>
      <c r="AP239" s="92"/>
      <c r="AQ239" s="92"/>
      <c r="AR239" s="92"/>
      <c r="AS239" s="92"/>
      <c r="AT239" s="93"/>
      <c r="AU239" s="94"/>
      <c r="AV239" s="1863">
        <f t="shared" si="155"/>
        <v>0</v>
      </c>
      <c r="AW239" s="1863">
        <f t="shared" si="156"/>
        <v>0</v>
      </c>
      <c r="AX239" s="1863">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863">
        <f t="shared" si="155"/>
        <v>0</v>
      </c>
      <c r="AW240" s="1863">
        <f t="shared" si="156"/>
        <v>0</v>
      </c>
      <c r="AX240" s="1863">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863">
        <f t="shared" si="155"/>
        <v>0</v>
      </c>
      <c r="AW241" s="1863">
        <f t="shared" si="156"/>
        <v>0</v>
      </c>
      <c r="AX241" s="1863">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863">
        <f t="shared" si="155"/>
        <v>0</v>
      </c>
      <c r="AW242" s="1863">
        <f t="shared" si="156"/>
        <v>0</v>
      </c>
      <c r="AX242" s="1863">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863">
        <f t="shared" si="155"/>
        <v>0</v>
      </c>
      <c r="AW243" s="1863">
        <f t="shared" si="156"/>
        <v>0</v>
      </c>
      <c r="AX243" s="1863">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863">
        <f t="shared" si="155"/>
        <v>0</v>
      </c>
      <c r="AW244" s="1863">
        <f t="shared" si="156"/>
        <v>0</v>
      </c>
      <c r="AX244" s="1863">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863">
        <f t="shared" si="155"/>
        <v>0</v>
      </c>
      <c r="AW245" s="1863">
        <f t="shared" si="156"/>
        <v>0</v>
      </c>
      <c r="AX245" s="1863">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863">
        <f t="shared" si="155"/>
        <v>0</v>
      </c>
      <c r="AW246" s="1863">
        <f t="shared" si="156"/>
        <v>0</v>
      </c>
      <c r="AX246" s="1863">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863">
        <f t="shared" si="155"/>
        <v>0</v>
      </c>
      <c r="AW247" s="1863">
        <f t="shared" si="156"/>
        <v>0</v>
      </c>
      <c r="AX247" s="1863">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863">
        <f t="shared" si="155"/>
        <v>0</v>
      </c>
      <c r="AW248" s="1863">
        <f t="shared" si="156"/>
        <v>0</v>
      </c>
      <c r="AX248" s="1863">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863">
        <f t="shared" si="155"/>
        <v>0</v>
      </c>
      <c r="AW249" s="1863">
        <f t="shared" si="156"/>
        <v>0</v>
      </c>
      <c r="AX249" s="1863">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863">
        <f t="shared" si="155"/>
        <v>0</v>
      </c>
      <c r="AW250" s="1863">
        <f t="shared" si="156"/>
        <v>0</v>
      </c>
      <c r="AX250" s="1863">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863">
        <f t="shared" si="155"/>
        <v>0</v>
      </c>
      <c r="AW251" s="1863">
        <f t="shared" si="156"/>
        <v>0</v>
      </c>
      <c r="AX251" s="1863">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863">
        <f t="shared" si="155"/>
        <v>0</v>
      </c>
      <c r="AW252" s="1863">
        <f t="shared" si="156"/>
        <v>0</v>
      </c>
      <c r="AX252" s="1863">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863">
        <f t="shared" si="155"/>
        <v>0</v>
      </c>
      <c r="AW253" s="1863">
        <f t="shared" si="156"/>
        <v>0</v>
      </c>
      <c r="AX253" s="1863">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863">
        <f t="shared" si="155"/>
        <v>0</v>
      </c>
      <c r="AW254" s="1863">
        <f t="shared" si="156"/>
        <v>0</v>
      </c>
      <c r="AX254" s="1863">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863">
        <f t="shared" si="155"/>
        <v>0</v>
      </c>
      <c r="AW255" s="1863">
        <f t="shared" si="156"/>
        <v>0</v>
      </c>
      <c r="AX255" s="1863">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863">
        <f t="shared" si="155"/>
        <v>0</v>
      </c>
      <c r="AW256" s="1863">
        <f t="shared" si="156"/>
        <v>0</v>
      </c>
      <c r="AX256" s="1863">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863">
        <f t="shared" si="155"/>
        <v>0</v>
      </c>
      <c r="AW257" s="1863">
        <f t="shared" si="156"/>
        <v>0</v>
      </c>
      <c r="AX257" s="1863">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863">
        <f t="shared" si="155"/>
        <v>0</v>
      </c>
      <c r="AW258" s="1863">
        <f t="shared" si="156"/>
        <v>0</v>
      </c>
      <c r="AX258" s="1863">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863">
        <f t="shared" si="155"/>
        <v>0</v>
      </c>
      <c r="AW259" s="1863">
        <f t="shared" si="156"/>
        <v>0</v>
      </c>
      <c r="AX259" s="1863">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863">
        <f t="shared" si="155"/>
        <v>0</v>
      </c>
      <c r="AW260" s="1863">
        <f t="shared" si="156"/>
        <v>0</v>
      </c>
      <c r="AX260" s="1863">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863">
        <f t="shared" si="155"/>
        <v>0</v>
      </c>
      <c r="AW261" s="1863">
        <f t="shared" si="156"/>
        <v>0</v>
      </c>
      <c r="AX261" s="1863">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863">
        <f t="shared" si="155"/>
        <v>0</v>
      </c>
      <c r="AW262" s="1863">
        <f t="shared" si="156"/>
        <v>0</v>
      </c>
      <c r="AX262" s="1863">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863">
        <f t="shared" si="155"/>
        <v>0</v>
      </c>
      <c r="AW263" s="1863">
        <f t="shared" si="156"/>
        <v>0</v>
      </c>
      <c r="AX263" s="1863">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863">
        <f t="shared" si="155"/>
        <v>0</v>
      </c>
      <c r="AW264" s="1863">
        <f t="shared" si="156"/>
        <v>0</v>
      </c>
      <c r="AX264" s="1863">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863">
        <f t="shared" si="155"/>
        <v>0</v>
      </c>
      <c r="AW265" s="1863">
        <f t="shared" si="156"/>
        <v>0</v>
      </c>
      <c r="AX265" s="1863">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863">
        <f t="shared" si="155"/>
        <v>0</v>
      </c>
      <c r="AW266" s="1863">
        <f t="shared" si="156"/>
        <v>0</v>
      </c>
      <c r="AX266" s="1863">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863">
        <f t="shared" si="155"/>
        <v>0</v>
      </c>
      <c r="AW267" s="1863">
        <f t="shared" si="156"/>
        <v>0</v>
      </c>
      <c r="AX267" s="1863">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863">
        <f t="shared" si="155"/>
        <v>0</v>
      </c>
      <c r="AW268" s="1863">
        <f t="shared" si="156"/>
        <v>0</v>
      </c>
      <c r="AX268" s="1863">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863">
        <f t="shared" si="155"/>
        <v>0</v>
      </c>
      <c r="AW269" s="1863">
        <f t="shared" si="156"/>
        <v>0</v>
      </c>
      <c r="AX269" s="1863">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863">
        <f t="shared" si="155"/>
        <v>0</v>
      </c>
      <c r="AW270" s="1863">
        <f t="shared" si="156"/>
        <v>0</v>
      </c>
      <c r="AX270" s="1863">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863">
        <f t="shared" si="155"/>
        <v>0</v>
      </c>
      <c r="AW271" s="1863">
        <f t="shared" si="156"/>
        <v>0</v>
      </c>
      <c r="AX271" s="1863">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863">
        <f t="shared" si="155"/>
        <v>0</v>
      </c>
      <c r="AW272" s="1863">
        <f t="shared" si="156"/>
        <v>0</v>
      </c>
      <c r="AX272" s="1863">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863">
        <f t="shared" si="155"/>
        <v>0</v>
      </c>
      <c r="AW273" s="1863">
        <f t="shared" si="156"/>
        <v>0</v>
      </c>
      <c r="AX273" s="1863">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863">
        <f t="shared" si="155"/>
        <v>0</v>
      </c>
      <c r="AW274" s="1863">
        <f t="shared" si="156"/>
        <v>0</v>
      </c>
      <c r="AX274" s="1863">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863">
        <f t="shared" si="155"/>
        <v>0</v>
      </c>
      <c r="AW275" s="1863">
        <f t="shared" si="156"/>
        <v>0</v>
      </c>
      <c r="AX275" s="1863">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863">
        <f t="shared" si="155"/>
        <v>0</v>
      </c>
      <c r="AW276" s="1863">
        <f t="shared" si="156"/>
        <v>0</v>
      </c>
      <c r="AX276" s="1863">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863">
        <f t="shared" si="155"/>
        <v>0</v>
      </c>
      <c r="AW277" s="1863">
        <f t="shared" si="156"/>
        <v>0</v>
      </c>
      <c r="AX277" s="1863">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863">
        <f t="shared" si="155"/>
        <v>0</v>
      </c>
      <c r="AW278" s="1863">
        <f t="shared" si="156"/>
        <v>0</v>
      </c>
      <c r="AX278" s="1863">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863">
        <f t="shared" si="155"/>
        <v>0</v>
      </c>
      <c r="AW279" s="1863">
        <f t="shared" si="156"/>
        <v>0</v>
      </c>
      <c r="AX279" s="1863">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863">
        <f t="shared" si="155"/>
        <v>0</v>
      </c>
      <c r="AW280" s="1863">
        <f t="shared" si="156"/>
        <v>0</v>
      </c>
      <c r="AX280" s="1863">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863">
        <f t="shared" si="155"/>
        <v>0</v>
      </c>
      <c r="AW281" s="1863">
        <f t="shared" si="156"/>
        <v>0</v>
      </c>
      <c r="AX281" s="1863">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863">
        <f t="shared" si="155"/>
        <v>0</v>
      </c>
      <c r="AW282" s="1863">
        <f t="shared" si="156"/>
        <v>0</v>
      </c>
      <c r="AX282" s="1863">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863">
        <f t="shared" si="155"/>
        <v>0</v>
      </c>
      <c r="AW283" s="1863">
        <f t="shared" si="156"/>
        <v>0</v>
      </c>
      <c r="AX283" s="1863">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863">
        <f t="shared" si="155"/>
        <v>0</v>
      </c>
      <c r="AW284" s="1863">
        <f t="shared" si="156"/>
        <v>0</v>
      </c>
      <c r="AX284" s="1863">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863">
        <f t="shared" si="155"/>
        <v>0</v>
      </c>
      <c r="AW285" s="1863">
        <f t="shared" si="156"/>
        <v>0</v>
      </c>
      <c r="AX285" s="1863">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863">
        <f t="shared" si="155"/>
        <v>0</v>
      </c>
      <c r="AW286" s="1863">
        <f t="shared" si="156"/>
        <v>0</v>
      </c>
      <c r="AX286" s="1863">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863">
        <f t="shared" si="155"/>
        <v>0</v>
      </c>
      <c r="AW287" s="1863">
        <f t="shared" si="156"/>
        <v>0</v>
      </c>
      <c r="AX287" s="1863">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863">
        <f t="shared" si="155"/>
        <v>0</v>
      </c>
      <c r="AW288" s="1863">
        <f t="shared" si="156"/>
        <v>0</v>
      </c>
      <c r="AX288" s="1863">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863">
        <f t="shared" si="155"/>
        <v>0</v>
      </c>
      <c r="AW289" s="1863">
        <f t="shared" si="156"/>
        <v>0</v>
      </c>
      <c r="AX289" s="1863">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863">
        <f t="shared" si="155"/>
        <v>0</v>
      </c>
      <c r="AW290" s="1863">
        <f t="shared" si="156"/>
        <v>0</v>
      </c>
      <c r="AX290" s="1863">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863">
        <f t="shared" si="155"/>
        <v>0</v>
      </c>
      <c r="AW291" s="1863">
        <f t="shared" si="156"/>
        <v>0</v>
      </c>
      <c r="AX291" s="1863">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863">
        <f t="shared" si="155"/>
        <v>0</v>
      </c>
      <c r="AW292" s="1863">
        <f t="shared" si="156"/>
        <v>0</v>
      </c>
      <c r="AX292" s="1863">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863">
        <f t="shared" si="155"/>
        <v>0</v>
      </c>
      <c r="AW293" s="1863">
        <f t="shared" si="156"/>
        <v>0</v>
      </c>
      <c r="AX293" s="1863">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5"/>
        <v>0</v>
      </c>
      <c r="AW294" s="1863">
        <f t="shared" si="156"/>
        <v>0</v>
      </c>
      <c r="AX294" s="1863">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863">
        <f t="shared" si="155"/>
        <v>0</v>
      </c>
      <c r="AW295" s="1863">
        <f t="shared" si="156"/>
        <v>0</v>
      </c>
      <c r="AX295" s="1863">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863">
        <f t="shared" si="155"/>
        <v>0</v>
      </c>
      <c r="AW296" s="1863">
        <f t="shared" si="156"/>
        <v>0</v>
      </c>
      <c r="AX296" s="1863">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16"/>
      <c r="C297" s="1317"/>
      <c r="D297" s="80"/>
      <c r="E297" s="87">
        <f t="shared" ref="E297:E328" si="205">IF($C$3="是",ROUND($A$3*G297/$B$3,2),ROUND($A$3*(G297-AT297)/$B$3,2))</f>
        <v>0</v>
      </c>
      <c r="F297" s="88"/>
      <c r="G297" s="89">
        <f t="shared" si="180"/>
        <v>0</v>
      </c>
      <c r="H297" s="90">
        <f t="shared" si="181"/>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20"/>
      <c r="AG297" s="92"/>
      <c r="AH297" s="92"/>
      <c r="AI297" s="92"/>
      <c r="AJ297" s="92"/>
      <c r="AK297" s="92"/>
      <c r="AL297" s="92"/>
      <c r="AM297" s="92"/>
      <c r="AN297" s="1291"/>
      <c r="AO297" s="92"/>
      <c r="AP297" s="92"/>
      <c r="AQ297" s="92"/>
      <c r="AR297" s="92"/>
      <c r="AS297" s="92"/>
      <c r="AT297" s="93"/>
      <c r="AU297" s="94"/>
      <c r="AV297" s="1863">
        <f t="shared" ref="AV297:AV328" si="206">A297</f>
        <v>0</v>
      </c>
      <c r="AW297" s="1863">
        <f t="shared" ref="AW297:AW328" si="207">B297</f>
        <v>0</v>
      </c>
      <c r="AX297" s="1863">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16"/>
      <c r="C298" s="1317"/>
      <c r="D298" s="80"/>
      <c r="E298" s="87">
        <f t="shared" si="205"/>
        <v>0</v>
      </c>
      <c r="F298" s="88"/>
      <c r="G298" s="89">
        <f t="shared" si="180"/>
        <v>0</v>
      </c>
      <c r="H298" s="90">
        <f t="shared" si="181"/>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2"/>
        <v>0</v>
      </c>
      <c r="AD298" s="1291"/>
      <c r="AE298" s="92"/>
      <c r="AF298" s="1320"/>
      <c r="AG298" s="92"/>
      <c r="AH298" s="92"/>
      <c r="AI298" s="92"/>
      <c r="AJ298" s="92"/>
      <c r="AK298" s="92"/>
      <c r="AL298" s="1291"/>
      <c r="AM298" s="92"/>
      <c r="AN298" s="1291"/>
      <c r="AO298" s="92"/>
      <c r="AP298" s="92"/>
      <c r="AQ298" s="92"/>
      <c r="AR298" s="92"/>
      <c r="AS298" s="92"/>
      <c r="AT298" s="93"/>
      <c r="AU298" s="94"/>
      <c r="AV298" s="1863">
        <f t="shared" si="206"/>
        <v>0</v>
      </c>
      <c r="AW298" s="1863">
        <f t="shared" si="207"/>
        <v>0</v>
      </c>
      <c r="AX298" s="1863">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16"/>
      <c r="C299" s="1317"/>
      <c r="D299" s="80"/>
      <c r="E299" s="87">
        <f t="shared" si="205"/>
        <v>0</v>
      </c>
      <c r="F299" s="88"/>
      <c r="G299" s="89">
        <f t="shared" si="180"/>
        <v>0</v>
      </c>
      <c r="H299" s="90">
        <f t="shared" si="181"/>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2"/>
        <v>0</v>
      </c>
      <c r="AD299" s="92"/>
      <c r="AE299" s="92"/>
      <c r="AF299" s="1320"/>
      <c r="AG299" s="92"/>
      <c r="AH299" s="92"/>
      <c r="AI299" s="92"/>
      <c r="AJ299" s="92"/>
      <c r="AK299" s="92"/>
      <c r="AL299" s="1291"/>
      <c r="AM299" s="92"/>
      <c r="AN299" s="1291"/>
      <c r="AO299" s="92"/>
      <c r="AP299" s="92"/>
      <c r="AQ299" s="92"/>
      <c r="AR299" s="92"/>
      <c r="AS299" s="92"/>
      <c r="AT299" s="93"/>
      <c r="AU299" s="94"/>
      <c r="AV299" s="1863">
        <f t="shared" si="206"/>
        <v>0</v>
      </c>
      <c r="AW299" s="1863">
        <f t="shared" si="207"/>
        <v>0</v>
      </c>
      <c r="AX299" s="1863">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16"/>
      <c r="C300" s="1317"/>
      <c r="D300" s="80"/>
      <c r="E300" s="87">
        <f t="shared" si="205"/>
        <v>0</v>
      </c>
      <c r="F300" s="88"/>
      <c r="G300" s="89">
        <f t="shared" si="180"/>
        <v>0</v>
      </c>
      <c r="H300" s="90">
        <f t="shared" si="181"/>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2"/>
        <v>0</v>
      </c>
      <c r="AD300" s="92"/>
      <c r="AE300" s="92"/>
      <c r="AF300" s="1320"/>
      <c r="AG300" s="92"/>
      <c r="AH300" s="92"/>
      <c r="AI300" s="92"/>
      <c r="AJ300" s="92"/>
      <c r="AK300" s="92"/>
      <c r="AL300" s="92"/>
      <c r="AM300" s="92"/>
      <c r="AN300" s="1291"/>
      <c r="AO300" s="92"/>
      <c r="AP300" s="92"/>
      <c r="AQ300" s="92"/>
      <c r="AR300" s="92"/>
      <c r="AS300" s="92"/>
      <c r="AT300" s="93"/>
      <c r="AU300" s="94"/>
      <c r="AV300" s="1863">
        <f t="shared" si="206"/>
        <v>0</v>
      </c>
      <c r="AW300" s="1863">
        <f t="shared" si="207"/>
        <v>0</v>
      </c>
      <c r="AX300" s="1863">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16"/>
      <c r="C301" s="1317"/>
      <c r="D301" s="80"/>
      <c r="E301" s="87">
        <f t="shared" si="205"/>
        <v>0</v>
      </c>
      <c r="F301" s="88"/>
      <c r="G301" s="89">
        <f t="shared" si="180"/>
        <v>0</v>
      </c>
      <c r="H301" s="90">
        <f t="shared" si="181"/>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20"/>
      <c r="AG301" s="92"/>
      <c r="AH301" s="92"/>
      <c r="AI301" s="92"/>
      <c r="AJ301" s="92"/>
      <c r="AK301" s="92"/>
      <c r="AL301" s="92"/>
      <c r="AM301" s="92"/>
      <c r="AN301" s="92"/>
      <c r="AO301" s="92"/>
      <c r="AP301" s="92"/>
      <c r="AQ301" s="92"/>
      <c r="AR301" s="92"/>
      <c r="AS301" s="92"/>
      <c r="AT301" s="93"/>
      <c r="AU301" s="94"/>
      <c r="AV301" s="1863">
        <f t="shared" si="206"/>
        <v>0</v>
      </c>
      <c r="AW301" s="1863">
        <f t="shared" si="207"/>
        <v>0</v>
      </c>
      <c r="AX301" s="1863">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16"/>
      <c r="C302" s="1317"/>
      <c r="D302" s="80"/>
      <c r="E302" s="87">
        <f t="shared" si="205"/>
        <v>0</v>
      </c>
      <c r="F302" s="88"/>
      <c r="G302" s="89">
        <f t="shared" si="180"/>
        <v>0</v>
      </c>
      <c r="H302" s="90">
        <f t="shared" si="181"/>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20"/>
      <c r="AG302" s="92"/>
      <c r="AH302" s="92"/>
      <c r="AI302" s="92"/>
      <c r="AJ302" s="92"/>
      <c r="AK302" s="92"/>
      <c r="AL302" s="92"/>
      <c r="AM302" s="92"/>
      <c r="AN302" s="92"/>
      <c r="AO302" s="92"/>
      <c r="AP302" s="92"/>
      <c r="AQ302" s="92"/>
      <c r="AR302" s="92"/>
      <c r="AS302" s="92"/>
      <c r="AT302" s="93"/>
      <c r="AU302" s="94"/>
      <c r="AV302" s="1863">
        <f t="shared" si="206"/>
        <v>0</v>
      </c>
      <c r="AW302" s="1863">
        <f t="shared" si="207"/>
        <v>0</v>
      </c>
      <c r="AX302" s="1863">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16"/>
      <c r="C303" s="1317"/>
      <c r="D303" s="80"/>
      <c r="E303" s="87">
        <f t="shared" si="205"/>
        <v>0</v>
      </c>
      <c r="F303" s="88"/>
      <c r="G303" s="89">
        <f t="shared" si="180"/>
        <v>0</v>
      </c>
      <c r="H303" s="90">
        <f t="shared" si="181"/>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20"/>
      <c r="AG303" s="92"/>
      <c r="AH303" s="92"/>
      <c r="AI303" s="92"/>
      <c r="AJ303" s="92"/>
      <c r="AK303" s="92"/>
      <c r="AL303" s="92"/>
      <c r="AM303" s="92"/>
      <c r="AN303" s="92"/>
      <c r="AO303" s="92"/>
      <c r="AP303" s="92"/>
      <c r="AQ303" s="92"/>
      <c r="AR303" s="92"/>
      <c r="AS303" s="92"/>
      <c r="AT303" s="93"/>
      <c r="AU303" s="94"/>
      <c r="AV303" s="1863">
        <f t="shared" si="206"/>
        <v>0</v>
      </c>
      <c r="AW303" s="1863">
        <f t="shared" si="207"/>
        <v>0</v>
      </c>
      <c r="AX303" s="1863">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16"/>
      <c r="C304" s="1317"/>
      <c r="D304" s="80"/>
      <c r="E304" s="87">
        <f t="shared" si="205"/>
        <v>0</v>
      </c>
      <c r="F304" s="88"/>
      <c r="G304" s="89">
        <f t="shared" si="180"/>
        <v>0</v>
      </c>
      <c r="H304" s="90">
        <f t="shared" si="181"/>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19"/>
      <c r="AG304" s="92"/>
      <c r="AH304" s="92"/>
      <c r="AI304" s="92"/>
      <c r="AJ304" s="92"/>
      <c r="AK304" s="92"/>
      <c r="AL304" s="92"/>
      <c r="AM304" s="92"/>
      <c r="AN304" s="92"/>
      <c r="AO304" s="92"/>
      <c r="AP304" s="92"/>
      <c r="AQ304" s="92"/>
      <c r="AR304" s="92"/>
      <c r="AS304" s="92"/>
      <c r="AT304" s="93"/>
      <c r="AU304" s="94"/>
      <c r="AV304" s="1863">
        <f t="shared" si="206"/>
        <v>0</v>
      </c>
      <c r="AW304" s="1863">
        <f t="shared" si="207"/>
        <v>0</v>
      </c>
      <c r="AX304" s="1863">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18"/>
      <c r="C305" s="1319"/>
      <c r="D305" s="80"/>
      <c r="E305" s="87">
        <f t="shared" si="205"/>
        <v>0</v>
      </c>
      <c r="F305" s="88"/>
      <c r="G305" s="89">
        <f t="shared" si="180"/>
        <v>0</v>
      </c>
      <c r="H305" s="90">
        <f t="shared" si="181"/>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19"/>
      <c r="AG305" s="92"/>
      <c r="AH305" s="92"/>
      <c r="AI305" s="92"/>
      <c r="AJ305" s="92"/>
      <c r="AK305" s="92"/>
      <c r="AL305" s="92"/>
      <c r="AM305" s="92"/>
      <c r="AN305" s="92"/>
      <c r="AO305" s="92"/>
      <c r="AP305" s="92"/>
      <c r="AQ305" s="92"/>
      <c r="AR305" s="92"/>
      <c r="AS305" s="92"/>
      <c r="AT305" s="93"/>
      <c r="AU305" s="94"/>
      <c r="AV305" s="1863">
        <f t="shared" si="206"/>
        <v>0</v>
      </c>
      <c r="AW305" s="1863">
        <f t="shared" si="207"/>
        <v>0</v>
      </c>
      <c r="AX305" s="1863">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16"/>
      <c r="C306" s="1317"/>
      <c r="D306" s="80"/>
      <c r="E306" s="87">
        <f t="shared" si="205"/>
        <v>0</v>
      </c>
      <c r="F306" s="88"/>
      <c r="G306" s="89">
        <f t="shared" si="180"/>
        <v>0</v>
      </c>
      <c r="H306" s="90">
        <f t="shared" si="181"/>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19"/>
      <c r="AG306" s="92"/>
      <c r="AH306" s="92"/>
      <c r="AI306" s="92"/>
      <c r="AJ306" s="92"/>
      <c r="AK306" s="92"/>
      <c r="AL306" s="92"/>
      <c r="AM306" s="92"/>
      <c r="AN306" s="92"/>
      <c r="AO306" s="92"/>
      <c r="AP306" s="92"/>
      <c r="AQ306" s="92"/>
      <c r="AR306" s="92"/>
      <c r="AS306" s="92"/>
      <c r="AT306" s="93"/>
      <c r="AU306" s="94"/>
      <c r="AV306" s="1863">
        <f t="shared" si="206"/>
        <v>0</v>
      </c>
      <c r="AW306" s="1863">
        <f t="shared" si="207"/>
        <v>0</v>
      </c>
      <c r="AX306" s="1863">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16"/>
      <c r="C307" s="1317"/>
      <c r="D307" s="80"/>
      <c r="E307" s="87">
        <f t="shared" si="205"/>
        <v>0</v>
      </c>
      <c r="F307" s="88"/>
      <c r="G307" s="89">
        <f t="shared" si="180"/>
        <v>0</v>
      </c>
      <c r="H307" s="90">
        <f t="shared" si="181"/>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19"/>
      <c r="AG307" s="92"/>
      <c r="AH307" s="92"/>
      <c r="AI307" s="92"/>
      <c r="AJ307" s="92"/>
      <c r="AK307" s="92"/>
      <c r="AL307" s="92"/>
      <c r="AM307" s="92"/>
      <c r="AN307" s="92"/>
      <c r="AO307" s="92"/>
      <c r="AP307" s="92"/>
      <c r="AQ307" s="92"/>
      <c r="AR307" s="92"/>
      <c r="AS307" s="92"/>
      <c r="AT307" s="93"/>
      <c r="AU307" s="94"/>
      <c r="AV307" s="1863">
        <f t="shared" si="206"/>
        <v>0</v>
      </c>
      <c r="AW307" s="1863">
        <f t="shared" si="207"/>
        <v>0</v>
      </c>
      <c r="AX307" s="1863">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16"/>
      <c r="C308" s="1317"/>
      <c r="D308" s="80"/>
      <c r="E308" s="87">
        <f t="shared" si="205"/>
        <v>0</v>
      </c>
      <c r="F308" s="88"/>
      <c r="G308" s="89">
        <f t="shared" si="180"/>
        <v>0</v>
      </c>
      <c r="H308" s="90">
        <f t="shared" si="181"/>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19"/>
      <c r="AG308" s="92"/>
      <c r="AH308" s="92"/>
      <c r="AI308" s="92"/>
      <c r="AJ308" s="92"/>
      <c r="AK308" s="92"/>
      <c r="AL308" s="92"/>
      <c r="AM308" s="92"/>
      <c r="AN308" s="92"/>
      <c r="AO308" s="92"/>
      <c r="AP308" s="92"/>
      <c r="AQ308" s="92"/>
      <c r="AR308" s="92"/>
      <c r="AS308" s="92"/>
      <c r="AT308" s="93"/>
      <c r="AU308" s="94"/>
      <c r="AV308" s="1863">
        <f t="shared" si="206"/>
        <v>0</v>
      </c>
      <c r="AW308" s="1863">
        <f t="shared" si="207"/>
        <v>0</v>
      </c>
      <c r="AX308" s="1863">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16"/>
      <c r="C309" s="1317"/>
      <c r="D309" s="80"/>
      <c r="E309" s="87">
        <f t="shared" si="205"/>
        <v>0</v>
      </c>
      <c r="F309" s="88"/>
      <c r="G309" s="89">
        <f t="shared" si="180"/>
        <v>0</v>
      </c>
      <c r="H309" s="90">
        <f t="shared" si="181"/>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19"/>
      <c r="AG309" s="92"/>
      <c r="AH309" s="92"/>
      <c r="AI309" s="92"/>
      <c r="AJ309" s="92"/>
      <c r="AK309" s="92"/>
      <c r="AL309" s="92"/>
      <c r="AM309" s="92"/>
      <c r="AN309" s="92"/>
      <c r="AO309" s="92"/>
      <c r="AP309" s="92"/>
      <c r="AQ309" s="92"/>
      <c r="AR309" s="92"/>
      <c r="AS309" s="92"/>
      <c r="AT309" s="93"/>
      <c r="AU309" s="94"/>
      <c r="AV309" s="1863">
        <f t="shared" si="206"/>
        <v>0</v>
      </c>
      <c r="AW309" s="1863">
        <f t="shared" si="207"/>
        <v>0</v>
      </c>
      <c r="AX309" s="1863">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16"/>
      <c r="C310" s="1317"/>
      <c r="D310" s="80"/>
      <c r="E310" s="87">
        <f t="shared" si="205"/>
        <v>0</v>
      </c>
      <c r="F310" s="88"/>
      <c r="G310" s="89">
        <f t="shared" si="180"/>
        <v>0</v>
      </c>
      <c r="H310" s="90">
        <f t="shared" si="181"/>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19"/>
      <c r="AG310" s="92"/>
      <c r="AH310" s="92"/>
      <c r="AI310" s="92"/>
      <c r="AJ310" s="92"/>
      <c r="AK310" s="92"/>
      <c r="AL310" s="92"/>
      <c r="AM310" s="92"/>
      <c r="AN310" s="92"/>
      <c r="AO310" s="92"/>
      <c r="AP310" s="92"/>
      <c r="AQ310" s="92"/>
      <c r="AR310" s="92"/>
      <c r="AS310" s="92"/>
      <c r="AT310" s="93"/>
      <c r="AU310" s="94"/>
      <c r="AV310" s="1863">
        <f t="shared" si="206"/>
        <v>0</v>
      </c>
      <c r="AW310" s="1863">
        <f t="shared" si="207"/>
        <v>0</v>
      </c>
      <c r="AX310" s="1863">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16"/>
      <c r="C311" s="1317"/>
      <c r="D311" s="80"/>
      <c r="E311" s="87">
        <f t="shared" si="205"/>
        <v>0</v>
      </c>
      <c r="F311" s="88"/>
      <c r="G311" s="89">
        <f t="shared" si="180"/>
        <v>0</v>
      </c>
      <c r="H311" s="90">
        <f t="shared" si="181"/>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19"/>
      <c r="AG311" s="92"/>
      <c r="AH311" s="92"/>
      <c r="AI311" s="92"/>
      <c r="AJ311" s="92"/>
      <c r="AK311" s="92"/>
      <c r="AL311" s="92"/>
      <c r="AM311" s="92"/>
      <c r="AN311" s="92"/>
      <c r="AO311" s="92"/>
      <c r="AP311" s="92"/>
      <c r="AQ311" s="92"/>
      <c r="AR311" s="92"/>
      <c r="AS311" s="92"/>
      <c r="AT311" s="93"/>
      <c r="AU311" s="94"/>
      <c r="AV311" s="1863">
        <f t="shared" si="206"/>
        <v>0</v>
      </c>
      <c r="AW311" s="1863">
        <f t="shared" si="207"/>
        <v>0</v>
      </c>
      <c r="AX311" s="1863">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16"/>
      <c r="C312" s="1317"/>
      <c r="D312" s="80"/>
      <c r="E312" s="87">
        <f t="shared" si="205"/>
        <v>0</v>
      </c>
      <c r="F312" s="88"/>
      <c r="G312" s="89">
        <f t="shared" si="180"/>
        <v>0</v>
      </c>
      <c r="H312" s="90">
        <f t="shared" si="181"/>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19"/>
      <c r="AG312" s="92"/>
      <c r="AH312" s="92"/>
      <c r="AI312" s="92"/>
      <c r="AJ312" s="92"/>
      <c r="AK312" s="92"/>
      <c r="AL312" s="92"/>
      <c r="AM312" s="92"/>
      <c r="AN312" s="92"/>
      <c r="AO312" s="92"/>
      <c r="AP312" s="92"/>
      <c r="AQ312" s="92"/>
      <c r="AR312" s="92"/>
      <c r="AS312" s="92"/>
      <c r="AT312" s="93"/>
      <c r="AU312" s="94"/>
      <c r="AV312" s="1863">
        <f t="shared" si="206"/>
        <v>0</v>
      </c>
      <c r="AW312" s="1863">
        <f t="shared" si="207"/>
        <v>0</v>
      </c>
      <c r="AX312" s="1863">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16"/>
      <c r="C313" s="1317"/>
      <c r="D313" s="80"/>
      <c r="E313" s="87">
        <f t="shared" si="205"/>
        <v>0</v>
      </c>
      <c r="F313" s="88"/>
      <c r="G313" s="89">
        <f t="shared" si="180"/>
        <v>0</v>
      </c>
      <c r="H313" s="90">
        <f t="shared" si="181"/>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19"/>
      <c r="AG313" s="92"/>
      <c r="AH313" s="92"/>
      <c r="AI313" s="92"/>
      <c r="AJ313" s="92"/>
      <c r="AK313" s="92"/>
      <c r="AL313" s="92"/>
      <c r="AM313" s="92"/>
      <c r="AN313" s="92"/>
      <c r="AO313" s="92"/>
      <c r="AP313" s="92"/>
      <c r="AQ313" s="92"/>
      <c r="AR313" s="92"/>
      <c r="AS313" s="92"/>
      <c r="AT313" s="93"/>
      <c r="AU313" s="94"/>
      <c r="AV313" s="1863">
        <f t="shared" si="206"/>
        <v>0</v>
      </c>
      <c r="AW313" s="1863">
        <f t="shared" si="207"/>
        <v>0</v>
      </c>
      <c r="AX313" s="1863">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16"/>
      <c r="C314" s="1317"/>
      <c r="D314" s="80"/>
      <c r="E314" s="87">
        <f t="shared" si="205"/>
        <v>0</v>
      </c>
      <c r="F314" s="88"/>
      <c r="G314" s="89">
        <f t="shared" si="180"/>
        <v>0</v>
      </c>
      <c r="H314" s="90">
        <f t="shared" si="181"/>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19"/>
      <c r="AG314" s="92"/>
      <c r="AH314" s="92"/>
      <c r="AI314" s="92"/>
      <c r="AJ314" s="92"/>
      <c r="AK314" s="92"/>
      <c r="AL314" s="92"/>
      <c r="AM314" s="92"/>
      <c r="AN314" s="92"/>
      <c r="AO314" s="92"/>
      <c r="AP314" s="92"/>
      <c r="AQ314" s="92"/>
      <c r="AR314" s="92"/>
      <c r="AS314" s="92"/>
      <c r="AT314" s="93"/>
      <c r="AU314" s="94"/>
      <c r="AV314" s="1863">
        <f t="shared" si="206"/>
        <v>0</v>
      </c>
      <c r="AW314" s="1863">
        <f t="shared" si="207"/>
        <v>0</v>
      </c>
      <c r="AX314" s="1863">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16"/>
      <c r="C315" s="1317"/>
      <c r="D315" s="80"/>
      <c r="E315" s="87">
        <f t="shared" si="205"/>
        <v>0</v>
      </c>
      <c r="F315" s="88"/>
      <c r="G315" s="89">
        <f t="shared" si="180"/>
        <v>0</v>
      </c>
      <c r="H315" s="90">
        <f t="shared" si="181"/>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19"/>
      <c r="AG315" s="92"/>
      <c r="AH315" s="92"/>
      <c r="AI315" s="92"/>
      <c r="AJ315" s="92"/>
      <c r="AK315" s="92"/>
      <c r="AL315" s="92"/>
      <c r="AM315" s="92"/>
      <c r="AN315" s="92"/>
      <c r="AO315" s="92"/>
      <c r="AP315" s="92"/>
      <c r="AQ315" s="92"/>
      <c r="AR315" s="92"/>
      <c r="AS315" s="92"/>
      <c r="AT315" s="93"/>
      <c r="AU315" s="94"/>
      <c r="AV315" s="1863">
        <f t="shared" si="206"/>
        <v>0</v>
      </c>
      <c r="AW315" s="1863">
        <f t="shared" si="207"/>
        <v>0</v>
      </c>
      <c r="AX315" s="1863">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16"/>
      <c r="C316" s="1317"/>
      <c r="D316" s="80"/>
      <c r="E316" s="87">
        <f t="shared" si="205"/>
        <v>0</v>
      </c>
      <c r="F316" s="88"/>
      <c r="G316" s="89">
        <f t="shared" si="180"/>
        <v>0</v>
      </c>
      <c r="H316" s="90">
        <f t="shared" si="181"/>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19"/>
      <c r="AG316" s="92"/>
      <c r="AH316" s="92"/>
      <c r="AI316" s="92"/>
      <c r="AJ316" s="92"/>
      <c r="AK316" s="92"/>
      <c r="AL316" s="92"/>
      <c r="AM316" s="92"/>
      <c r="AN316" s="92"/>
      <c r="AO316" s="92"/>
      <c r="AP316" s="92"/>
      <c r="AQ316" s="92"/>
      <c r="AR316" s="92"/>
      <c r="AS316" s="92"/>
      <c r="AT316" s="93"/>
      <c r="AU316" s="94"/>
      <c r="AV316" s="1863">
        <f t="shared" si="206"/>
        <v>0</v>
      </c>
      <c r="AW316" s="1863">
        <f t="shared" si="207"/>
        <v>0</v>
      </c>
      <c r="AX316" s="1863">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16"/>
      <c r="C317" s="1317"/>
      <c r="D317" s="80"/>
      <c r="E317" s="87">
        <f t="shared" si="205"/>
        <v>0</v>
      </c>
      <c r="F317" s="88"/>
      <c r="G317" s="89">
        <f t="shared" si="180"/>
        <v>0</v>
      </c>
      <c r="H317" s="90">
        <f t="shared" si="181"/>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19"/>
      <c r="AG317" s="92"/>
      <c r="AH317" s="92"/>
      <c r="AI317" s="92"/>
      <c r="AJ317" s="92"/>
      <c r="AK317" s="92"/>
      <c r="AL317" s="92"/>
      <c r="AM317" s="92"/>
      <c r="AN317" s="92"/>
      <c r="AO317" s="92"/>
      <c r="AP317" s="92"/>
      <c r="AQ317" s="92"/>
      <c r="AR317" s="92"/>
      <c r="AS317" s="92"/>
      <c r="AT317" s="93"/>
      <c r="AU317" s="94"/>
      <c r="AV317" s="1863">
        <f t="shared" si="206"/>
        <v>0</v>
      </c>
      <c r="AW317" s="1863">
        <f t="shared" si="207"/>
        <v>0</v>
      </c>
      <c r="AX317" s="1863">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16"/>
      <c r="C318" s="1317"/>
      <c r="D318" s="80"/>
      <c r="E318" s="87">
        <f t="shared" si="205"/>
        <v>0</v>
      </c>
      <c r="F318" s="88"/>
      <c r="G318" s="89">
        <f t="shared" si="180"/>
        <v>0</v>
      </c>
      <c r="H318" s="90">
        <f t="shared" si="181"/>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19"/>
      <c r="AG318" s="92"/>
      <c r="AH318" s="92"/>
      <c r="AI318" s="92"/>
      <c r="AJ318" s="92"/>
      <c r="AK318" s="92"/>
      <c r="AL318" s="92"/>
      <c r="AM318" s="92"/>
      <c r="AN318" s="92"/>
      <c r="AO318" s="92"/>
      <c r="AP318" s="92"/>
      <c r="AQ318" s="92"/>
      <c r="AR318" s="92"/>
      <c r="AS318" s="92"/>
      <c r="AT318" s="93"/>
      <c r="AU318" s="94"/>
      <c r="AV318" s="1863">
        <f t="shared" si="206"/>
        <v>0</v>
      </c>
      <c r="AW318" s="1863">
        <f t="shared" si="207"/>
        <v>0</v>
      </c>
      <c r="AX318" s="1863">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16"/>
      <c r="C319" s="1317"/>
      <c r="D319" s="80"/>
      <c r="E319" s="87">
        <f t="shared" si="205"/>
        <v>0</v>
      </c>
      <c r="F319" s="88"/>
      <c r="G319" s="89">
        <f t="shared" si="180"/>
        <v>0</v>
      </c>
      <c r="H319" s="90">
        <f t="shared" si="181"/>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19"/>
      <c r="AG319" s="92"/>
      <c r="AH319" s="92"/>
      <c r="AI319" s="92"/>
      <c r="AJ319" s="92"/>
      <c r="AK319" s="92"/>
      <c r="AL319" s="92"/>
      <c r="AM319" s="92"/>
      <c r="AN319" s="92"/>
      <c r="AO319" s="92"/>
      <c r="AP319" s="92"/>
      <c r="AQ319" s="92"/>
      <c r="AR319" s="92"/>
      <c r="AS319" s="92"/>
      <c r="AT319" s="93"/>
      <c r="AU319" s="94"/>
      <c r="AV319" s="1863">
        <f t="shared" si="206"/>
        <v>0</v>
      </c>
      <c r="AW319" s="1863">
        <f t="shared" si="207"/>
        <v>0</v>
      </c>
      <c r="AX319" s="1863">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16"/>
      <c r="C320" s="1317"/>
      <c r="D320" s="80"/>
      <c r="E320" s="87">
        <f t="shared" si="205"/>
        <v>0</v>
      </c>
      <c r="F320" s="88"/>
      <c r="G320" s="89">
        <f t="shared" si="180"/>
        <v>0</v>
      </c>
      <c r="H320" s="90">
        <f t="shared" si="181"/>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19"/>
      <c r="AG320" s="92"/>
      <c r="AH320" s="92"/>
      <c r="AI320" s="92"/>
      <c r="AJ320" s="92"/>
      <c r="AK320" s="92"/>
      <c r="AL320" s="92"/>
      <c r="AM320" s="92"/>
      <c r="AN320" s="92"/>
      <c r="AO320" s="92"/>
      <c r="AP320" s="92"/>
      <c r="AQ320" s="92"/>
      <c r="AR320" s="92"/>
      <c r="AS320" s="92"/>
      <c r="AT320" s="93"/>
      <c r="AU320" s="94"/>
      <c r="AV320" s="1863">
        <f t="shared" si="206"/>
        <v>0</v>
      </c>
      <c r="AW320" s="1863">
        <f t="shared" si="207"/>
        <v>0</v>
      </c>
      <c r="AX320" s="1863">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16"/>
      <c r="C321" s="1317"/>
      <c r="D321" s="80"/>
      <c r="E321" s="87">
        <f t="shared" si="205"/>
        <v>0</v>
      </c>
      <c r="F321" s="88"/>
      <c r="G321" s="89">
        <f t="shared" si="180"/>
        <v>0</v>
      </c>
      <c r="H321" s="90">
        <f t="shared" si="181"/>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19"/>
      <c r="AG321" s="92"/>
      <c r="AH321" s="92"/>
      <c r="AI321" s="92"/>
      <c r="AJ321" s="92"/>
      <c r="AK321" s="92"/>
      <c r="AL321" s="92"/>
      <c r="AM321" s="92"/>
      <c r="AN321" s="92"/>
      <c r="AO321" s="92"/>
      <c r="AP321" s="92"/>
      <c r="AQ321" s="92"/>
      <c r="AR321" s="92"/>
      <c r="AS321" s="92"/>
      <c r="AT321" s="93"/>
      <c r="AU321" s="94"/>
      <c r="AV321" s="1863">
        <f t="shared" si="206"/>
        <v>0</v>
      </c>
      <c r="AW321" s="1863">
        <f t="shared" si="207"/>
        <v>0</v>
      </c>
      <c r="AX321" s="1863">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16"/>
      <c r="C322" s="1317"/>
      <c r="D322" s="80"/>
      <c r="E322" s="87">
        <f t="shared" si="205"/>
        <v>0</v>
      </c>
      <c r="F322" s="88"/>
      <c r="G322" s="89">
        <f t="shared" si="180"/>
        <v>0</v>
      </c>
      <c r="H322" s="90">
        <f t="shared" si="181"/>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19"/>
      <c r="AG322" s="92"/>
      <c r="AH322" s="92"/>
      <c r="AI322" s="92"/>
      <c r="AJ322" s="92"/>
      <c r="AK322" s="92"/>
      <c r="AL322" s="92"/>
      <c r="AM322" s="92"/>
      <c r="AN322" s="92"/>
      <c r="AO322" s="92"/>
      <c r="AP322" s="92"/>
      <c r="AQ322" s="92"/>
      <c r="AR322" s="92"/>
      <c r="AS322" s="92"/>
      <c r="AT322" s="93"/>
      <c r="AU322" s="94"/>
      <c r="AV322" s="1863">
        <f t="shared" si="206"/>
        <v>0</v>
      </c>
      <c r="AW322" s="1863">
        <f t="shared" si="207"/>
        <v>0</v>
      </c>
      <c r="AX322" s="1863">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16"/>
      <c r="C323" s="1317"/>
      <c r="D323" s="80"/>
      <c r="E323" s="87">
        <f t="shared" si="205"/>
        <v>0</v>
      </c>
      <c r="F323" s="88"/>
      <c r="G323" s="89">
        <f t="shared" si="180"/>
        <v>0</v>
      </c>
      <c r="H323" s="90">
        <f t="shared" si="181"/>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17"/>
      <c r="AG323" s="92"/>
      <c r="AH323" s="92"/>
      <c r="AI323" s="92"/>
      <c r="AJ323" s="92"/>
      <c r="AK323" s="92"/>
      <c r="AL323" s="92"/>
      <c r="AM323" s="92"/>
      <c r="AN323" s="92"/>
      <c r="AO323" s="92"/>
      <c r="AP323" s="92"/>
      <c r="AQ323" s="92"/>
      <c r="AR323" s="92"/>
      <c r="AS323" s="92"/>
      <c r="AT323" s="93"/>
      <c r="AU323" s="94"/>
      <c r="AV323" s="1863">
        <f t="shared" si="206"/>
        <v>0</v>
      </c>
      <c r="AW323" s="1863">
        <f t="shared" si="207"/>
        <v>0</v>
      </c>
      <c r="AX323" s="1863">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16"/>
      <c r="C324" s="1317"/>
      <c r="D324" s="80"/>
      <c r="E324" s="87">
        <f t="shared" si="205"/>
        <v>0</v>
      </c>
      <c r="F324" s="88"/>
      <c r="G324" s="89">
        <f t="shared" si="180"/>
        <v>0</v>
      </c>
      <c r="H324" s="90">
        <f t="shared" si="181"/>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17"/>
      <c r="AG324" s="92"/>
      <c r="AH324" s="92"/>
      <c r="AI324" s="92"/>
      <c r="AJ324" s="92"/>
      <c r="AK324" s="92"/>
      <c r="AL324" s="92"/>
      <c r="AM324" s="92"/>
      <c r="AN324" s="92"/>
      <c r="AO324" s="92"/>
      <c r="AP324" s="92"/>
      <c r="AQ324" s="92"/>
      <c r="AR324" s="92"/>
      <c r="AS324" s="92"/>
      <c r="AT324" s="93"/>
      <c r="AU324" s="94"/>
      <c r="AV324" s="1863">
        <f t="shared" si="206"/>
        <v>0</v>
      </c>
      <c r="AW324" s="1863">
        <f t="shared" si="207"/>
        <v>0</v>
      </c>
      <c r="AX324" s="1863">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16"/>
      <c r="C325" s="1317"/>
      <c r="D325" s="80"/>
      <c r="E325" s="87">
        <f t="shared" si="205"/>
        <v>0</v>
      </c>
      <c r="F325" s="88"/>
      <c r="G325" s="89">
        <f t="shared" si="180"/>
        <v>0</v>
      </c>
      <c r="H325" s="90">
        <f t="shared" si="181"/>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17"/>
      <c r="AG325" s="92"/>
      <c r="AH325" s="92"/>
      <c r="AI325" s="92"/>
      <c r="AJ325" s="92"/>
      <c r="AK325" s="92"/>
      <c r="AL325" s="92"/>
      <c r="AM325" s="92"/>
      <c r="AN325" s="92"/>
      <c r="AO325" s="92"/>
      <c r="AP325" s="92"/>
      <c r="AQ325" s="92"/>
      <c r="AR325" s="92"/>
      <c r="AS325" s="92"/>
      <c r="AT325" s="93"/>
      <c r="AU325" s="94"/>
      <c r="AV325" s="1863">
        <f t="shared" si="206"/>
        <v>0</v>
      </c>
      <c r="AW325" s="1863">
        <f t="shared" si="207"/>
        <v>0</v>
      </c>
      <c r="AX325" s="1863">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16"/>
      <c r="C326" s="1317"/>
      <c r="D326" s="80"/>
      <c r="E326" s="87">
        <f t="shared" si="205"/>
        <v>0</v>
      </c>
      <c r="F326" s="88"/>
      <c r="G326" s="89">
        <f t="shared" ref="G326:G357" si="209">H326+AC326+AT326</f>
        <v>0</v>
      </c>
      <c r="H326" s="90">
        <f t="shared" ref="H326:H357" si="210">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3">
        <f t="shared" si="206"/>
        <v>0</v>
      </c>
      <c r="AW326" s="1863">
        <f t="shared" si="207"/>
        <v>0</v>
      </c>
      <c r="AX326" s="1863">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16"/>
      <c r="C327" s="1317"/>
      <c r="D327" s="80"/>
      <c r="E327" s="87">
        <f t="shared" si="205"/>
        <v>0</v>
      </c>
      <c r="F327" s="88"/>
      <c r="G327" s="89">
        <f t="shared" si="209"/>
        <v>0</v>
      </c>
      <c r="H327" s="90">
        <f t="shared" si="210"/>
        <v>0</v>
      </c>
      <c r="I327" s="1317"/>
      <c r="J327" s="91"/>
      <c r="K327" s="1317"/>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17"/>
      <c r="AG327" s="92"/>
      <c r="AH327" s="92"/>
      <c r="AI327" s="92"/>
      <c r="AJ327" s="92"/>
      <c r="AK327" s="92"/>
      <c r="AL327" s="92"/>
      <c r="AM327" s="92"/>
      <c r="AN327" s="92"/>
      <c r="AO327" s="92"/>
      <c r="AP327" s="92"/>
      <c r="AQ327" s="92"/>
      <c r="AR327" s="92"/>
      <c r="AS327" s="92"/>
      <c r="AT327" s="93"/>
      <c r="AU327" s="94"/>
      <c r="AV327" s="1863">
        <f t="shared" si="206"/>
        <v>0</v>
      </c>
      <c r="AW327" s="1863">
        <f t="shared" si="207"/>
        <v>0</v>
      </c>
      <c r="AX327" s="1863">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16"/>
      <c r="C328" s="1317"/>
      <c r="D328" s="80"/>
      <c r="E328" s="87">
        <f t="shared" si="205"/>
        <v>0</v>
      </c>
      <c r="F328" s="88"/>
      <c r="G328" s="89">
        <f t="shared" si="209"/>
        <v>0</v>
      </c>
      <c r="H328" s="90">
        <f t="shared" si="210"/>
        <v>0</v>
      </c>
      <c r="I328" s="1317"/>
      <c r="J328" s="91"/>
      <c r="K328" s="1317"/>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17"/>
      <c r="AG328" s="92"/>
      <c r="AH328" s="92"/>
      <c r="AI328" s="92"/>
      <c r="AJ328" s="92"/>
      <c r="AK328" s="92"/>
      <c r="AL328" s="92"/>
      <c r="AM328" s="92"/>
      <c r="AN328" s="92"/>
      <c r="AO328" s="92"/>
      <c r="AP328" s="92"/>
      <c r="AQ328" s="92"/>
      <c r="AR328" s="92"/>
      <c r="AS328" s="92"/>
      <c r="AT328" s="93"/>
      <c r="AU328" s="94"/>
      <c r="AV328" s="1863">
        <f t="shared" si="206"/>
        <v>0</v>
      </c>
      <c r="AW328" s="1863">
        <f t="shared" si="207"/>
        <v>0</v>
      </c>
      <c r="AX328" s="1863">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16"/>
      <c r="C329" s="1317"/>
      <c r="D329" s="80"/>
      <c r="E329" s="87">
        <f t="shared" ref="E329:E360" si="234">IF($C$3="是",ROUND($A$3*G329/$B$3,2),ROUND($A$3*(G329-AT329)/$B$3,2))</f>
        <v>0</v>
      </c>
      <c r="F329" s="88"/>
      <c r="G329" s="89">
        <f t="shared" si="209"/>
        <v>0</v>
      </c>
      <c r="H329" s="90">
        <f t="shared" si="210"/>
        <v>0</v>
      </c>
      <c r="I329" s="1317"/>
      <c r="J329" s="91"/>
      <c r="K329" s="1317"/>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17"/>
      <c r="AG329" s="92"/>
      <c r="AH329" s="92"/>
      <c r="AI329" s="92"/>
      <c r="AJ329" s="92"/>
      <c r="AK329" s="92"/>
      <c r="AL329" s="92"/>
      <c r="AM329" s="92"/>
      <c r="AN329" s="92"/>
      <c r="AO329" s="92"/>
      <c r="AP329" s="92"/>
      <c r="AQ329" s="92"/>
      <c r="AR329" s="92"/>
      <c r="AS329" s="92"/>
      <c r="AT329" s="93"/>
      <c r="AU329" s="94"/>
      <c r="AV329" s="1863">
        <f t="shared" ref="AV329:AV360" si="235">A329</f>
        <v>0</v>
      </c>
      <c r="AW329" s="1863">
        <f t="shared" ref="AW329:AW360" si="236">B329</f>
        <v>0</v>
      </c>
      <c r="AX329" s="1863">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16"/>
      <c r="C330" s="1317"/>
      <c r="D330" s="80"/>
      <c r="E330" s="87">
        <f t="shared" si="234"/>
        <v>0</v>
      </c>
      <c r="F330" s="88"/>
      <c r="G330" s="89">
        <f t="shared" si="209"/>
        <v>0</v>
      </c>
      <c r="H330" s="90">
        <f t="shared" si="210"/>
        <v>0</v>
      </c>
      <c r="I330" s="1317"/>
      <c r="J330" s="91"/>
      <c r="K330" s="1317"/>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17"/>
      <c r="AG330" s="92"/>
      <c r="AH330" s="92"/>
      <c r="AI330" s="92"/>
      <c r="AJ330" s="92"/>
      <c r="AK330" s="92"/>
      <c r="AL330" s="92"/>
      <c r="AM330" s="92"/>
      <c r="AN330" s="92"/>
      <c r="AO330" s="92"/>
      <c r="AP330" s="92"/>
      <c r="AQ330" s="92"/>
      <c r="AR330" s="92"/>
      <c r="AS330" s="92"/>
      <c r="AT330" s="93"/>
      <c r="AU330" s="94"/>
      <c r="AV330" s="1863">
        <f t="shared" si="235"/>
        <v>0</v>
      </c>
      <c r="AW330" s="1863">
        <f t="shared" si="236"/>
        <v>0</v>
      </c>
      <c r="AX330" s="1863">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18"/>
      <c r="C331" s="1319"/>
      <c r="D331" s="80"/>
      <c r="E331" s="87">
        <f t="shared" si="234"/>
        <v>0</v>
      </c>
      <c r="F331" s="88"/>
      <c r="G331" s="89">
        <f t="shared" si="209"/>
        <v>0</v>
      </c>
      <c r="H331" s="90">
        <f t="shared" si="210"/>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11"/>
        <v>0</v>
      </c>
      <c r="AD331" s="92"/>
      <c r="AE331" s="92"/>
      <c r="AF331" s="1317"/>
      <c r="AG331" s="92"/>
      <c r="AH331" s="92"/>
      <c r="AI331" s="92"/>
      <c r="AJ331" s="92"/>
      <c r="AK331" s="92"/>
      <c r="AL331" s="92"/>
      <c r="AM331" s="92"/>
      <c r="AN331" s="92"/>
      <c r="AO331" s="92"/>
      <c r="AP331" s="92"/>
      <c r="AQ331" s="92"/>
      <c r="AR331" s="92"/>
      <c r="AS331" s="92"/>
      <c r="AT331" s="93"/>
      <c r="AU331" s="94"/>
      <c r="AV331" s="1863">
        <f t="shared" si="235"/>
        <v>0</v>
      </c>
      <c r="AW331" s="1863">
        <f t="shared" si="236"/>
        <v>0</v>
      </c>
      <c r="AX331" s="1863">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863">
        <f t="shared" si="235"/>
        <v>0</v>
      </c>
      <c r="AW332" s="1863">
        <f t="shared" si="236"/>
        <v>0</v>
      </c>
      <c r="AX332" s="1863">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863">
        <f t="shared" si="235"/>
        <v>0</v>
      </c>
      <c r="AW333" s="1863">
        <f t="shared" si="236"/>
        <v>0</v>
      </c>
      <c r="AX333" s="1863">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863">
        <f t="shared" si="235"/>
        <v>0</v>
      </c>
      <c r="AW334" s="1863">
        <f t="shared" si="236"/>
        <v>0</v>
      </c>
      <c r="AX334" s="1863">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863">
        <f t="shared" si="235"/>
        <v>0</v>
      </c>
      <c r="AW335" s="1863">
        <f t="shared" si="236"/>
        <v>0</v>
      </c>
      <c r="AX335" s="1863">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863">
        <f t="shared" si="235"/>
        <v>0</v>
      </c>
      <c r="AW336" s="1863">
        <f t="shared" si="236"/>
        <v>0</v>
      </c>
      <c r="AX336" s="1863">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863">
        <f t="shared" si="235"/>
        <v>0</v>
      </c>
      <c r="AW337" s="1863">
        <f t="shared" si="236"/>
        <v>0</v>
      </c>
      <c r="AX337" s="1863">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863">
        <f t="shared" si="235"/>
        <v>0</v>
      </c>
      <c r="AW338" s="1863">
        <f t="shared" si="236"/>
        <v>0</v>
      </c>
      <c r="AX338" s="1863">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863">
        <f t="shared" si="235"/>
        <v>0</v>
      </c>
      <c r="AW339" s="1863">
        <f t="shared" si="236"/>
        <v>0</v>
      </c>
      <c r="AX339" s="1863">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863">
        <f t="shared" si="235"/>
        <v>0</v>
      </c>
      <c r="AW340" s="1863">
        <f t="shared" si="236"/>
        <v>0</v>
      </c>
      <c r="AX340" s="1863">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863">
        <f t="shared" si="235"/>
        <v>0</v>
      </c>
      <c r="AW341" s="1863">
        <f t="shared" si="236"/>
        <v>0</v>
      </c>
      <c r="AX341" s="1863">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863">
        <f t="shared" si="235"/>
        <v>0</v>
      </c>
      <c r="AW342" s="1863">
        <f t="shared" si="236"/>
        <v>0</v>
      </c>
      <c r="AX342" s="1863">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863">
        <f t="shared" si="235"/>
        <v>0</v>
      </c>
      <c r="AW343" s="1863">
        <f t="shared" si="236"/>
        <v>0</v>
      </c>
      <c r="AX343" s="1863">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863">
        <f t="shared" si="235"/>
        <v>0</v>
      </c>
      <c r="AW344" s="1863">
        <f t="shared" si="236"/>
        <v>0</v>
      </c>
      <c r="AX344" s="1863">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863">
        <f t="shared" si="235"/>
        <v>0</v>
      </c>
      <c r="AW345" s="1863">
        <f t="shared" si="236"/>
        <v>0</v>
      </c>
      <c r="AX345" s="1863">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863">
        <f t="shared" si="235"/>
        <v>0</v>
      </c>
      <c r="AW346" s="1863">
        <f t="shared" si="236"/>
        <v>0</v>
      </c>
      <c r="AX346" s="1863">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863">
        <f t="shared" si="235"/>
        <v>0</v>
      </c>
      <c r="AW347" s="1863">
        <f t="shared" si="236"/>
        <v>0</v>
      </c>
      <c r="AX347" s="1863">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863">
        <f t="shared" si="235"/>
        <v>0</v>
      </c>
      <c r="AW348" s="1863">
        <f t="shared" si="236"/>
        <v>0</v>
      </c>
      <c r="AX348" s="1863">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863">
        <f t="shared" si="235"/>
        <v>0</v>
      </c>
      <c r="AW349" s="1863">
        <f t="shared" si="236"/>
        <v>0</v>
      </c>
      <c r="AX349" s="1863">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863">
        <f t="shared" si="235"/>
        <v>0</v>
      </c>
      <c r="AW350" s="1863">
        <f t="shared" si="236"/>
        <v>0</v>
      </c>
      <c r="AX350" s="1863">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863">
        <f t="shared" si="235"/>
        <v>0</v>
      </c>
      <c r="AW351" s="1863">
        <f t="shared" si="236"/>
        <v>0</v>
      </c>
      <c r="AX351" s="1863">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863">
        <f t="shared" si="235"/>
        <v>0</v>
      </c>
      <c r="AW352" s="1863">
        <f t="shared" si="236"/>
        <v>0</v>
      </c>
      <c r="AX352" s="1863">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863">
        <f t="shared" si="235"/>
        <v>0</v>
      </c>
      <c r="AW353" s="1863">
        <f t="shared" si="236"/>
        <v>0</v>
      </c>
      <c r="AX353" s="1863">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863">
        <f t="shared" si="235"/>
        <v>0</v>
      </c>
      <c r="AW354" s="1863">
        <f t="shared" si="236"/>
        <v>0</v>
      </c>
      <c r="AX354" s="1863">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863">
        <f t="shared" si="235"/>
        <v>0</v>
      </c>
      <c r="AW355" s="1863">
        <f t="shared" si="236"/>
        <v>0</v>
      </c>
      <c r="AX355" s="1863">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863">
        <f t="shared" si="235"/>
        <v>0</v>
      </c>
      <c r="AW356" s="1863">
        <f t="shared" si="236"/>
        <v>0</v>
      </c>
      <c r="AX356" s="1863">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863">
        <f t="shared" si="235"/>
        <v>0</v>
      </c>
      <c r="AW357" s="1863">
        <f t="shared" si="236"/>
        <v>0</v>
      </c>
      <c r="AX357" s="1863">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5"/>
        <v>0</v>
      </c>
      <c r="AW358" s="1863">
        <f t="shared" si="236"/>
        <v>0</v>
      </c>
      <c r="AX358" s="1863">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863">
        <f t="shared" si="235"/>
        <v>0</v>
      </c>
      <c r="AW359" s="1863">
        <f t="shared" si="236"/>
        <v>0</v>
      </c>
      <c r="AX359" s="1863">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863">
        <f t="shared" si="235"/>
        <v>0</v>
      </c>
      <c r="AW360" s="1863">
        <f t="shared" si="236"/>
        <v>0</v>
      </c>
      <c r="AX360" s="1863">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4">A361</f>
        <v>0</v>
      </c>
      <c r="AW361" s="1863">
        <f t="shared" ref="AW361:AW388" si="265">B361</f>
        <v>0</v>
      </c>
      <c r="AX361" s="1863">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863">
        <f t="shared" si="264"/>
        <v>0</v>
      </c>
      <c r="AW362" s="1863">
        <f t="shared" si="265"/>
        <v>0</v>
      </c>
      <c r="AX362" s="1863">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863">
        <f t="shared" si="264"/>
        <v>0</v>
      </c>
      <c r="AW363" s="1863">
        <f t="shared" si="265"/>
        <v>0</v>
      </c>
      <c r="AX363" s="1863">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863">
        <f t="shared" si="264"/>
        <v>0</v>
      </c>
      <c r="AW364" s="1863">
        <f t="shared" si="265"/>
        <v>0</v>
      </c>
      <c r="AX364" s="1863">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863">
        <f t="shared" si="264"/>
        <v>0</v>
      </c>
      <c r="AW365" s="1863">
        <f t="shared" si="265"/>
        <v>0</v>
      </c>
      <c r="AX365" s="1863">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863">
        <f t="shared" si="264"/>
        <v>0</v>
      </c>
      <c r="AW366" s="1863">
        <f t="shared" si="265"/>
        <v>0</v>
      </c>
      <c r="AX366" s="1863">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863">
        <f t="shared" si="264"/>
        <v>0</v>
      </c>
      <c r="AW367" s="1863">
        <f t="shared" si="265"/>
        <v>0</v>
      </c>
      <c r="AX367" s="1863">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863">
        <f t="shared" si="264"/>
        <v>0</v>
      </c>
      <c r="AW368" s="1863">
        <f t="shared" si="265"/>
        <v>0</v>
      </c>
      <c r="AX368" s="1863">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863">
        <f t="shared" si="264"/>
        <v>0</v>
      </c>
      <c r="AW369" s="1863">
        <f t="shared" si="265"/>
        <v>0</v>
      </c>
      <c r="AX369" s="1863">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863">
        <f t="shared" si="264"/>
        <v>0</v>
      </c>
      <c r="AW370" s="1863">
        <f t="shared" si="265"/>
        <v>0</v>
      </c>
      <c r="AX370" s="1863">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863">
        <f t="shared" si="264"/>
        <v>0</v>
      </c>
      <c r="AW371" s="1863">
        <f t="shared" si="265"/>
        <v>0</v>
      </c>
      <c r="AX371" s="1863">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863">
        <f t="shared" si="264"/>
        <v>0</v>
      </c>
      <c r="AW372" s="1863">
        <f t="shared" si="265"/>
        <v>0</v>
      </c>
      <c r="AX372" s="1863">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863">
        <f t="shared" si="264"/>
        <v>0</v>
      </c>
      <c r="AW373" s="1863">
        <f t="shared" si="265"/>
        <v>0</v>
      </c>
      <c r="AX373" s="1863">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863">
        <f t="shared" si="264"/>
        <v>0</v>
      </c>
      <c r="AW374" s="1863">
        <f t="shared" si="265"/>
        <v>0</v>
      </c>
      <c r="AX374" s="1863">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863">
        <f t="shared" si="264"/>
        <v>0</v>
      </c>
      <c r="AW375" s="1863">
        <f t="shared" si="265"/>
        <v>0</v>
      </c>
      <c r="AX375" s="1863">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863">
        <f t="shared" si="264"/>
        <v>0</v>
      </c>
      <c r="AW376" s="1863">
        <f t="shared" si="265"/>
        <v>0</v>
      </c>
      <c r="AX376" s="1863">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863">
        <f t="shared" si="264"/>
        <v>0</v>
      </c>
      <c r="AW377" s="1863">
        <f t="shared" si="265"/>
        <v>0</v>
      </c>
      <c r="AX377" s="1863">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863">
        <f t="shared" si="264"/>
        <v>0</v>
      </c>
      <c r="AW378" s="1863">
        <f t="shared" si="265"/>
        <v>0</v>
      </c>
      <c r="AX378" s="1863">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863">
        <f t="shared" si="264"/>
        <v>0</v>
      </c>
      <c r="AW379" s="1863">
        <f t="shared" si="265"/>
        <v>0</v>
      </c>
      <c r="AX379" s="1863">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863">
        <f t="shared" si="264"/>
        <v>0</v>
      </c>
      <c r="AW380" s="1863">
        <f t="shared" si="265"/>
        <v>0</v>
      </c>
      <c r="AX380" s="1863">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863">
        <f t="shared" si="264"/>
        <v>0</v>
      </c>
      <c r="AW381" s="1863">
        <f t="shared" si="265"/>
        <v>0</v>
      </c>
      <c r="AX381" s="1863">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863">
        <f t="shared" si="264"/>
        <v>0</v>
      </c>
      <c r="AW382" s="1863">
        <f t="shared" si="265"/>
        <v>0</v>
      </c>
      <c r="AX382" s="1863">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863">
        <f t="shared" si="264"/>
        <v>0</v>
      </c>
      <c r="AW383" s="1863">
        <f t="shared" si="265"/>
        <v>0</v>
      </c>
      <c r="AX383" s="1863">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863">
        <f t="shared" si="264"/>
        <v>0</v>
      </c>
      <c r="AW384" s="1863">
        <f t="shared" si="265"/>
        <v>0</v>
      </c>
      <c r="AX384" s="1863">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863">
        <f t="shared" si="264"/>
        <v>0</v>
      </c>
      <c r="AW385" s="1863">
        <f t="shared" si="265"/>
        <v>0</v>
      </c>
      <c r="AX385" s="1863">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863">
        <f t="shared" si="264"/>
        <v>0</v>
      </c>
      <c r="AW386" s="1863">
        <f t="shared" si="265"/>
        <v>0</v>
      </c>
      <c r="AX386" s="1863">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863">
        <f t="shared" si="264"/>
        <v>0</v>
      </c>
      <c r="AW387" s="1863">
        <f t="shared" si="265"/>
        <v>0</v>
      </c>
      <c r="AX387" s="1863">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863">
        <f t="shared" si="264"/>
        <v>0</v>
      </c>
      <c r="AW388" s="1863">
        <f t="shared" si="265"/>
        <v>0</v>
      </c>
      <c r="AX388" s="1863">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16"/>
      <c r="C389" s="1317"/>
      <c r="D389" s="80"/>
      <c r="E389" s="87">
        <f t="shared" ref="E389:E480" si="267">IF($C$3="是",ROUND($A$3*G389/$B$3,2),ROUND($A$3*(G389-AT389)/$B$3,2))</f>
        <v>0</v>
      </c>
      <c r="F389" s="88"/>
      <c r="G389" s="89">
        <f t="shared" ref="G389:G477" si="268">H389+AC389+AT389</f>
        <v>0</v>
      </c>
      <c r="H389" s="90">
        <f t="shared" ref="H389:H477" si="269">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3">
        <f t="shared" ref="AV389:AV480" si="271">A389</f>
        <v>0</v>
      </c>
      <c r="AW389" s="1863">
        <f t="shared" ref="AW389:AW480" si="272">B389</f>
        <v>0</v>
      </c>
      <c r="AX389" s="1863">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16"/>
      <c r="C390" s="1317"/>
      <c r="D390" s="80"/>
      <c r="E390" s="87">
        <f t="shared" si="267"/>
        <v>0</v>
      </c>
      <c r="F390" s="88"/>
      <c r="G390" s="89">
        <f t="shared" si="268"/>
        <v>0</v>
      </c>
      <c r="H390" s="90">
        <f t="shared" si="269"/>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70"/>
        <v>0</v>
      </c>
      <c r="AD390" s="1291"/>
      <c r="AE390" s="92"/>
      <c r="AF390" s="1320"/>
      <c r="AG390" s="92"/>
      <c r="AH390" s="92"/>
      <c r="AI390" s="92"/>
      <c r="AJ390" s="92"/>
      <c r="AK390" s="92"/>
      <c r="AL390" s="1291"/>
      <c r="AM390" s="92"/>
      <c r="AN390" s="1291"/>
      <c r="AO390" s="92"/>
      <c r="AP390" s="92"/>
      <c r="AQ390" s="92"/>
      <c r="AR390" s="92"/>
      <c r="AS390" s="92"/>
      <c r="AT390" s="93"/>
      <c r="AU390" s="94"/>
      <c r="AV390" s="1863">
        <f t="shared" si="271"/>
        <v>0</v>
      </c>
      <c r="AW390" s="1863">
        <f t="shared" si="272"/>
        <v>0</v>
      </c>
      <c r="AX390" s="1863">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16"/>
      <c r="C391" s="1317"/>
      <c r="D391" s="80"/>
      <c r="E391" s="87">
        <f t="shared" si="267"/>
        <v>0</v>
      </c>
      <c r="F391" s="88"/>
      <c r="G391" s="89">
        <f t="shared" si="268"/>
        <v>0</v>
      </c>
      <c r="H391" s="90">
        <f t="shared" si="269"/>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70"/>
        <v>0</v>
      </c>
      <c r="AD391" s="92"/>
      <c r="AE391" s="92"/>
      <c r="AF391" s="1320"/>
      <c r="AG391" s="92"/>
      <c r="AH391" s="92"/>
      <c r="AI391" s="92"/>
      <c r="AJ391" s="92"/>
      <c r="AK391" s="92"/>
      <c r="AL391" s="1291"/>
      <c r="AM391" s="92"/>
      <c r="AN391" s="1291"/>
      <c r="AO391" s="92"/>
      <c r="AP391" s="92"/>
      <c r="AQ391" s="92"/>
      <c r="AR391" s="92"/>
      <c r="AS391" s="92"/>
      <c r="AT391" s="93"/>
      <c r="AU391" s="94"/>
      <c r="AV391" s="1863">
        <f t="shared" si="271"/>
        <v>0</v>
      </c>
      <c r="AW391" s="1863">
        <f t="shared" si="272"/>
        <v>0</v>
      </c>
      <c r="AX391" s="1863">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16"/>
      <c r="C392" s="1317"/>
      <c r="D392" s="80"/>
      <c r="E392" s="87">
        <f t="shared" si="267"/>
        <v>0</v>
      </c>
      <c r="F392" s="88"/>
      <c r="G392" s="89">
        <f t="shared" si="268"/>
        <v>0</v>
      </c>
      <c r="H392" s="90">
        <f t="shared" si="269"/>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70"/>
        <v>0</v>
      </c>
      <c r="AD392" s="92"/>
      <c r="AE392" s="92"/>
      <c r="AF392" s="1320"/>
      <c r="AG392" s="92"/>
      <c r="AH392" s="92"/>
      <c r="AI392" s="92"/>
      <c r="AJ392" s="92"/>
      <c r="AK392" s="92"/>
      <c r="AL392" s="92"/>
      <c r="AM392" s="92"/>
      <c r="AN392" s="1291"/>
      <c r="AO392" s="92"/>
      <c r="AP392" s="92"/>
      <c r="AQ392" s="92"/>
      <c r="AR392" s="92"/>
      <c r="AS392" s="92"/>
      <c r="AT392" s="93"/>
      <c r="AU392" s="94"/>
      <c r="AV392" s="1863">
        <f t="shared" si="271"/>
        <v>0</v>
      </c>
      <c r="AW392" s="1863">
        <f t="shared" si="272"/>
        <v>0</v>
      </c>
      <c r="AX392" s="1863">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16"/>
      <c r="C393" s="1317"/>
      <c r="D393" s="80"/>
      <c r="E393" s="87">
        <f t="shared" si="267"/>
        <v>0</v>
      </c>
      <c r="F393" s="88"/>
      <c r="G393" s="89">
        <f t="shared" si="268"/>
        <v>0</v>
      </c>
      <c r="H393" s="90">
        <f t="shared" si="269"/>
        <v>0</v>
      </c>
      <c r="I393" s="1319"/>
      <c r="J393" s="91"/>
      <c r="K393" s="1319"/>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20"/>
      <c r="AG393" s="92"/>
      <c r="AH393" s="92"/>
      <c r="AI393" s="92"/>
      <c r="AJ393" s="92"/>
      <c r="AK393" s="92"/>
      <c r="AL393" s="92"/>
      <c r="AM393" s="92"/>
      <c r="AN393" s="92"/>
      <c r="AO393" s="92"/>
      <c r="AP393" s="92"/>
      <c r="AQ393" s="92"/>
      <c r="AR393" s="92"/>
      <c r="AS393" s="92"/>
      <c r="AT393" s="93"/>
      <c r="AU393" s="94"/>
      <c r="AV393" s="1863">
        <f t="shared" si="271"/>
        <v>0</v>
      </c>
      <c r="AW393" s="1863">
        <f t="shared" si="272"/>
        <v>0</v>
      </c>
      <c r="AX393" s="1863">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16"/>
      <c r="C394" s="1317"/>
      <c r="D394" s="80"/>
      <c r="E394" s="87">
        <f t="shared" si="267"/>
        <v>0</v>
      </c>
      <c r="F394" s="88"/>
      <c r="G394" s="89">
        <f t="shared" si="268"/>
        <v>0</v>
      </c>
      <c r="H394" s="90">
        <f t="shared" si="269"/>
        <v>0</v>
      </c>
      <c r="I394" s="1319"/>
      <c r="J394" s="91"/>
      <c r="K394" s="1319"/>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20"/>
      <c r="AG394" s="92"/>
      <c r="AH394" s="92"/>
      <c r="AI394" s="92"/>
      <c r="AJ394" s="92"/>
      <c r="AK394" s="92"/>
      <c r="AL394" s="92"/>
      <c r="AM394" s="92"/>
      <c r="AN394" s="92"/>
      <c r="AO394" s="92"/>
      <c r="AP394" s="92"/>
      <c r="AQ394" s="92"/>
      <c r="AR394" s="92"/>
      <c r="AS394" s="92"/>
      <c r="AT394" s="93"/>
      <c r="AU394" s="94"/>
      <c r="AV394" s="1863">
        <f t="shared" si="271"/>
        <v>0</v>
      </c>
      <c r="AW394" s="1863">
        <f t="shared" si="272"/>
        <v>0</v>
      </c>
      <c r="AX394" s="1863">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16"/>
      <c r="C395" s="1317"/>
      <c r="D395" s="80"/>
      <c r="E395" s="87">
        <f t="shared" si="267"/>
        <v>0</v>
      </c>
      <c r="F395" s="88"/>
      <c r="G395" s="89">
        <f t="shared" si="268"/>
        <v>0</v>
      </c>
      <c r="H395" s="90">
        <f t="shared" si="269"/>
        <v>0</v>
      </c>
      <c r="I395" s="1319"/>
      <c r="J395" s="91"/>
      <c r="K395" s="1319"/>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20"/>
      <c r="AG395" s="92"/>
      <c r="AH395" s="92"/>
      <c r="AI395" s="92"/>
      <c r="AJ395" s="92"/>
      <c r="AK395" s="92"/>
      <c r="AL395" s="92"/>
      <c r="AM395" s="92"/>
      <c r="AN395" s="92"/>
      <c r="AO395" s="92"/>
      <c r="AP395" s="92"/>
      <c r="AQ395" s="92"/>
      <c r="AR395" s="92"/>
      <c r="AS395" s="92"/>
      <c r="AT395" s="93"/>
      <c r="AU395" s="94"/>
      <c r="AV395" s="1863">
        <f t="shared" si="271"/>
        <v>0</v>
      </c>
      <c r="AW395" s="1863">
        <f t="shared" si="272"/>
        <v>0</v>
      </c>
      <c r="AX395" s="1863">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16"/>
      <c r="C396" s="1317"/>
      <c r="D396" s="80"/>
      <c r="E396" s="87">
        <f t="shared" si="267"/>
        <v>0</v>
      </c>
      <c r="F396" s="88"/>
      <c r="G396" s="89">
        <f t="shared" si="268"/>
        <v>0</v>
      </c>
      <c r="H396" s="90">
        <f t="shared" si="269"/>
        <v>0</v>
      </c>
      <c r="I396" s="1319"/>
      <c r="J396" s="91"/>
      <c r="K396" s="1319"/>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19"/>
      <c r="AG396" s="92"/>
      <c r="AH396" s="92"/>
      <c r="AI396" s="92"/>
      <c r="AJ396" s="92"/>
      <c r="AK396" s="92"/>
      <c r="AL396" s="92"/>
      <c r="AM396" s="92"/>
      <c r="AN396" s="92"/>
      <c r="AO396" s="92"/>
      <c r="AP396" s="92"/>
      <c r="AQ396" s="92"/>
      <c r="AR396" s="92"/>
      <c r="AS396" s="92"/>
      <c r="AT396" s="93"/>
      <c r="AU396" s="94"/>
      <c r="AV396" s="1863">
        <f t="shared" si="271"/>
        <v>0</v>
      </c>
      <c r="AW396" s="1863">
        <f t="shared" si="272"/>
        <v>0</v>
      </c>
      <c r="AX396" s="1863">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18"/>
      <c r="C397" s="1319"/>
      <c r="D397" s="80"/>
      <c r="E397" s="87">
        <f t="shared" si="267"/>
        <v>0</v>
      </c>
      <c r="F397" s="88"/>
      <c r="G397" s="89">
        <f t="shared" si="268"/>
        <v>0</v>
      </c>
      <c r="H397" s="90">
        <f t="shared" si="269"/>
        <v>0</v>
      </c>
      <c r="I397" s="1319"/>
      <c r="J397" s="91"/>
      <c r="K397" s="1319"/>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19"/>
      <c r="AG397" s="92"/>
      <c r="AH397" s="92"/>
      <c r="AI397" s="92"/>
      <c r="AJ397" s="92"/>
      <c r="AK397" s="92"/>
      <c r="AL397" s="92"/>
      <c r="AM397" s="92"/>
      <c r="AN397" s="92"/>
      <c r="AO397" s="92"/>
      <c r="AP397" s="92"/>
      <c r="AQ397" s="92"/>
      <c r="AR397" s="92"/>
      <c r="AS397" s="92"/>
      <c r="AT397" s="93"/>
      <c r="AU397" s="94"/>
      <c r="AV397" s="1863">
        <f t="shared" si="271"/>
        <v>0</v>
      </c>
      <c r="AW397" s="1863">
        <f t="shared" si="272"/>
        <v>0</v>
      </c>
      <c r="AX397" s="1863">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16"/>
      <c r="C398" s="1317"/>
      <c r="D398" s="80"/>
      <c r="E398" s="87">
        <f t="shared" si="267"/>
        <v>0</v>
      </c>
      <c r="F398" s="88"/>
      <c r="G398" s="89">
        <f t="shared" si="268"/>
        <v>0</v>
      </c>
      <c r="H398" s="90">
        <f t="shared" si="269"/>
        <v>0</v>
      </c>
      <c r="I398" s="1319"/>
      <c r="J398" s="91"/>
      <c r="K398" s="1319"/>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19"/>
      <c r="AG398" s="92"/>
      <c r="AH398" s="92"/>
      <c r="AI398" s="92"/>
      <c r="AJ398" s="92"/>
      <c r="AK398" s="92"/>
      <c r="AL398" s="92"/>
      <c r="AM398" s="92"/>
      <c r="AN398" s="92"/>
      <c r="AO398" s="92"/>
      <c r="AP398" s="92"/>
      <c r="AQ398" s="92"/>
      <c r="AR398" s="92"/>
      <c r="AS398" s="92"/>
      <c r="AT398" s="93"/>
      <c r="AU398" s="94"/>
      <c r="AV398" s="1863">
        <f t="shared" si="271"/>
        <v>0</v>
      </c>
      <c r="AW398" s="1863">
        <f t="shared" si="272"/>
        <v>0</v>
      </c>
      <c r="AX398" s="1863">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16"/>
      <c r="C399" s="1317"/>
      <c r="D399" s="80"/>
      <c r="E399" s="87">
        <f t="shared" si="267"/>
        <v>0</v>
      </c>
      <c r="F399" s="88"/>
      <c r="G399" s="89">
        <f t="shared" si="268"/>
        <v>0</v>
      </c>
      <c r="H399" s="90">
        <f t="shared" si="269"/>
        <v>0</v>
      </c>
      <c r="I399" s="1319"/>
      <c r="J399" s="91"/>
      <c r="K399" s="1319"/>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19"/>
      <c r="AG399" s="92"/>
      <c r="AH399" s="92"/>
      <c r="AI399" s="92"/>
      <c r="AJ399" s="92"/>
      <c r="AK399" s="92"/>
      <c r="AL399" s="92"/>
      <c r="AM399" s="92"/>
      <c r="AN399" s="92"/>
      <c r="AO399" s="92"/>
      <c r="AP399" s="92"/>
      <c r="AQ399" s="92"/>
      <c r="AR399" s="92"/>
      <c r="AS399" s="92"/>
      <c r="AT399" s="93"/>
      <c r="AU399" s="94"/>
      <c r="AV399" s="1863">
        <f t="shared" si="271"/>
        <v>0</v>
      </c>
      <c r="AW399" s="1863">
        <f t="shared" si="272"/>
        <v>0</v>
      </c>
      <c r="AX399" s="1863">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16"/>
      <c r="C400" s="1317"/>
      <c r="D400" s="80"/>
      <c r="E400" s="87">
        <f t="shared" si="267"/>
        <v>0</v>
      </c>
      <c r="F400" s="88"/>
      <c r="G400" s="89">
        <f t="shared" si="268"/>
        <v>0</v>
      </c>
      <c r="H400" s="90">
        <f t="shared" si="269"/>
        <v>0</v>
      </c>
      <c r="I400" s="1319"/>
      <c r="J400" s="91"/>
      <c r="K400" s="1319"/>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19"/>
      <c r="AG400" s="92"/>
      <c r="AH400" s="92"/>
      <c r="AI400" s="92"/>
      <c r="AJ400" s="92"/>
      <c r="AK400" s="92"/>
      <c r="AL400" s="92"/>
      <c r="AM400" s="92"/>
      <c r="AN400" s="92"/>
      <c r="AO400" s="92"/>
      <c r="AP400" s="92"/>
      <c r="AQ400" s="92"/>
      <c r="AR400" s="92"/>
      <c r="AS400" s="92"/>
      <c r="AT400" s="93"/>
      <c r="AU400" s="94"/>
      <c r="AV400" s="1863">
        <f t="shared" si="271"/>
        <v>0</v>
      </c>
      <c r="AW400" s="1863">
        <f t="shared" si="272"/>
        <v>0</v>
      </c>
      <c r="AX400" s="1863">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16"/>
      <c r="C401" s="1317"/>
      <c r="D401" s="80"/>
      <c r="E401" s="87">
        <f t="shared" si="267"/>
        <v>0</v>
      </c>
      <c r="F401" s="88"/>
      <c r="G401" s="89">
        <f t="shared" si="268"/>
        <v>0</v>
      </c>
      <c r="H401" s="90">
        <f t="shared" si="269"/>
        <v>0</v>
      </c>
      <c r="I401" s="1319"/>
      <c r="J401" s="91"/>
      <c r="K401" s="1319"/>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19"/>
      <c r="AG401" s="92"/>
      <c r="AH401" s="92"/>
      <c r="AI401" s="92"/>
      <c r="AJ401" s="92"/>
      <c r="AK401" s="92"/>
      <c r="AL401" s="92"/>
      <c r="AM401" s="92"/>
      <c r="AN401" s="92"/>
      <c r="AO401" s="92"/>
      <c r="AP401" s="92"/>
      <c r="AQ401" s="92"/>
      <c r="AR401" s="92"/>
      <c r="AS401" s="92"/>
      <c r="AT401" s="93"/>
      <c r="AU401" s="94"/>
      <c r="AV401" s="1863">
        <f t="shared" si="271"/>
        <v>0</v>
      </c>
      <c r="AW401" s="1863">
        <f t="shared" si="272"/>
        <v>0</v>
      </c>
      <c r="AX401" s="1863">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16"/>
      <c r="C402" s="1317"/>
      <c r="D402" s="80"/>
      <c r="E402" s="87">
        <f t="shared" si="267"/>
        <v>0</v>
      </c>
      <c r="F402" s="88"/>
      <c r="G402" s="89">
        <f t="shared" si="268"/>
        <v>0</v>
      </c>
      <c r="H402" s="90">
        <f t="shared" si="269"/>
        <v>0</v>
      </c>
      <c r="I402" s="1319"/>
      <c r="J402" s="91"/>
      <c r="K402" s="1319"/>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19"/>
      <c r="AG402" s="92"/>
      <c r="AH402" s="92"/>
      <c r="AI402" s="92"/>
      <c r="AJ402" s="92"/>
      <c r="AK402" s="92"/>
      <c r="AL402" s="92"/>
      <c r="AM402" s="92"/>
      <c r="AN402" s="92"/>
      <c r="AO402" s="92"/>
      <c r="AP402" s="92"/>
      <c r="AQ402" s="92"/>
      <c r="AR402" s="92"/>
      <c r="AS402" s="92"/>
      <c r="AT402" s="93"/>
      <c r="AU402" s="94"/>
      <c r="AV402" s="1863">
        <f t="shared" si="271"/>
        <v>0</v>
      </c>
      <c r="AW402" s="1863">
        <f t="shared" si="272"/>
        <v>0</v>
      </c>
      <c r="AX402" s="1863">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16"/>
      <c r="C403" s="1317"/>
      <c r="D403" s="80"/>
      <c r="E403" s="87">
        <f t="shared" si="267"/>
        <v>0</v>
      </c>
      <c r="F403" s="88"/>
      <c r="G403" s="89">
        <f t="shared" si="268"/>
        <v>0</v>
      </c>
      <c r="H403" s="90">
        <f t="shared" si="269"/>
        <v>0</v>
      </c>
      <c r="I403" s="1319"/>
      <c r="J403" s="91"/>
      <c r="K403" s="1319"/>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19"/>
      <c r="AG403" s="92"/>
      <c r="AH403" s="92"/>
      <c r="AI403" s="92"/>
      <c r="AJ403" s="92"/>
      <c r="AK403" s="92"/>
      <c r="AL403" s="92"/>
      <c r="AM403" s="92"/>
      <c r="AN403" s="92"/>
      <c r="AO403" s="92"/>
      <c r="AP403" s="92"/>
      <c r="AQ403" s="92"/>
      <c r="AR403" s="92"/>
      <c r="AS403" s="92"/>
      <c r="AT403" s="93"/>
      <c r="AU403" s="94"/>
      <c r="AV403" s="1863">
        <f t="shared" si="271"/>
        <v>0</v>
      </c>
      <c r="AW403" s="1863">
        <f t="shared" si="272"/>
        <v>0</v>
      </c>
      <c r="AX403" s="1863">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16"/>
      <c r="C404" s="1317"/>
      <c r="D404" s="80"/>
      <c r="E404" s="87">
        <f t="shared" si="267"/>
        <v>0</v>
      </c>
      <c r="F404" s="88"/>
      <c r="G404" s="89">
        <f t="shared" si="268"/>
        <v>0</v>
      </c>
      <c r="H404" s="90">
        <f t="shared" si="269"/>
        <v>0</v>
      </c>
      <c r="I404" s="1319"/>
      <c r="J404" s="91"/>
      <c r="K404" s="1319"/>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19"/>
      <c r="AG404" s="92"/>
      <c r="AH404" s="92"/>
      <c r="AI404" s="92"/>
      <c r="AJ404" s="92"/>
      <c r="AK404" s="92"/>
      <c r="AL404" s="92"/>
      <c r="AM404" s="92"/>
      <c r="AN404" s="92"/>
      <c r="AO404" s="92"/>
      <c r="AP404" s="92"/>
      <c r="AQ404" s="92"/>
      <c r="AR404" s="92"/>
      <c r="AS404" s="92"/>
      <c r="AT404" s="93"/>
      <c r="AU404" s="94"/>
      <c r="AV404" s="1863">
        <f t="shared" si="271"/>
        <v>0</v>
      </c>
      <c r="AW404" s="1863">
        <f t="shared" si="272"/>
        <v>0</v>
      </c>
      <c r="AX404" s="1863">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16"/>
      <c r="C405" s="1317"/>
      <c r="D405" s="80"/>
      <c r="E405" s="87">
        <f t="shared" si="267"/>
        <v>0</v>
      </c>
      <c r="F405" s="88"/>
      <c r="G405" s="89">
        <f t="shared" si="268"/>
        <v>0</v>
      </c>
      <c r="H405" s="90">
        <f t="shared" si="269"/>
        <v>0</v>
      </c>
      <c r="I405" s="1319"/>
      <c r="J405" s="91"/>
      <c r="K405" s="1319"/>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19"/>
      <c r="AG405" s="92"/>
      <c r="AH405" s="92"/>
      <c r="AI405" s="92"/>
      <c r="AJ405" s="92"/>
      <c r="AK405" s="92"/>
      <c r="AL405" s="92"/>
      <c r="AM405" s="92"/>
      <c r="AN405" s="92"/>
      <c r="AO405" s="92"/>
      <c r="AP405" s="92"/>
      <c r="AQ405" s="92"/>
      <c r="AR405" s="92"/>
      <c r="AS405" s="92"/>
      <c r="AT405" s="93"/>
      <c r="AU405" s="94"/>
      <c r="AV405" s="1863">
        <f t="shared" si="271"/>
        <v>0</v>
      </c>
      <c r="AW405" s="1863">
        <f t="shared" si="272"/>
        <v>0</v>
      </c>
      <c r="AX405" s="1863">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16"/>
      <c r="C406" s="1317"/>
      <c r="D406" s="80"/>
      <c r="E406" s="87">
        <f t="shared" si="267"/>
        <v>0</v>
      </c>
      <c r="F406" s="88"/>
      <c r="G406" s="89">
        <f t="shared" si="268"/>
        <v>0</v>
      </c>
      <c r="H406" s="90">
        <f t="shared" si="269"/>
        <v>0</v>
      </c>
      <c r="I406" s="1319"/>
      <c r="J406" s="91"/>
      <c r="K406" s="1319"/>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19"/>
      <c r="AG406" s="92"/>
      <c r="AH406" s="92"/>
      <c r="AI406" s="92"/>
      <c r="AJ406" s="92"/>
      <c r="AK406" s="92"/>
      <c r="AL406" s="92"/>
      <c r="AM406" s="92"/>
      <c r="AN406" s="92"/>
      <c r="AO406" s="92"/>
      <c r="AP406" s="92"/>
      <c r="AQ406" s="92"/>
      <c r="AR406" s="92"/>
      <c r="AS406" s="92"/>
      <c r="AT406" s="93"/>
      <c r="AU406" s="94"/>
      <c r="AV406" s="1863">
        <f t="shared" si="271"/>
        <v>0</v>
      </c>
      <c r="AW406" s="1863">
        <f t="shared" si="272"/>
        <v>0</v>
      </c>
      <c r="AX406" s="1863">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16"/>
      <c r="C407" s="1317"/>
      <c r="D407" s="80"/>
      <c r="E407" s="87">
        <f t="shared" si="267"/>
        <v>0</v>
      </c>
      <c r="F407" s="88"/>
      <c r="G407" s="89">
        <f t="shared" si="268"/>
        <v>0</v>
      </c>
      <c r="H407" s="90">
        <f t="shared" si="269"/>
        <v>0</v>
      </c>
      <c r="I407" s="1319"/>
      <c r="J407" s="91"/>
      <c r="K407" s="1319"/>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19"/>
      <c r="AG407" s="92"/>
      <c r="AH407" s="92"/>
      <c r="AI407" s="92"/>
      <c r="AJ407" s="92"/>
      <c r="AK407" s="92"/>
      <c r="AL407" s="92"/>
      <c r="AM407" s="92"/>
      <c r="AN407" s="92"/>
      <c r="AO407" s="92"/>
      <c r="AP407" s="92"/>
      <c r="AQ407" s="92"/>
      <c r="AR407" s="92"/>
      <c r="AS407" s="92"/>
      <c r="AT407" s="93"/>
      <c r="AU407" s="94"/>
      <c r="AV407" s="1863">
        <f t="shared" si="271"/>
        <v>0</v>
      </c>
      <c r="AW407" s="1863">
        <f t="shared" si="272"/>
        <v>0</v>
      </c>
      <c r="AX407" s="1863">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16"/>
      <c r="C408" s="1317"/>
      <c r="D408" s="80"/>
      <c r="E408" s="87">
        <f t="shared" si="267"/>
        <v>0</v>
      </c>
      <c r="F408" s="88"/>
      <c r="G408" s="89">
        <f t="shared" si="268"/>
        <v>0</v>
      </c>
      <c r="H408" s="90">
        <f t="shared" si="269"/>
        <v>0</v>
      </c>
      <c r="I408" s="1319"/>
      <c r="J408" s="91"/>
      <c r="K408" s="1319"/>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19"/>
      <c r="AG408" s="92"/>
      <c r="AH408" s="92"/>
      <c r="AI408" s="92"/>
      <c r="AJ408" s="92"/>
      <c r="AK408" s="92"/>
      <c r="AL408" s="92"/>
      <c r="AM408" s="92"/>
      <c r="AN408" s="92"/>
      <c r="AO408" s="92"/>
      <c r="AP408" s="92"/>
      <c r="AQ408" s="92"/>
      <c r="AR408" s="92"/>
      <c r="AS408" s="92"/>
      <c r="AT408" s="93"/>
      <c r="AU408" s="94"/>
      <c r="AV408" s="1863">
        <f t="shared" si="271"/>
        <v>0</v>
      </c>
      <c r="AW408" s="1863">
        <f t="shared" si="272"/>
        <v>0</v>
      </c>
      <c r="AX408" s="1863">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16"/>
      <c r="C409" s="1317"/>
      <c r="D409" s="80"/>
      <c r="E409" s="87">
        <f t="shared" si="267"/>
        <v>0</v>
      </c>
      <c r="F409" s="88"/>
      <c r="G409" s="89">
        <f t="shared" si="268"/>
        <v>0</v>
      </c>
      <c r="H409" s="90">
        <f t="shared" si="269"/>
        <v>0</v>
      </c>
      <c r="I409" s="1319"/>
      <c r="J409" s="91"/>
      <c r="K409" s="1319"/>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19"/>
      <c r="AG409" s="92"/>
      <c r="AH409" s="92"/>
      <c r="AI409" s="92"/>
      <c r="AJ409" s="92"/>
      <c r="AK409" s="92"/>
      <c r="AL409" s="92"/>
      <c r="AM409" s="92"/>
      <c r="AN409" s="92"/>
      <c r="AO409" s="92"/>
      <c r="AP409" s="92"/>
      <c r="AQ409" s="92"/>
      <c r="AR409" s="92"/>
      <c r="AS409" s="92"/>
      <c r="AT409" s="93"/>
      <c r="AU409" s="94"/>
      <c r="AV409" s="1863">
        <f t="shared" si="271"/>
        <v>0</v>
      </c>
      <c r="AW409" s="1863">
        <f t="shared" si="272"/>
        <v>0</v>
      </c>
      <c r="AX409" s="1863">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16"/>
      <c r="C410" s="1317"/>
      <c r="D410" s="80"/>
      <c r="E410" s="87">
        <f t="shared" si="267"/>
        <v>0</v>
      </c>
      <c r="F410" s="88"/>
      <c r="G410" s="89">
        <f t="shared" si="268"/>
        <v>0</v>
      </c>
      <c r="H410" s="90">
        <f t="shared" si="269"/>
        <v>0</v>
      </c>
      <c r="I410" s="1319"/>
      <c r="J410" s="91"/>
      <c r="K410" s="1319"/>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19"/>
      <c r="AG410" s="92"/>
      <c r="AH410" s="92"/>
      <c r="AI410" s="92"/>
      <c r="AJ410" s="92"/>
      <c r="AK410" s="92"/>
      <c r="AL410" s="92"/>
      <c r="AM410" s="92"/>
      <c r="AN410" s="92"/>
      <c r="AO410" s="92"/>
      <c r="AP410" s="92"/>
      <c r="AQ410" s="92"/>
      <c r="AR410" s="92"/>
      <c r="AS410" s="92"/>
      <c r="AT410" s="93"/>
      <c r="AU410" s="94"/>
      <c r="AV410" s="1863">
        <f t="shared" si="271"/>
        <v>0</v>
      </c>
      <c r="AW410" s="1863">
        <f t="shared" si="272"/>
        <v>0</v>
      </c>
      <c r="AX410" s="1863">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16"/>
      <c r="C411" s="1317"/>
      <c r="D411" s="80"/>
      <c r="E411" s="87">
        <f t="shared" si="267"/>
        <v>0</v>
      </c>
      <c r="F411" s="88"/>
      <c r="G411" s="89">
        <f t="shared" si="268"/>
        <v>0</v>
      </c>
      <c r="H411" s="90">
        <f t="shared" si="269"/>
        <v>0</v>
      </c>
      <c r="I411" s="1319"/>
      <c r="J411" s="91"/>
      <c r="K411" s="1319"/>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19"/>
      <c r="AG411" s="92"/>
      <c r="AH411" s="92"/>
      <c r="AI411" s="92"/>
      <c r="AJ411" s="92"/>
      <c r="AK411" s="92"/>
      <c r="AL411" s="92"/>
      <c r="AM411" s="92"/>
      <c r="AN411" s="92"/>
      <c r="AO411" s="92"/>
      <c r="AP411" s="92"/>
      <c r="AQ411" s="92"/>
      <c r="AR411" s="92"/>
      <c r="AS411" s="92"/>
      <c r="AT411" s="93"/>
      <c r="AU411" s="94"/>
      <c r="AV411" s="1863">
        <f t="shared" si="271"/>
        <v>0</v>
      </c>
      <c r="AW411" s="1863">
        <f t="shared" si="272"/>
        <v>0</v>
      </c>
      <c r="AX411" s="1863">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16"/>
      <c r="C412" s="1317"/>
      <c r="D412" s="80"/>
      <c r="E412" s="87">
        <f t="shared" si="267"/>
        <v>0</v>
      </c>
      <c r="F412" s="88"/>
      <c r="G412" s="89">
        <f t="shared" si="268"/>
        <v>0</v>
      </c>
      <c r="H412" s="90">
        <f t="shared" si="269"/>
        <v>0</v>
      </c>
      <c r="I412" s="1319"/>
      <c r="J412" s="91"/>
      <c r="K412" s="1319"/>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19"/>
      <c r="AG412" s="92"/>
      <c r="AH412" s="92"/>
      <c r="AI412" s="92"/>
      <c r="AJ412" s="92"/>
      <c r="AK412" s="92"/>
      <c r="AL412" s="92"/>
      <c r="AM412" s="92"/>
      <c r="AN412" s="92"/>
      <c r="AO412" s="92"/>
      <c r="AP412" s="92"/>
      <c r="AQ412" s="92"/>
      <c r="AR412" s="92"/>
      <c r="AS412" s="92"/>
      <c r="AT412" s="93"/>
      <c r="AU412" s="94"/>
      <c r="AV412" s="1863">
        <f t="shared" si="271"/>
        <v>0</v>
      </c>
      <c r="AW412" s="1863">
        <f t="shared" si="272"/>
        <v>0</v>
      </c>
      <c r="AX412" s="1863">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16"/>
      <c r="C413" s="1317"/>
      <c r="D413" s="80"/>
      <c r="E413" s="87">
        <f t="shared" si="267"/>
        <v>0</v>
      </c>
      <c r="F413" s="88"/>
      <c r="G413" s="89">
        <f t="shared" si="268"/>
        <v>0</v>
      </c>
      <c r="H413" s="90">
        <f t="shared" si="269"/>
        <v>0</v>
      </c>
      <c r="I413" s="1319"/>
      <c r="J413" s="91"/>
      <c r="K413" s="1319"/>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19"/>
      <c r="AG413" s="92"/>
      <c r="AH413" s="92"/>
      <c r="AI413" s="92"/>
      <c r="AJ413" s="92"/>
      <c r="AK413" s="92"/>
      <c r="AL413" s="92"/>
      <c r="AM413" s="92"/>
      <c r="AN413" s="92"/>
      <c r="AO413" s="92"/>
      <c r="AP413" s="92"/>
      <c r="AQ413" s="92"/>
      <c r="AR413" s="92"/>
      <c r="AS413" s="92"/>
      <c r="AT413" s="93"/>
      <c r="AU413" s="94"/>
      <c r="AV413" s="1863">
        <f t="shared" si="271"/>
        <v>0</v>
      </c>
      <c r="AW413" s="1863">
        <f t="shared" si="272"/>
        <v>0</v>
      </c>
      <c r="AX413" s="1863">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16"/>
      <c r="C414" s="1317"/>
      <c r="D414" s="80"/>
      <c r="E414" s="87">
        <f t="shared" si="267"/>
        <v>0</v>
      </c>
      <c r="F414" s="88"/>
      <c r="G414" s="89">
        <f t="shared" si="268"/>
        <v>0</v>
      </c>
      <c r="H414" s="90">
        <f t="shared" si="269"/>
        <v>0</v>
      </c>
      <c r="I414" s="1319"/>
      <c r="J414" s="91"/>
      <c r="K414" s="1319"/>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19"/>
      <c r="AG414" s="92"/>
      <c r="AH414" s="92"/>
      <c r="AI414" s="92"/>
      <c r="AJ414" s="92"/>
      <c r="AK414" s="92"/>
      <c r="AL414" s="92"/>
      <c r="AM414" s="92"/>
      <c r="AN414" s="92"/>
      <c r="AO414" s="92"/>
      <c r="AP414" s="92"/>
      <c r="AQ414" s="92"/>
      <c r="AR414" s="92"/>
      <c r="AS414" s="92"/>
      <c r="AT414" s="93"/>
      <c r="AU414" s="94"/>
      <c r="AV414" s="1863">
        <f t="shared" si="271"/>
        <v>0</v>
      </c>
      <c r="AW414" s="1863">
        <f t="shared" si="272"/>
        <v>0</v>
      </c>
      <c r="AX414" s="1863">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16"/>
      <c r="C415" s="1317"/>
      <c r="D415" s="80"/>
      <c r="E415" s="87">
        <f t="shared" si="267"/>
        <v>0</v>
      </c>
      <c r="F415" s="88"/>
      <c r="G415" s="89">
        <f t="shared" si="268"/>
        <v>0</v>
      </c>
      <c r="H415" s="90">
        <f t="shared" si="269"/>
        <v>0</v>
      </c>
      <c r="I415" s="1319"/>
      <c r="J415" s="91"/>
      <c r="K415" s="1319"/>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17"/>
      <c r="AG415" s="92"/>
      <c r="AH415" s="92"/>
      <c r="AI415" s="92"/>
      <c r="AJ415" s="92"/>
      <c r="AK415" s="92"/>
      <c r="AL415" s="92"/>
      <c r="AM415" s="92"/>
      <c r="AN415" s="92"/>
      <c r="AO415" s="92"/>
      <c r="AP415" s="92"/>
      <c r="AQ415" s="92"/>
      <c r="AR415" s="92"/>
      <c r="AS415" s="92"/>
      <c r="AT415" s="93"/>
      <c r="AU415" s="94"/>
      <c r="AV415" s="1863">
        <f t="shared" si="271"/>
        <v>0</v>
      </c>
      <c r="AW415" s="1863">
        <f t="shared" si="272"/>
        <v>0</v>
      </c>
      <c r="AX415" s="1863">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16"/>
      <c r="C416" s="1317"/>
      <c r="D416" s="80"/>
      <c r="E416" s="87">
        <f t="shared" si="267"/>
        <v>0</v>
      </c>
      <c r="F416" s="88"/>
      <c r="G416" s="89">
        <f t="shared" si="268"/>
        <v>0</v>
      </c>
      <c r="H416" s="90">
        <f t="shared" si="269"/>
        <v>0</v>
      </c>
      <c r="I416" s="1317"/>
      <c r="J416" s="91"/>
      <c r="K416" s="1317"/>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17"/>
      <c r="AG416" s="92"/>
      <c r="AH416" s="92"/>
      <c r="AI416" s="92"/>
      <c r="AJ416" s="92"/>
      <c r="AK416" s="92"/>
      <c r="AL416" s="92"/>
      <c r="AM416" s="92"/>
      <c r="AN416" s="92"/>
      <c r="AO416" s="92"/>
      <c r="AP416" s="92"/>
      <c r="AQ416" s="92"/>
      <c r="AR416" s="92"/>
      <c r="AS416" s="92"/>
      <c r="AT416" s="93"/>
      <c r="AU416" s="94"/>
      <c r="AV416" s="1863">
        <f t="shared" si="271"/>
        <v>0</v>
      </c>
      <c r="AW416" s="1863">
        <f t="shared" si="272"/>
        <v>0</v>
      </c>
      <c r="AX416" s="1863">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16"/>
      <c r="C417" s="1317"/>
      <c r="D417" s="80"/>
      <c r="E417" s="87">
        <f t="shared" si="267"/>
        <v>0</v>
      </c>
      <c r="F417" s="88"/>
      <c r="G417" s="89">
        <f t="shared" si="268"/>
        <v>0</v>
      </c>
      <c r="H417" s="90">
        <f t="shared" si="269"/>
        <v>0</v>
      </c>
      <c r="I417" s="1317"/>
      <c r="J417" s="91"/>
      <c r="K417" s="1317"/>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17"/>
      <c r="AG417" s="92"/>
      <c r="AH417" s="92"/>
      <c r="AI417" s="92"/>
      <c r="AJ417" s="92"/>
      <c r="AK417" s="92"/>
      <c r="AL417" s="92"/>
      <c r="AM417" s="92"/>
      <c r="AN417" s="92"/>
      <c r="AO417" s="92"/>
      <c r="AP417" s="92"/>
      <c r="AQ417" s="92"/>
      <c r="AR417" s="92"/>
      <c r="AS417" s="92"/>
      <c r="AT417" s="93"/>
      <c r="AU417" s="94"/>
      <c r="AV417" s="1863">
        <f t="shared" si="271"/>
        <v>0</v>
      </c>
      <c r="AW417" s="1863">
        <f t="shared" si="272"/>
        <v>0</v>
      </c>
      <c r="AX417" s="1863">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16"/>
      <c r="C418" s="1317"/>
      <c r="D418" s="80"/>
      <c r="E418" s="87">
        <f t="shared" si="267"/>
        <v>0</v>
      </c>
      <c r="F418" s="88"/>
      <c r="G418" s="89">
        <f t="shared" si="268"/>
        <v>0</v>
      </c>
      <c r="H418" s="90">
        <f t="shared" si="269"/>
        <v>0</v>
      </c>
      <c r="I418" s="1317"/>
      <c r="J418" s="91"/>
      <c r="K418" s="1317"/>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17"/>
      <c r="AG418" s="92"/>
      <c r="AH418" s="92"/>
      <c r="AI418" s="92"/>
      <c r="AJ418" s="92"/>
      <c r="AK418" s="92"/>
      <c r="AL418" s="92"/>
      <c r="AM418" s="92"/>
      <c r="AN418" s="92"/>
      <c r="AO418" s="92"/>
      <c r="AP418" s="92"/>
      <c r="AQ418" s="92"/>
      <c r="AR418" s="92"/>
      <c r="AS418" s="92"/>
      <c r="AT418" s="93"/>
      <c r="AU418" s="94"/>
      <c r="AV418" s="1863">
        <f t="shared" si="271"/>
        <v>0</v>
      </c>
      <c r="AW418" s="1863">
        <f t="shared" si="272"/>
        <v>0</v>
      </c>
      <c r="AX418" s="1863">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16"/>
      <c r="C419" s="1317"/>
      <c r="D419" s="80"/>
      <c r="E419" s="87">
        <f t="shared" si="267"/>
        <v>0</v>
      </c>
      <c r="F419" s="88"/>
      <c r="G419" s="89">
        <f t="shared" si="268"/>
        <v>0</v>
      </c>
      <c r="H419" s="90">
        <f t="shared" si="269"/>
        <v>0</v>
      </c>
      <c r="I419" s="1317"/>
      <c r="J419" s="91"/>
      <c r="K419" s="1317"/>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17"/>
      <c r="AG419" s="92"/>
      <c r="AH419" s="92"/>
      <c r="AI419" s="92"/>
      <c r="AJ419" s="92"/>
      <c r="AK419" s="92"/>
      <c r="AL419" s="92"/>
      <c r="AM419" s="92"/>
      <c r="AN419" s="92"/>
      <c r="AO419" s="92"/>
      <c r="AP419" s="92"/>
      <c r="AQ419" s="92"/>
      <c r="AR419" s="92"/>
      <c r="AS419" s="92"/>
      <c r="AT419" s="93"/>
      <c r="AU419" s="94"/>
      <c r="AV419" s="1863">
        <f t="shared" si="271"/>
        <v>0</v>
      </c>
      <c r="AW419" s="1863">
        <f t="shared" si="272"/>
        <v>0</v>
      </c>
      <c r="AX419" s="1863">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16"/>
      <c r="C420" s="1317"/>
      <c r="D420" s="80"/>
      <c r="E420" s="87">
        <f t="shared" si="267"/>
        <v>0</v>
      </c>
      <c r="F420" s="88"/>
      <c r="G420" s="89">
        <f t="shared" si="268"/>
        <v>0</v>
      </c>
      <c r="H420" s="90">
        <f t="shared" si="269"/>
        <v>0</v>
      </c>
      <c r="I420" s="1317"/>
      <c r="J420" s="91"/>
      <c r="K420" s="1317"/>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17"/>
      <c r="AG420" s="92"/>
      <c r="AH420" s="92"/>
      <c r="AI420" s="92"/>
      <c r="AJ420" s="92"/>
      <c r="AK420" s="92"/>
      <c r="AL420" s="92"/>
      <c r="AM420" s="92"/>
      <c r="AN420" s="92"/>
      <c r="AO420" s="92"/>
      <c r="AP420" s="92"/>
      <c r="AQ420" s="92"/>
      <c r="AR420" s="92"/>
      <c r="AS420" s="92"/>
      <c r="AT420" s="93"/>
      <c r="AU420" s="94"/>
      <c r="AV420" s="1863">
        <f t="shared" si="271"/>
        <v>0</v>
      </c>
      <c r="AW420" s="1863">
        <f t="shared" si="272"/>
        <v>0</v>
      </c>
      <c r="AX420" s="1863">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16"/>
      <c r="C421" s="1317"/>
      <c r="D421" s="80"/>
      <c r="E421" s="87">
        <f t="shared" si="267"/>
        <v>0</v>
      </c>
      <c r="F421" s="88"/>
      <c r="G421" s="89">
        <f t="shared" si="268"/>
        <v>0</v>
      </c>
      <c r="H421" s="90">
        <f t="shared" si="269"/>
        <v>0</v>
      </c>
      <c r="I421" s="1317"/>
      <c r="J421" s="91"/>
      <c r="K421" s="1317"/>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17"/>
      <c r="AG421" s="92"/>
      <c r="AH421" s="92"/>
      <c r="AI421" s="92"/>
      <c r="AJ421" s="92"/>
      <c r="AK421" s="92"/>
      <c r="AL421" s="92"/>
      <c r="AM421" s="92"/>
      <c r="AN421" s="92"/>
      <c r="AO421" s="92"/>
      <c r="AP421" s="92"/>
      <c r="AQ421" s="92"/>
      <c r="AR421" s="92"/>
      <c r="AS421" s="92"/>
      <c r="AT421" s="93"/>
      <c r="AU421" s="94"/>
      <c r="AV421" s="1863">
        <f t="shared" si="271"/>
        <v>0</v>
      </c>
      <c r="AW421" s="1863">
        <f t="shared" si="272"/>
        <v>0</v>
      </c>
      <c r="AX421" s="1863">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16"/>
      <c r="C422" s="1317"/>
      <c r="D422" s="80"/>
      <c r="E422" s="87">
        <f t="shared" si="267"/>
        <v>0</v>
      </c>
      <c r="F422" s="88"/>
      <c r="G422" s="89">
        <f t="shared" si="268"/>
        <v>0</v>
      </c>
      <c r="H422" s="90">
        <f t="shared" si="269"/>
        <v>0</v>
      </c>
      <c r="I422" s="1317"/>
      <c r="J422" s="91"/>
      <c r="K422" s="1317"/>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17"/>
      <c r="AG422" s="92"/>
      <c r="AH422" s="92"/>
      <c r="AI422" s="92"/>
      <c r="AJ422" s="92"/>
      <c r="AK422" s="92"/>
      <c r="AL422" s="92"/>
      <c r="AM422" s="92"/>
      <c r="AN422" s="92"/>
      <c r="AO422" s="92"/>
      <c r="AP422" s="92"/>
      <c r="AQ422" s="92"/>
      <c r="AR422" s="92"/>
      <c r="AS422" s="92"/>
      <c r="AT422" s="93"/>
      <c r="AU422" s="94"/>
      <c r="AV422" s="1863">
        <f t="shared" si="271"/>
        <v>0</v>
      </c>
      <c r="AW422" s="1863">
        <f t="shared" si="272"/>
        <v>0</v>
      </c>
      <c r="AX422" s="1863">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18"/>
      <c r="C423" s="1319"/>
      <c r="D423" s="80"/>
      <c r="E423" s="87">
        <f t="shared" si="267"/>
        <v>0</v>
      </c>
      <c r="F423" s="88"/>
      <c r="G423" s="89">
        <f t="shared" si="268"/>
        <v>0</v>
      </c>
      <c r="H423" s="90">
        <f t="shared" si="269"/>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70"/>
        <v>0</v>
      </c>
      <c r="AD423" s="92"/>
      <c r="AE423" s="92"/>
      <c r="AF423" s="1317"/>
      <c r="AG423" s="92"/>
      <c r="AH423" s="92"/>
      <c r="AI423" s="92"/>
      <c r="AJ423" s="92"/>
      <c r="AK423" s="92"/>
      <c r="AL423" s="92"/>
      <c r="AM423" s="92"/>
      <c r="AN423" s="92"/>
      <c r="AO423" s="92"/>
      <c r="AP423" s="92"/>
      <c r="AQ423" s="92"/>
      <c r="AR423" s="92"/>
      <c r="AS423" s="92"/>
      <c r="AT423" s="93"/>
      <c r="AU423" s="94"/>
      <c r="AV423" s="1863">
        <f t="shared" si="271"/>
        <v>0</v>
      </c>
      <c r="AW423" s="1863">
        <f t="shared" si="272"/>
        <v>0</v>
      </c>
      <c r="AX423" s="1863">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863">
        <f t="shared" si="271"/>
        <v>0</v>
      </c>
      <c r="AW424" s="1863">
        <f t="shared" si="272"/>
        <v>0</v>
      </c>
      <c r="AX424" s="1863">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863">
        <f t="shared" si="271"/>
        <v>0</v>
      </c>
      <c r="AW425" s="1863">
        <f t="shared" si="272"/>
        <v>0</v>
      </c>
      <c r="AX425" s="1863">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863">
        <f t="shared" si="271"/>
        <v>0</v>
      </c>
      <c r="AW426" s="1863">
        <f t="shared" si="272"/>
        <v>0</v>
      </c>
      <c r="AX426" s="1863">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863">
        <f t="shared" si="271"/>
        <v>0</v>
      </c>
      <c r="AW427" s="1863">
        <f t="shared" si="272"/>
        <v>0</v>
      </c>
      <c r="AX427" s="1863">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863">
        <f t="shared" si="271"/>
        <v>0</v>
      </c>
      <c r="AW428" s="1863">
        <f t="shared" si="272"/>
        <v>0</v>
      </c>
      <c r="AX428" s="1863">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863">
        <f t="shared" si="271"/>
        <v>0</v>
      </c>
      <c r="AW429" s="1863">
        <f t="shared" si="272"/>
        <v>0</v>
      </c>
      <c r="AX429" s="1863">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863">
        <f t="shared" si="271"/>
        <v>0</v>
      </c>
      <c r="AW430" s="1863">
        <f t="shared" si="272"/>
        <v>0</v>
      </c>
      <c r="AX430" s="1863">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863">
        <f t="shared" si="271"/>
        <v>0</v>
      </c>
      <c r="AW431" s="1863">
        <f t="shared" si="272"/>
        <v>0</v>
      </c>
      <c r="AX431" s="1863">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863">
        <f t="shared" si="271"/>
        <v>0</v>
      </c>
      <c r="AW432" s="1863">
        <f t="shared" si="272"/>
        <v>0</v>
      </c>
      <c r="AX432" s="1863">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863">
        <f t="shared" si="271"/>
        <v>0</v>
      </c>
      <c r="AW433" s="1863">
        <f t="shared" si="272"/>
        <v>0</v>
      </c>
      <c r="AX433" s="1863">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863">
        <f t="shared" si="271"/>
        <v>0</v>
      </c>
      <c r="AW434" s="1863">
        <f t="shared" si="272"/>
        <v>0</v>
      </c>
      <c r="AX434" s="1863">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863">
        <f t="shared" si="271"/>
        <v>0</v>
      </c>
      <c r="AW435" s="1863">
        <f t="shared" si="272"/>
        <v>0</v>
      </c>
      <c r="AX435" s="1863">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863">
        <f t="shared" si="271"/>
        <v>0</v>
      </c>
      <c r="AW436" s="1863">
        <f t="shared" si="272"/>
        <v>0</v>
      </c>
      <c r="AX436" s="1863">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863">
        <f t="shared" si="271"/>
        <v>0</v>
      </c>
      <c r="AW437" s="1863">
        <f t="shared" si="272"/>
        <v>0</v>
      </c>
      <c r="AX437" s="1863">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863">
        <f t="shared" si="271"/>
        <v>0</v>
      </c>
      <c r="AW438" s="1863">
        <f t="shared" si="272"/>
        <v>0</v>
      </c>
      <c r="AX438" s="1863">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863">
        <f t="shared" si="271"/>
        <v>0</v>
      </c>
      <c r="AW439" s="1863">
        <f t="shared" si="272"/>
        <v>0</v>
      </c>
      <c r="AX439" s="1863">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863">
        <f t="shared" si="271"/>
        <v>0</v>
      </c>
      <c r="AW440" s="1863">
        <f t="shared" si="272"/>
        <v>0</v>
      </c>
      <c r="AX440" s="1863">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863">
        <f t="shared" si="271"/>
        <v>0</v>
      </c>
      <c r="AW441" s="1863">
        <f t="shared" si="272"/>
        <v>0</v>
      </c>
      <c r="AX441" s="1863">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863">
        <f t="shared" si="271"/>
        <v>0</v>
      </c>
      <c r="AW442" s="1863">
        <f t="shared" si="272"/>
        <v>0</v>
      </c>
      <c r="AX442" s="1863">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863">
        <f t="shared" si="271"/>
        <v>0</v>
      </c>
      <c r="AW443" s="1863">
        <f t="shared" si="272"/>
        <v>0</v>
      </c>
      <c r="AX443" s="1863">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863">
        <f t="shared" si="271"/>
        <v>0</v>
      </c>
      <c r="AW444" s="1863">
        <f t="shared" si="272"/>
        <v>0</v>
      </c>
      <c r="AX444" s="1863">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863">
        <f t="shared" si="271"/>
        <v>0</v>
      </c>
      <c r="AW445" s="1863">
        <f t="shared" si="272"/>
        <v>0</v>
      </c>
      <c r="AX445" s="1863">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863">
        <f t="shared" si="271"/>
        <v>0</v>
      </c>
      <c r="AW446" s="1863">
        <f t="shared" si="272"/>
        <v>0</v>
      </c>
      <c r="AX446" s="1863">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863">
        <f t="shared" si="271"/>
        <v>0</v>
      </c>
      <c r="AW447" s="1863">
        <f t="shared" si="272"/>
        <v>0</v>
      </c>
      <c r="AX447" s="1863">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863">
        <f t="shared" si="271"/>
        <v>0</v>
      </c>
      <c r="AW448" s="1863">
        <f t="shared" si="272"/>
        <v>0</v>
      </c>
      <c r="AX448" s="1863">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863">
        <f t="shared" si="271"/>
        <v>0</v>
      </c>
      <c r="AW449" s="1863">
        <f t="shared" si="272"/>
        <v>0</v>
      </c>
      <c r="AX449" s="1863">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863">
        <f t="shared" si="271"/>
        <v>0</v>
      </c>
      <c r="AW450" s="1863">
        <f t="shared" si="272"/>
        <v>0</v>
      </c>
      <c r="AX450" s="1863">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863">
        <f t="shared" si="271"/>
        <v>0</v>
      </c>
      <c r="AW451" s="1863">
        <f t="shared" si="272"/>
        <v>0</v>
      </c>
      <c r="AX451" s="1863">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863">
        <f t="shared" si="271"/>
        <v>0</v>
      </c>
      <c r="AW452" s="1863">
        <f t="shared" si="272"/>
        <v>0</v>
      </c>
      <c r="AX452" s="1863">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863">
        <f t="shared" si="271"/>
        <v>0</v>
      </c>
      <c r="AW453" s="1863">
        <f t="shared" si="272"/>
        <v>0</v>
      </c>
      <c r="AX453" s="1863">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863">
        <f t="shared" si="271"/>
        <v>0</v>
      </c>
      <c r="AW454" s="1863">
        <f t="shared" si="272"/>
        <v>0</v>
      </c>
      <c r="AX454" s="1863">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863">
        <f t="shared" si="271"/>
        <v>0</v>
      </c>
      <c r="AW455" s="1863">
        <f t="shared" si="272"/>
        <v>0</v>
      </c>
      <c r="AX455" s="1863">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863">
        <f t="shared" si="271"/>
        <v>0</v>
      </c>
      <c r="AW456" s="1863">
        <f t="shared" si="272"/>
        <v>0</v>
      </c>
      <c r="AX456" s="1863">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863">
        <f t="shared" si="271"/>
        <v>0</v>
      </c>
      <c r="AW457" s="1863">
        <f t="shared" si="272"/>
        <v>0</v>
      </c>
      <c r="AX457" s="1863">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863">
        <f t="shared" si="271"/>
        <v>0</v>
      </c>
      <c r="AW458" s="1863">
        <f t="shared" si="272"/>
        <v>0</v>
      </c>
      <c r="AX458" s="1863">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863">
        <f t="shared" si="271"/>
        <v>0</v>
      </c>
      <c r="AW459" s="1863">
        <f t="shared" si="272"/>
        <v>0</v>
      </c>
      <c r="AX459" s="1863">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863">
        <f t="shared" si="271"/>
        <v>0</v>
      </c>
      <c r="AW460" s="1863">
        <f t="shared" si="272"/>
        <v>0</v>
      </c>
      <c r="AX460" s="1863">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863">
        <f t="shared" si="271"/>
        <v>0</v>
      </c>
      <c r="AW461" s="1863">
        <f t="shared" si="272"/>
        <v>0</v>
      </c>
      <c r="AX461" s="1863">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863">
        <f t="shared" si="271"/>
        <v>0</v>
      </c>
      <c r="AW462" s="1863">
        <f t="shared" si="272"/>
        <v>0</v>
      </c>
      <c r="AX462" s="1863">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863">
        <f t="shared" si="271"/>
        <v>0</v>
      </c>
      <c r="AW463" s="1863">
        <f t="shared" si="272"/>
        <v>0</v>
      </c>
      <c r="AX463" s="1863">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863">
        <f t="shared" si="271"/>
        <v>0</v>
      </c>
      <c r="AW464" s="1863">
        <f t="shared" si="272"/>
        <v>0</v>
      </c>
      <c r="AX464" s="1863">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863">
        <f t="shared" si="271"/>
        <v>0</v>
      </c>
      <c r="AW465" s="1863">
        <f t="shared" si="272"/>
        <v>0</v>
      </c>
      <c r="AX465" s="1863">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863">
        <f t="shared" si="271"/>
        <v>0</v>
      </c>
      <c r="AW466" s="1863">
        <f t="shared" si="272"/>
        <v>0</v>
      </c>
      <c r="AX466" s="1863">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863">
        <f t="shared" si="271"/>
        <v>0</v>
      </c>
      <c r="AW467" s="1863">
        <f t="shared" si="272"/>
        <v>0</v>
      </c>
      <c r="AX467" s="1863">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863">
        <f t="shared" si="271"/>
        <v>0</v>
      </c>
      <c r="AW468" s="1863">
        <f t="shared" si="272"/>
        <v>0</v>
      </c>
      <c r="AX468" s="1863">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863">
        <f t="shared" si="271"/>
        <v>0</v>
      </c>
      <c r="AW469" s="1863">
        <f t="shared" si="272"/>
        <v>0</v>
      </c>
      <c r="AX469" s="1863">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863">
        <f t="shared" si="271"/>
        <v>0</v>
      </c>
      <c r="AW470" s="1863">
        <f t="shared" si="272"/>
        <v>0</v>
      </c>
      <c r="AX470" s="1863">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863">
        <f t="shared" si="271"/>
        <v>0</v>
      </c>
      <c r="AW471" s="1863">
        <f t="shared" si="272"/>
        <v>0</v>
      </c>
      <c r="AX471" s="1863">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863">
        <f t="shared" si="271"/>
        <v>0</v>
      </c>
      <c r="AW472" s="1863">
        <f t="shared" si="272"/>
        <v>0</v>
      </c>
      <c r="AX472" s="1863">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863">
        <f t="shared" si="271"/>
        <v>0</v>
      </c>
      <c r="AW473" s="1863">
        <f t="shared" si="272"/>
        <v>0</v>
      </c>
      <c r="AX473" s="1863">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863">
        <f t="shared" si="271"/>
        <v>0</v>
      </c>
      <c r="AW474" s="1863">
        <f t="shared" si="272"/>
        <v>0</v>
      </c>
      <c r="AX474" s="1863">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863">
        <f t="shared" si="271"/>
        <v>0</v>
      </c>
      <c r="AW475" s="1863">
        <f t="shared" si="272"/>
        <v>0</v>
      </c>
      <c r="AX475" s="1863">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863">
        <f t="shared" si="271"/>
        <v>0</v>
      </c>
      <c r="AW476" s="1863">
        <f t="shared" si="272"/>
        <v>0</v>
      </c>
      <c r="AX476" s="1863">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863">
        <f t="shared" si="271"/>
        <v>0</v>
      </c>
      <c r="AW477" s="1863">
        <f t="shared" si="272"/>
        <v>0</v>
      </c>
      <c r="AX477" s="1863">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71"/>
        <v>0</v>
      </c>
      <c r="AW478" s="1863">
        <f t="shared" si="272"/>
        <v>0</v>
      </c>
      <c r="AX478" s="1863">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863">
        <f t="shared" si="271"/>
        <v>0</v>
      </c>
      <c r="AW479" s="1863">
        <f t="shared" si="272"/>
        <v>0</v>
      </c>
      <c r="AX479" s="1863">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863">
        <f t="shared" si="271"/>
        <v>0</v>
      </c>
      <c r="AW480" s="1863">
        <f t="shared" si="272"/>
        <v>0</v>
      </c>
      <c r="AX480" s="1863">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16"/>
      <c r="C481" s="1317"/>
      <c r="D481" s="80"/>
      <c r="E481" s="87">
        <f t="shared" ref="E481:E504" si="321">IF($C$3="是",ROUND($A$3*G481/$B$3,2),ROUND($A$3*(G481-AT481)/$B$3,2))</f>
        <v>0</v>
      </c>
      <c r="F481" s="88"/>
      <c r="G481" s="89">
        <f t="shared" si="296"/>
        <v>0</v>
      </c>
      <c r="H481" s="90">
        <f t="shared" si="297"/>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2">A481</f>
        <v>0</v>
      </c>
      <c r="AW481" s="962">
        <f t="shared" ref="AW481:AW505" si="323">B481</f>
        <v>0</v>
      </c>
      <c r="AX481" s="96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16"/>
      <c r="C482" s="1317"/>
      <c r="D482" s="80"/>
      <c r="E482" s="87">
        <f t="shared" si="321"/>
        <v>0</v>
      </c>
      <c r="F482" s="88"/>
      <c r="G482" s="89">
        <f t="shared" si="296"/>
        <v>0</v>
      </c>
      <c r="H482" s="90">
        <f t="shared" si="297"/>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8"/>
        <v>0</v>
      </c>
      <c r="AD482" s="1291"/>
      <c r="AE482" s="92"/>
      <c r="AF482" s="1320"/>
      <c r="AG482" s="92"/>
      <c r="AH482" s="92"/>
      <c r="AI482" s="92"/>
      <c r="AJ482" s="92"/>
      <c r="AK482" s="92"/>
      <c r="AL482" s="1291"/>
      <c r="AM482" s="92"/>
      <c r="AN482" s="1291"/>
      <c r="AO482" s="92"/>
      <c r="AP482" s="92"/>
      <c r="AQ482" s="92"/>
      <c r="AR482" s="92"/>
      <c r="AS482" s="92"/>
      <c r="AT482" s="93"/>
      <c r="AU482" s="94"/>
      <c r="AV482" s="962">
        <f t="shared" si="322"/>
        <v>0</v>
      </c>
      <c r="AW482" s="962">
        <f t="shared" si="323"/>
        <v>0</v>
      </c>
      <c r="AX482" s="96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16"/>
      <c r="C483" s="1317"/>
      <c r="D483" s="80"/>
      <c r="E483" s="87">
        <f t="shared" si="321"/>
        <v>0</v>
      </c>
      <c r="F483" s="88"/>
      <c r="G483" s="89">
        <f t="shared" si="296"/>
        <v>0</v>
      </c>
      <c r="H483" s="90">
        <f t="shared" si="297"/>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8"/>
        <v>0</v>
      </c>
      <c r="AD483" s="92"/>
      <c r="AE483" s="92"/>
      <c r="AF483" s="1320"/>
      <c r="AG483" s="92"/>
      <c r="AH483" s="92"/>
      <c r="AI483" s="92"/>
      <c r="AJ483" s="92"/>
      <c r="AK483" s="92"/>
      <c r="AL483" s="1291"/>
      <c r="AM483" s="92"/>
      <c r="AN483" s="1291"/>
      <c r="AO483" s="92"/>
      <c r="AP483" s="92"/>
      <c r="AQ483" s="92"/>
      <c r="AR483" s="92"/>
      <c r="AS483" s="92"/>
      <c r="AT483" s="93"/>
      <c r="AU483" s="94"/>
      <c r="AV483" s="962">
        <f t="shared" si="322"/>
        <v>0</v>
      </c>
      <c r="AW483" s="962">
        <f t="shared" si="323"/>
        <v>0</v>
      </c>
      <c r="AX483" s="96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16"/>
      <c r="C484" s="1317"/>
      <c r="D484" s="80"/>
      <c r="E484" s="87">
        <f t="shared" si="321"/>
        <v>0</v>
      </c>
      <c r="F484" s="88"/>
      <c r="G484" s="89">
        <f t="shared" si="296"/>
        <v>0</v>
      </c>
      <c r="H484" s="90">
        <f t="shared" si="297"/>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8"/>
        <v>0</v>
      </c>
      <c r="AD484" s="92"/>
      <c r="AE484" s="92"/>
      <c r="AF484" s="1320"/>
      <c r="AG484" s="92"/>
      <c r="AH484" s="92"/>
      <c r="AI484" s="92"/>
      <c r="AJ484" s="92"/>
      <c r="AK484" s="92"/>
      <c r="AL484" s="92"/>
      <c r="AM484" s="92"/>
      <c r="AN484" s="1291"/>
      <c r="AO484" s="92"/>
      <c r="AP484" s="92"/>
      <c r="AQ484" s="92"/>
      <c r="AR484" s="92"/>
      <c r="AS484" s="92"/>
      <c r="AT484" s="93"/>
      <c r="AU484" s="94"/>
      <c r="AV484" s="962">
        <f t="shared" si="322"/>
        <v>0</v>
      </c>
      <c r="AW484" s="962">
        <f t="shared" si="323"/>
        <v>0</v>
      </c>
      <c r="AX484" s="96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16"/>
      <c r="C485" s="1317"/>
      <c r="D485" s="80"/>
      <c r="E485" s="87">
        <f t="shared" si="321"/>
        <v>0</v>
      </c>
      <c r="F485" s="88"/>
      <c r="G485" s="89">
        <f t="shared" si="296"/>
        <v>0</v>
      </c>
      <c r="H485" s="90">
        <f t="shared" si="297"/>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20"/>
      <c r="AG485" s="92"/>
      <c r="AH485" s="92"/>
      <c r="AI485" s="92"/>
      <c r="AJ485" s="92"/>
      <c r="AK485" s="92"/>
      <c r="AL485" s="92"/>
      <c r="AM485" s="92"/>
      <c r="AN485" s="92"/>
      <c r="AO485" s="92"/>
      <c r="AP485" s="92"/>
      <c r="AQ485" s="92"/>
      <c r="AR485" s="92"/>
      <c r="AS485" s="92"/>
      <c r="AT485" s="93"/>
      <c r="AU485" s="94"/>
      <c r="AV485" s="962">
        <f t="shared" si="322"/>
        <v>0</v>
      </c>
      <c r="AW485" s="962">
        <f t="shared" si="323"/>
        <v>0</v>
      </c>
      <c r="AX485" s="96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16"/>
      <c r="C486" s="1317"/>
      <c r="D486" s="80"/>
      <c r="E486" s="87">
        <f t="shared" si="321"/>
        <v>0</v>
      </c>
      <c r="F486" s="88"/>
      <c r="G486" s="89">
        <f t="shared" si="296"/>
        <v>0</v>
      </c>
      <c r="H486" s="90">
        <f t="shared" si="297"/>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20"/>
      <c r="AG486" s="92"/>
      <c r="AH486" s="92"/>
      <c r="AI486" s="92"/>
      <c r="AJ486" s="92"/>
      <c r="AK486" s="92"/>
      <c r="AL486" s="92"/>
      <c r="AM486" s="92"/>
      <c r="AN486" s="92"/>
      <c r="AO486" s="92"/>
      <c r="AP486" s="92"/>
      <c r="AQ486" s="92"/>
      <c r="AR486" s="92"/>
      <c r="AS486" s="92"/>
      <c r="AT486" s="93"/>
      <c r="AU486" s="94"/>
      <c r="AV486" s="962">
        <f t="shared" si="322"/>
        <v>0</v>
      </c>
      <c r="AW486" s="962">
        <f t="shared" si="323"/>
        <v>0</v>
      </c>
      <c r="AX486" s="96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16"/>
      <c r="C487" s="1317"/>
      <c r="D487" s="80"/>
      <c r="E487" s="87">
        <f t="shared" si="321"/>
        <v>0</v>
      </c>
      <c r="F487" s="88"/>
      <c r="G487" s="89">
        <f t="shared" si="296"/>
        <v>0</v>
      </c>
      <c r="H487" s="90">
        <f t="shared" si="297"/>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20"/>
      <c r="AG487" s="92"/>
      <c r="AH487" s="92"/>
      <c r="AI487" s="92"/>
      <c r="AJ487" s="92"/>
      <c r="AK487" s="92"/>
      <c r="AL487" s="92"/>
      <c r="AM487" s="92"/>
      <c r="AN487" s="92"/>
      <c r="AO487" s="92"/>
      <c r="AP487" s="92"/>
      <c r="AQ487" s="92"/>
      <c r="AR487" s="92"/>
      <c r="AS487" s="92"/>
      <c r="AT487" s="93"/>
      <c r="AU487" s="94"/>
      <c r="AV487" s="962">
        <f t="shared" si="322"/>
        <v>0</v>
      </c>
      <c r="AW487" s="962">
        <f t="shared" si="323"/>
        <v>0</v>
      </c>
      <c r="AX487" s="96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16"/>
      <c r="C488" s="1317"/>
      <c r="D488" s="80"/>
      <c r="E488" s="87">
        <f t="shared" si="321"/>
        <v>0</v>
      </c>
      <c r="F488" s="88"/>
      <c r="G488" s="89">
        <f t="shared" si="296"/>
        <v>0</v>
      </c>
      <c r="H488" s="90">
        <f t="shared" si="297"/>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19"/>
      <c r="AG488" s="92"/>
      <c r="AH488" s="92"/>
      <c r="AI488" s="92"/>
      <c r="AJ488" s="92"/>
      <c r="AK488" s="92"/>
      <c r="AL488" s="92"/>
      <c r="AM488" s="92"/>
      <c r="AN488" s="92"/>
      <c r="AO488" s="92"/>
      <c r="AP488" s="92"/>
      <c r="AQ488" s="92"/>
      <c r="AR488" s="92"/>
      <c r="AS488" s="92"/>
      <c r="AT488" s="93"/>
      <c r="AU488" s="94"/>
      <c r="AV488" s="962">
        <f t="shared" si="322"/>
        <v>0</v>
      </c>
      <c r="AW488" s="962">
        <f t="shared" si="323"/>
        <v>0</v>
      </c>
      <c r="AX488" s="96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18"/>
      <c r="C489" s="1319"/>
      <c r="D489" s="80"/>
      <c r="E489" s="87">
        <f t="shared" si="321"/>
        <v>0</v>
      </c>
      <c r="F489" s="88"/>
      <c r="G489" s="89">
        <f t="shared" si="296"/>
        <v>0</v>
      </c>
      <c r="H489" s="90">
        <f t="shared" si="297"/>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19"/>
      <c r="AG489" s="92"/>
      <c r="AH489" s="92"/>
      <c r="AI489" s="92"/>
      <c r="AJ489" s="92"/>
      <c r="AK489" s="92"/>
      <c r="AL489" s="92"/>
      <c r="AM489" s="92"/>
      <c r="AN489" s="92"/>
      <c r="AO489" s="92"/>
      <c r="AP489" s="92"/>
      <c r="AQ489" s="92"/>
      <c r="AR489" s="92"/>
      <c r="AS489" s="92"/>
      <c r="AT489" s="93"/>
      <c r="AU489" s="94"/>
      <c r="AV489" s="962">
        <f t="shared" si="322"/>
        <v>0</v>
      </c>
      <c r="AW489" s="962">
        <f t="shared" si="323"/>
        <v>0</v>
      </c>
      <c r="AX489" s="96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16"/>
      <c r="C490" s="1317"/>
      <c r="D490" s="80"/>
      <c r="E490" s="87">
        <f t="shared" si="321"/>
        <v>0</v>
      </c>
      <c r="F490" s="88"/>
      <c r="G490" s="89">
        <f t="shared" si="296"/>
        <v>0</v>
      </c>
      <c r="H490" s="90">
        <f t="shared" si="297"/>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19"/>
      <c r="AG490" s="92"/>
      <c r="AH490" s="92"/>
      <c r="AI490" s="92"/>
      <c r="AJ490" s="92"/>
      <c r="AK490" s="92"/>
      <c r="AL490" s="92"/>
      <c r="AM490" s="92"/>
      <c r="AN490" s="92"/>
      <c r="AO490" s="92"/>
      <c r="AP490" s="92"/>
      <c r="AQ490" s="92"/>
      <c r="AR490" s="92"/>
      <c r="AS490" s="92"/>
      <c r="AT490" s="93"/>
      <c r="AU490" s="94"/>
      <c r="AV490" s="962">
        <f t="shared" si="322"/>
        <v>0</v>
      </c>
      <c r="AW490" s="962">
        <f t="shared" si="323"/>
        <v>0</v>
      </c>
      <c r="AX490" s="96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16"/>
      <c r="C491" s="1317"/>
      <c r="D491" s="80"/>
      <c r="E491" s="87">
        <f t="shared" si="321"/>
        <v>0</v>
      </c>
      <c r="F491" s="88"/>
      <c r="G491" s="89">
        <f t="shared" si="296"/>
        <v>0</v>
      </c>
      <c r="H491" s="90">
        <f t="shared" si="297"/>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19"/>
      <c r="AG491" s="92"/>
      <c r="AH491" s="92"/>
      <c r="AI491" s="92"/>
      <c r="AJ491" s="92"/>
      <c r="AK491" s="92"/>
      <c r="AL491" s="92"/>
      <c r="AM491" s="92"/>
      <c r="AN491" s="92"/>
      <c r="AO491" s="92"/>
      <c r="AP491" s="92"/>
      <c r="AQ491" s="92"/>
      <c r="AR491" s="92"/>
      <c r="AS491" s="92"/>
      <c r="AT491" s="93"/>
      <c r="AU491" s="94"/>
      <c r="AV491" s="962">
        <f t="shared" si="322"/>
        <v>0</v>
      </c>
      <c r="AW491" s="962">
        <f t="shared" si="323"/>
        <v>0</v>
      </c>
      <c r="AX491" s="96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16"/>
      <c r="C492" s="1317"/>
      <c r="D492" s="80"/>
      <c r="E492" s="87">
        <f t="shared" si="321"/>
        <v>0</v>
      </c>
      <c r="F492" s="88"/>
      <c r="G492" s="89">
        <f t="shared" si="296"/>
        <v>0</v>
      </c>
      <c r="H492" s="90">
        <f t="shared" si="297"/>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19"/>
      <c r="AG492" s="92"/>
      <c r="AH492" s="92"/>
      <c r="AI492" s="92"/>
      <c r="AJ492" s="92"/>
      <c r="AK492" s="92"/>
      <c r="AL492" s="92"/>
      <c r="AM492" s="92"/>
      <c r="AN492" s="92"/>
      <c r="AO492" s="92"/>
      <c r="AP492" s="92"/>
      <c r="AQ492" s="92"/>
      <c r="AR492" s="92"/>
      <c r="AS492" s="92"/>
      <c r="AT492" s="93"/>
      <c r="AU492" s="94"/>
      <c r="AV492" s="962">
        <f t="shared" si="322"/>
        <v>0</v>
      </c>
      <c r="AW492" s="962">
        <f t="shared" si="323"/>
        <v>0</v>
      </c>
      <c r="AX492" s="96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16"/>
      <c r="C493" s="1317"/>
      <c r="D493" s="80"/>
      <c r="E493" s="87">
        <f t="shared" si="321"/>
        <v>0</v>
      </c>
      <c r="F493" s="88"/>
      <c r="G493" s="89">
        <f t="shared" si="296"/>
        <v>0</v>
      </c>
      <c r="H493" s="90">
        <f t="shared" si="297"/>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19"/>
      <c r="AG493" s="92"/>
      <c r="AH493" s="92"/>
      <c r="AI493" s="92"/>
      <c r="AJ493" s="92"/>
      <c r="AK493" s="92"/>
      <c r="AL493" s="92"/>
      <c r="AM493" s="92"/>
      <c r="AN493" s="92"/>
      <c r="AO493" s="92"/>
      <c r="AP493" s="92"/>
      <c r="AQ493" s="92"/>
      <c r="AR493" s="92"/>
      <c r="AS493" s="92"/>
      <c r="AT493" s="93"/>
      <c r="AU493" s="94"/>
      <c r="AV493" s="962">
        <f t="shared" si="322"/>
        <v>0</v>
      </c>
      <c r="AW493" s="962">
        <f t="shared" si="323"/>
        <v>0</v>
      </c>
      <c r="AX493" s="96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16"/>
      <c r="C494" s="1317"/>
      <c r="D494" s="80"/>
      <c r="E494" s="87">
        <f t="shared" si="321"/>
        <v>0</v>
      </c>
      <c r="F494" s="88"/>
      <c r="G494" s="89">
        <f t="shared" si="296"/>
        <v>0</v>
      </c>
      <c r="H494" s="90">
        <f t="shared" si="297"/>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19"/>
      <c r="AG494" s="92"/>
      <c r="AH494" s="92"/>
      <c r="AI494" s="92"/>
      <c r="AJ494" s="92"/>
      <c r="AK494" s="92"/>
      <c r="AL494" s="92"/>
      <c r="AM494" s="92"/>
      <c r="AN494" s="92"/>
      <c r="AO494" s="92"/>
      <c r="AP494" s="92"/>
      <c r="AQ494" s="92"/>
      <c r="AR494" s="92"/>
      <c r="AS494" s="92"/>
      <c r="AT494" s="93"/>
      <c r="AU494" s="94"/>
      <c r="AV494" s="962">
        <f t="shared" si="322"/>
        <v>0</v>
      </c>
      <c r="AW494" s="962">
        <f t="shared" si="323"/>
        <v>0</v>
      </c>
      <c r="AX494" s="96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16"/>
      <c r="C495" s="1317"/>
      <c r="D495" s="80"/>
      <c r="E495" s="87">
        <f t="shared" si="321"/>
        <v>0</v>
      </c>
      <c r="F495" s="88"/>
      <c r="G495" s="89">
        <f t="shared" si="296"/>
        <v>0</v>
      </c>
      <c r="H495" s="90">
        <f t="shared" si="297"/>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19"/>
      <c r="AG495" s="92"/>
      <c r="AH495" s="92"/>
      <c r="AI495" s="92"/>
      <c r="AJ495" s="92"/>
      <c r="AK495" s="92"/>
      <c r="AL495" s="92"/>
      <c r="AM495" s="92"/>
      <c r="AN495" s="92"/>
      <c r="AO495" s="92"/>
      <c r="AP495" s="92"/>
      <c r="AQ495" s="92"/>
      <c r="AR495" s="92"/>
      <c r="AS495" s="92"/>
      <c r="AT495" s="93"/>
      <c r="AU495" s="94"/>
      <c r="AV495" s="962">
        <f t="shared" si="322"/>
        <v>0</v>
      </c>
      <c r="AW495" s="962">
        <f t="shared" si="323"/>
        <v>0</v>
      </c>
      <c r="AX495" s="96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16"/>
      <c r="C496" s="1317"/>
      <c r="D496" s="80"/>
      <c r="E496" s="87">
        <f t="shared" si="321"/>
        <v>0</v>
      </c>
      <c r="F496" s="88"/>
      <c r="G496" s="89">
        <f t="shared" si="296"/>
        <v>0</v>
      </c>
      <c r="H496" s="90">
        <f t="shared" si="297"/>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19"/>
      <c r="AG496" s="92"/>
      <c r="AH496" s="92"/>
      <c r="AI496" s="92"/>
      <c r="AJ496" s="92"/>
      <c r="AK496" s="92"/>
      <c r="AL496" s="92"/>
      <c r="AM496" s="92"/>
      <c r="AN496" s="92"/>
      <c r="AO496" s="92"/>
      <c r="AP496" s="92"/>
      <c r="AQ496" s="92"/>
      <c r="AR496" s="92"/>
      <c r="AS496" s="92"/>
      <c r="AT496" s="93"/>
      <c r="AU496" s="94"/>
      <c r="AV496" s="962">
        <f t="shared" si="322"/>
        <v>0</v>
      </c>
      <c r="AW496" s="962">
        <f t="shared" si="323"/>
        <v>0</v>
      </c>
      <c r="AX496" s="96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16"/>
      <c r="C497" s="1317"/>
      <c r="D497" s="80"/>
      <c r="E497" s="87">
        <f t="shared" si="321"/>
        <v>0</v>
      </c>
      <c r="F497" s="88"/>
      <c r="G497" s="89">
        <f t="shared" si="296"/>
        <v>0</v>
      </c>
      <c r="H497" s="90">
        <f t="shared" si="297"/>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19"/>
      <c r="AG497" s="92"/>
      <c r="AH497" s="92"/>
      <c r="AI497" s="92"/>
      <c r="AJ497" s="92"/>
      <c r="AK497" s="92"/>
      <c r="AL497" s="92"/>
      <c r="AM497" s="92"/>
      <c r="AN497" s="92"/>
      <c r="AO497" s="92"/>
      <c r="AP497" s="92"/>
      <c r="AQ497" s="92"/>
      <c r="AR497" s="92"/>
      <c r="AS497" s="92"/>
      <c r="AT497" s="93"/>
      <c r="AU497" s="94"/>
      <c r="AV497" s="962">
        <f t="shared" si="322"/>
        <v>0</v>
      </c>
      <c r="AW497" s="962">
        <f t="shared" si="323"/>
        <v>0</v>
      </c>
      <c r="AX497" s="96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16"/>
      <c r="C498" s="1317"/>
      <c r="D498" s="80"/>
      <c r="E498" s="87">
        <f t="shared" si="321"/>
        <v>0</v>
      </c>
      <c r="F498" s="88"/>
      <c r="G498" s="89">
        <f t="shared" si="296"/>
        <v>0</v>
      </c>
      <c r="H498" s="90">
        <f t="shared" si="297"/>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19"/>
      <c r="AG498" s="92"/>
      <c r="AH498" s="92"/>
      <c r="AI498" s="92"/>
      <c r="AJ498" s="92"/>
      <c r="AK498" s="92"/>
      <c r="AL498" s="92"/>
      <c r="AM498" s="92"/>
      <c r="AN498" s="92"/>
      <c r="AO498" s="92"/>
      <c r="AP498" s="92"/>
      <c r="AQ498" s="92"/>
      <c r="AR498" s="92"/>
      <c r="AS498" s="92"/>
      <c r="AT498" s="93"/>
      <c r="AU498" s="94"/>
      <c r="AV498" s="962">
        <f t="shared" si="322"/>
        <v>0</v>
      </c>
      <c r="AW498" s="962">
        <f t="shared" si="323"/>
        <v>0</v>
      </c>
      <c r="AX498" s="96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16"/>
      <c r="C499" s="1317"/>
      <c r="D499" s="80"/>
      <c r="E499" s="87">
        <f t="shared" si="321"/>
        <v>0</v>
      </c>
      <c r="F499" s="88"/>
      <c r="G499" s="89">
        <f t="shared" si="296"/>
        <v>0</v>
      </c>
      <c r="H499" s="90">
        <f t="shared" si="297"/>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19"/>
      <c r="AG499" s="92"/>
      <c r="AH499" s="92"/>
      <c r="AI499" s="92"/>
      <c r="AJ499" s="92"/>
      <c r="AK499" s="92"/>
      <c r="AL499" s="92"/>
      <c r="AM499" s="92"/>
      <c r="AN499" s="92"/>
      <c r="AO499" s="92"/>
      <c r="AP499" s="92"/>
      <c r="AQ499" s="92"/>
      <c r="AR499" s="92"/>
      <c r="AS499" s="92"/>
      <c r="AT499" s="93"/>
      <c r="AU499" s="94"/>
      <c r="AV499" s="962">
        <f t="shared" si="322"/>
        <v>0</v>
      </c>
      <c r="AW499" s="962">
        <f t="shared" si="323"/>
        <v>0</v>
      </c>
      <c r="AX499" s="96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16"/>
      <c r="C500" s="1317"/>
      <c r="D500" s="80"/>
      <c r="E500" s="87">
        <f t="shared" si="321"/>
        <v>0</v>
      </c>
      <c r="F500" s="88"/>
      <c r="G500" s="89">
        <f t="shared" si="296"/>
        <v>0</v>
      </c>
      <c r="H500" s="90">
        <f t="shared" si="297"/>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19"/>
      <c r="AG500" s="92"/>
      <c r="AH500" s="92"/>
      <c r="AI500" s="92"/>
      <c r="AJ500" s="92"/>
      <c r="AK500" s="92"/>
      <c r="AL500" s="92"/>
      <c r="AM500" s="92"/>
      <c r="AN500" s="92"/>
      <c r="AO500" s="92"/>
      <c r="AP500" s="92"/>
      <c r="AQ500" s="92"/>
      <c r="AR500" s="92"/>
      <c r="AS500" s="92"/>
      <c r="AT500" s="93"/>
      <c r="AU500" s="94"/>
      <c r="AV500" s="962">
        <f t="shared" si="322"/>
        <v>0</v>
      </c>
      <c r="AW500" s="962">
        <f t="shared" si="323"/>
        <v>0</v>
      </c>
      <c r="AX500" s="96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16"/>
      <c r="C501" s="1317"/>
      <c r="D501" s="80"/>
      <c r="E501" s="87">
        <f t="shared" si="321"/>
        <v>0</v>
      </c>
      <c r="F501" s="88"/>
      <c r="G501" s="89">
        <f t="shared" si="296"/>
        <v>0</v>
      </c>
      <c r="H501" s="90">
        <f t="shared" si="297"/>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19"/>
      <c r="AG501" s="92"/>
      <c r="AH501" s="92"/>
      <c r="AI501" s="92"/>
      <c r="AJ501" s="92"/>
      <c r="AK501" s="92"/>
      <c r="AL501" s="92"/>
      <c r="AM501" s="92"/>
      <c r="AN501" s="92"/>
      <c r="AO501" s="92"/>
      <c r="AP501" s="92"/>
      <c r="AQ501" s="92"/>
      <c r="AR501" s="92"/>
      <c r="AS501" s="92"/>
      <c r="AT501" s="93"/>
      <c r="AU501" s="94"/>
      <c r="AV501" s="962">
        <f t="shared" si="322"/>
        <v>0</v>
      </c>
      <c r="AW501" s="962">
        <f t="shared" si="323"/>
        <v>0</v>
      </c>
      <c r="AX501" s="96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16"/>
      <c r="C502" s="1317"/>
      <c r="D502" s="80"/>
      <c r="E502" s="87">
        <f t="shared" si="321"/>
        <v>0</v>
      </c>
      <c r="F502" s="88"/>
      <c r="G502" s="89">
        <f t="shared" si="296"/>
        <v>0</v>
      </c>
      <c r="H502" s="90">
        <f t="shared" si="297"/>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19"/>
      <c r="AG502" s="92"/>
      <c r="AH502" s="92"/>
      <c r="AI502" s="92"/>
      <c r="AJ502" s="92"/>
      <c r="AK502" s="92"/>
      <c r="AL502" s="92"/>
      <c r="AM502" s="92"/>
      <c r="AN502" s="92"/>
      <c r="AO502" s="92"/>
      <c r="AP502" s="92"/>
      <c r="AQ502" s="92"/>
      <c r="AR502" s="92"/>
      <c r="AS502" s="92"/>
      <c r="AT502" s="93"/>
      <c r="AU502" s="94"/>
      <c r="AV502" s="962">
        <f t="shared" si="322"/>
        <v>0</v>
      </c>
      <c r="AW502" s="962">
        <f t="shared" si="323"/>
        <v>0</v>
      </c>
      <c r="AX502" s="96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16"/>
      <c r="C503" s="1317"/>
      <c r="D503" s="80"/>
      <c r="E503" s="87">
        <f t="shared" si="321"/>
        <v>0</v>
      </c>
      <c r="F503" s="88"/>
      <c r="G503" s="89">
        <f t="shared" si="296"/>
        <v>0</v>
      </c>
      <c r="H503" s="90">
        <f t="shared" si="297"/>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19"/>
      <c r="AG503" s="92"/>
      <c r="AH503" s="92"/>
      <c r="AI503" s="92"/>
      <c r="AJ503" s="92"/>
      <c r="AK503" s="92"/>
      <c r="AL503" s="92"/>
      <c r="AM503" s="92"/>
      <c r="AN503" s="92"/>
      <c r="AO503" s="92"/>
      <c r="AP503" s="92"/>
      <c r="AQ503" s="92"/>
      <c r="AR503" s="92"/>
      <c r="AS503" s="92"/>
      <c r="AT503" s="93"/>
      <c r="AU503" s="94"/>
      <c r="AV503" s="962">
        <f t="shared" si="322"/>
        <v>0</v>
      </c>
      <c r="AW503" s="962">
        <f t="shared" si="323"/>
        <v>0</v>
      </c>
      <c r="AX503" s="96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16"/>
      <c r="C504" s="1317"/>
      <c r="D504" s="80"/>
      <c r="E504" s="87">
        <f t="shared" si="321"/>
        <v>0</v>
      </c>
      <c r="F504" s="88"/>
      <c r="G504" s="89">
        <f t="shared" si="296"/>
        <v>0</v>
      </c>
      <c r="H504" s="90">
        <f t="shared" si="297"/>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19"/>
      <c r="AG504" s="92"/>
      <c r="AH504" s="92"/>
      <c r="AI504" s="92"/>
      <c r="AJ504" s="92"/>
      <c r="AK504" s="92"/>
      <c r="AL504" s="92"/>
      <c r="AM504" s="92"/>
      <c r="AN504" s="92"/>
      <c r="AO504" s="92"/>
      <c r="AP504" s="92"/>
      <c r="AQ504" s="92"/>
      <c r="AR504" s="92"/>
      <c r="AS504" s="92"/>
      <c r="AT504" s="93"/>
      <c r="AU504" s="94"/>
      <c r="AV504" s="962">
        <f t="shared" si="322"/>
        <v>0</v>
      </c>
      <c r="AW504" s="962">
        <f t="shared" si="323"/>
        <v>0</v>
      </c>
      <c r="AX504" s="96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16"/>
      <c r="C505" s="1317"/>
      <c r="D505" s="80"/>
      <c r="E505" s="87">
        <f t="shared" ref="E505:E536" si="325">IF($C$3="是",ROUND($A$3*G505/$B$3,2),ROUND($A$3*(G505-AT505)/$B$3,2))</f>
        <v>0</v>
      </c>
      <c r="F505" s="88"/>
      <c r="G505" s="89">
        <f t="shared" si="296"/>
        <v>0</v>
      </c>
      <c r="H505" s="90">
        <f t="shared" si="297"/>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19"/>
      <c r="AG505" s="92"/>
      <c r="AH505" s="92"/>
      <c r="AI505" s="92"/>
      <c r="AJ505" s="92"/>
      <c r="AK505" s="92"/>
      <c r="AL505" s="92"/>
      <c r="AM505" s="92"/>
      <c r="AN505" s="92"/>
      <c r="AO505" s="92"/>
      <c r="AP505" s="92"/>
      <c r="AQ505" s="92"/>
      <c r="AR505" s="92"/>
      <c r="AS505" s="92"/>
      <c r="AT505" s="93"/>
      <c r="AU505" s="94"/>
      <c r="AV505" s="962">
        <f t="shared" si="322"/>
        <v>0</v>
      </c>
      <c r="AW505" s="962">
        <f t="shared" si="323"/>
        <v>0</v>
      </c>
      <c r="AX505" s="96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16"/>
      <c r="C506" s="1317"/>
      <c r="D506" s="80"/>
      <c r="E506" s="87">
        <f t="shared" si="325"/>
        <v>0</v>
      </c>
      <c r="F506" s="88"/>
      <c r="G506" s="89">
        <f t="shared" si="296"/>
        <v>0</v>
      </c>
      <c r="H506" s="90">
        <f t="shared" si="297"/>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6">A506</f>
        <v>0</v>
      </c>
      <c r="AW506" s="962">
        <f t="shared" ref="AW506:AW537" si="327">B506</f>
        <v>0</v>
      </c>
      <c r="AX506" s="96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16"/>
      <c r="C507" s="1317"/>
      <c r="D507" s="80"/>
      <c r="E507" s="87">
        <f t="shared" si="325"/>
        <v>0</v>
      </c>
      <c r="F507" s="88"/>
      <c r="G507" s="89">
        <f t="shared" si="296"/>
        <v>0</v>
      </c>
      <c r="H507" s="90">
        <f t="shared" si="297"/>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17"/>
      <c r="AG507" s="92"/>
      <c r="AH507" s="92"/>
      <c r="AI507" s="92"/>
      <c r="AJ507" s="92"/>
      <c r="AK507" s="92"/>
      <c r="AL507" s="92"/>
      <c r="AM507" s="92"/>
      <c r="AN507" s="92"/>
      <c r="AO507" s="92"/>
      <c r="AP507" s="92"/>
      <c r="AQ507" s="92"/>
      <c r="AR507" s="92"/>
      <c r="AS507" s="92"/>
      <c r="AT507" s="93"/>
      <c r="AU507" s="94"/>
      <c r="AV507" s="962">
        <f t="shared" si="326"/>
        <v>0</v>
      </c>
      <c r="AW507" s="962">
        <f t="shared" si="327"/>
        <v>0</v>
      </c>
      <c r="AX507" s="96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16"/>
      <c r="C508" s="1317"/>
      <c r="D508" s="80"/>
      <c r="E508" s="87">
        <f t="shared" si="325"/>
        <v>0</v>
      </c>
      <c r="F508" s="88"/>
      <c r="G508" s="89">
        <f t="shared" si="296"/>
        <v>0</v>
      </c>
      <c r="H508" s="90">
        <f t="shared" si="297"/>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17"/>
      <c r="AG508" s="92"/>
      <c r="AH508" s="92"/>
      <c r="AI508" s="92"/>
      <c r="AJ508" s="92"/>
      <c r="AK508" s="92"/>
      <c r="AL508" s="92"/>
      <c r="AM508" s="92"/>
      <c r="AN508" s="92"/>
      <c r="AO508" s="92"/>
      <c r="AP508" s="92"/>
      <c r="AQ508" s="92"/>
      <c r="AR508" s="92"/>
      <c r="AS508" s="92"/>
      <c r="AT508" s="93"/>
      <c r="AU508" s="94"/>
      <c r="AV508" s="962">
        <f t="shared" si="326"/>
        <v>0</v>
      </c>
      <c r="AW508" s="962">
        <f t="shared" si="327"/>
        <v>0</v>
      </c>
      <c r="AX508" s="96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16"/>
      <c r="C509" s="1317"/>
      <c r="D509" s="80"/>
      <c r="E509" s="87">
        <f t="shared" si="325"/>
        <v>0</v>
      </c>
      <c r="F509" s="88"/>
      <c r="G509" s="89">
        <f t="shared" si="296"/>
        <v>0</v>
      </c>
      <c r="H509" s="90">
        <f t="shared" si="297"/>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17"/>
      <c r="AG509" s="92"/>
      <c r="AH509" s="92"/>
      <c r="AI509" s="92"/>
      <c r="AJ509" s="92"/>
      <c r="AK509" s="92"/>
      <c r="AL509" s="92"/>
      <c r="AM509" s="92"/>
      <c r="AN509" s="92"/>
      <c r="AO509" s="92"/>
      <c r="AP509" s="92"/>
      <c r="AQ509" s="92"/>
      <c r="AR509" s="92"/>
      <c r="AS509" s="92"/>
      <c r="AT509" s="93"/>
      <c r="AU509" s="94"/>
      <c r="AV509" s="962">
        <f t="shared" si="326"/>
        <v>0</v>
      </c>
      <c r="AW509" s="962">
        <f t="shared" si="327"/>
        <v>0</v>
      </c>
      <c r="AX509" s="96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16"/>
      <c r="C510" s="1317"/>
      <c r="D510" s="80"/>
      <c r="E510" s="87">
        <f t="shared" si="325"/>
        <v>0</v>
      </c>
      <c r="F510" s="88"/>
      <c r="G510" s="89">
        <f t="shared" ref="G510:G537" si="329">H510+AC510+AT510</f>
        <v>0</v>
      </c>
      <c r="H510" s="90">
        <f t="shared" ref="H510:H537" si="330">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6"/>
        <v>0</v>
      </c>
      <c r="AW510" s="962">
        <f t="shared" si="327"/>
        <v>0</v>
      </c>
      <c r="AX510" s="96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16"/>
      <c r="C511" s="1317"/>
      <c r="D511" s="80"/>
      <c r="E511" s="87">
        <f t="shared" si="325"/>
        <v>0</v>
      </c>
      <c r="F511" s="88"/>
      <c r="G511" s="89">
        <f t="shared" si="329"/>
        <v>0</v>
      </c>
      <c r="H511" s="90">
        <f t="shared" si="330"/>
        <v>0</v>
      </c>
      <c r="I511" s="1317"/>
      <c r="J511" s="91"/>
      <c r="K511" s="1317"/>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17"/>
      <c r="AG511" s="92"/>
      <c r="AH511" s="92"/>
      <c r="AI511" s="92"/>
      <c r="AJ511" s="92"/>
      <c r="AK511" s="92"/>
      <c r="AL511" s="92"/>
      <c r="AM511" s="92"/>
      <c r="AN511" s="92"/>
      <c r="AO511" s="92"/>
      <c r="AP511" s="92"/>
      <c r="AQ511" s="92"/>
      <c r="AR511" s="92"/>
      <c r="AS511" s="92"/>
      <c r="AT511" s="93"/>
      <c r="AU511" s="94"/>
      <c r="AV511" s="962">
        <f t="shared" si="326"/>
        <v>0</v>
      </c>
      <c r="AW511" s="962">
        <f t="shared" si="327"/>
        <v>0</v>
      </c>
      <c r="AX511" s="96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16"/>
      <c r="C512" s="1317"/>
      <c r="D512" s="80"/>
      <c r="E512" s="87">
        <f t="shared" si="325"/>
        <v>0</v>
      </c>
      <c r="F512" s="88"/>
      <c r="G512" s="89">
        <f t="shared" si="329"/>
        <v>0</v>
      </c>
      <c r="H512" s="90">
        <f t="shared" si="330"/>
        <v>0</v>
      </c>
      <c r="I512" s="1317"/>
      <c r="J512" s="91"/>
      <c r="K512" s="1317"/>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17"/>
      <c r="AG512" s="92"/>
      <c r="AH512" s="92"/>
      <c r="AI512" s="92"/>
      <c r="AJ512" s="92"/>
      <c r="AK512" s="92"/>
      <c r="AL512" s="92"/>
      <c r="AM512" s="92"/>
      <c r="AN512" s="92"/>
      <c r="AO512" s="92"/>
      <c r="AP512" s="92"/>
      <c r="AQ512" s="92"/>
      <c r="AR512" s="92"/>
      <c r="AS512" s="92"/>
      <c r="AT512" s="93"/>
      <c r="AU512" s="94"/>
      <c r="AV512" s="962">
        <f t="shared" si="326"/>
        <v>0</v>
      </c>
      <c r="AW512" s="962">
        <f t="shared" si="327"/>
        <v>0</v>
      </c>
      <c r="AX512" s="96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16"/>
      <c r="C513" s="1317"/>
      <c r="D513" s="80"/>
      <c r="E513" s="87">
        <f t="shared" si="325"/>
        <v>0</v>
      </c>
      <c r="F513" s="88"/>
      <c r="G513" s="89">
        <f t="shared" si="329"/>
        <v>0</v>
      </c>
      <c r="H513" s="90">
        <f t="shared" si="330"/>
        <v>0</v>
      </c>
      <c r="I513" s="1317"/>
      <c r="J513" s="91"/>
      <c r="K513" s="1317"/>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17"/>
      <c r="AG513" s="92"/>
      <c r="AH513" s="92"/>
      <c r="AI513" s="92"/>
      <c r="AJ513" s="92"/>
      <c r="AK513" s="92"/>
      <c r="AL513" s="92"/>
      <c r="AM513" s="92"/>
      <c r="AN513" s="92"/>
      <c r="AO513" s="92"/>
      <c r="AP513" s="92"/>
      <c r="AQ513" s="92"/>
      <c r="AR513" s="92"/>
      <c r="AS513" s="92"/>
      <c r="AT513" s="93"/>
      <c r="AU513" s="94"/>
      <c r="AV513" s="962">
        <f t="shared" si="326"/>
        <v>0</v>
      </c>
      <c r="AW513" s="962">
        <f t="shared" si="327"/>
        <v>0</v>
      </c>
      <c r="AX513" s="96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16"/>
      <c r="C514" s="1317"/>
      <c r="D514" s="80"/>
      <c r="E514" s="87">
        <f t="shared" si="325"/>
        <v>0</v>
      </c>
      <c r="F514" s="88"/>
      <c r="G514" s="89">
        <f t="shared" si="329"/>
        <v>0</v>
      </c>
      <c r="H514" s="90">
        <f t="shared" si="330"/>
        <v>0</v>
      </c>
      <c r="I514" s="1317"/>
      <c r="J514" s="91"/>
      <c r="K514" s="1317"/>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17"/>
      <c r="AG514" s="92"/>
      <c r="AH514" s="92"/>
      <c r="AI514" s="92"/>
      <c r="AJ514" s="92"/>
      <c r="AK514" s="92"/>
      <c r="AL514" s="92"/>
      <c r="AM514" s="92"/>
      <c r="AN514" s="92"/>
      <c r="AO514" s="92"/>
      <c r="AP514" s="92"/>
      <c r="AQ514" s="92"/>
      <c r="AR514" s="92"/>
      <c r="AS514" s="92"/>
      <c r="AT514" s="93"/>
      <c r="AU514" s="94"/>
      <c r="AV514" s="962">
        <f t="shared" si="326"/>
        <v>0</v>
      </c>
      <c r="AW514" s="962">
        <f t="shared" si="327"/>
        <v>0</v>
      </c>
      <c r="AX514" s="96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18"/>
      <c r="C515" s="1319"/>
      <c r="D515" s="80"/>
      <c r="E515" s="87">
        <f t="shared" si="325"/>
        <v>0</v>
      </c>
      <c r="F515" s="88"/>
      <c r="G515" s="89">
        <f t="shared" si="329"/>
        <v>0</v>
      </c>
      <c r="H515" s="90">
        <f t="shared" si="330"/>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31"/>
        <v>0</v>
      </c>
      <c r="AD515" s="92"/>
      <c r="AE515" s="92"/>
      <c r="AF515" s="1317"/>
      <c r="AG515" s="92"/>
      <c r="AH515" s="92"/>
      <c r="AI515" s="92"/>
      <c r="AJ515" s="92"/>
      <c r="AK515" s="92"/>
      <c r="AL515" s="92"/>
      <c r="AM515" s="92"/>
      <c r="AN515" s="92"/>
      <c r="AO515" s="92"/>
      <c r="AP515" s="92"/>
      <c r="AQ515" s="92"/>
      <c r="AR515" s="92"/>
      <c r="AS515" s="92"/>
      <c r="AT515" s="93"/>
      <c r="AU515" s="94"/>
      <c r="AV515" s="962">
        <f t="shared" si="326"/>
        <v>0</v>
      </c>
      <c r="AW515" s="962">
        <f t="shared" si="327"/>
        <v>0</v>
      </c>
      <c r="AX515" s="96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62">
        <f t="shared" si="326"/>
        <v>0</v>
      </c>
      <c r="AW516" s="962">
        <f t="shared" si="327"/>
        <v>0</v>
      </c>
      <c r="AX516" s="96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62">
        <f t="shared" si="326"/>
        <v>0</v>
      </c>
      <c r="AW517" s="962">
        <f t="shared" si="327"/>
        <v>0</v>
      </c>
      <c r="AX517" s="96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62">
        <f t="shared" si="326"/>
        <v>0</v>
      </c>
      <c r="AW518" s="962">
        <f t="shared" si="327"/>
        <v>0</v>
      </c>
      <c r="AX518" s="96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62">
        <f t="shared" si="326"/>
        <v>0</v>
      </c>
      <c r="AW519" s="962">
        <f t="shared" si="327"/>
        <v>0</v>
      </c>
      <c r="AX519" s="96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62">
        <f t="shared" si="326"/>
        <v>0</v>
      </c>
      <c r="AW520" s="962">
        <f t="shared" si="327"/>
        <v>0</v>
      </c>
      <c r="AX520" s="96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62">
        <f t="shared" si="326"/>
        <v>0</v>
      </c>
      <c r="AW521" s="962">
        <f t="shared" si="327"/>
        <v>0</v>
      </c>
      <c r="AX521" s="96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62">
        <f t="shared" si="326"/>
        <v>0</v>
      </c>
      <c r="AW522" s="962">
        <f t="shared" si="327"/>
        <v>0</v>
      </c>
      <c r="AX522" s="96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62">
        <f t="shared" si="326"/>
        <v>0</v>
      </c>
      <c r="AW523" s="962">
        <f t="shared" si="327"/>
        <v>0</v>
      </c>
      <c r="AX523" s="96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62">
        <f t="shared" si="326"/>
        <v>0</v>
      </c>
      <c r="AW524" s="962">
        <f t="shared" si="327"/>
        <v>0</v>
      </c>
      <c r="AX524" s="96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62">
        <f t="shared" si="326"/>
        <v>0</v>
      </c>
      <c r="AW525" s="962">
        <f t="shared" si="327"/>
        <v>0</v>
      </c>
      <c r="AX525" s="96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62">
        <f t="shared" si="326"/>
        <v>0</v>
      </c>
      <c r="AW526" s="962">
        <f t="shared" si="327"/>
        <v>0</v>
      </c>
      <c r="AX526" s="96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62">
        <f t="shared" si="326"/>
        <v>0</v>
      </c>
      <c r="AW527" s="962">
        <f t="shared" si="327"/>
        <v>0</v>
      </c>
      <c r="AX527" s="96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62">
        <f t="shared" si="326"/>
        <v>0</v>
      </c>
      <c r="AW528" s="962">
        <f t="shared" si="327"/>
        <v>0</v>
      </c>
      <c r="AX528" s="96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62">
        <f t="shared" si="326"/>
        <v>0</v>
      </c>
      <c r="AW529" s="962">
        <f t="shared" si="327"/>
        <v>0</v>
      </c>
      <c r="AX529" s="96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62">
        <f t="shared" si="326"/>
        <v>0</v>
      </c>
      <c r="AW530" s="962">
        <f t="shared" si="327"/>
        <v>0</v>
      </c>
      <c r="AX530" s="96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62">
        <f t="shared" si="326"/>
        <v>0</v>
      </c>
      <c r="AW531" s="962">
        <f t="shared" si="327"/>
        <v>0</v>
      </c>
      <c r="AX531" s="96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62">
        <f t="shared" si="326"/>
        <v>0</v>
      </c>
      <c r="AW532" s="962">
        <f t="shared" si="327"/>
        <v>0</v>
      </c>
      <c r="AX532" s="96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62">
        <f t="shared" si="326"/>
        <v>0</v>
      </c>
      <c r="AW533" s="962">
        <f t="shared" si="327"/>
        <v>0</v>
      </c>
      <c r="AX533" s="96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62">
        <f t="shared" si="326"/>
        <v>0</v>
      </c>
      <c r="AW534" s="962">
        <f t="shared" si="327"/>
        <v>0</v>
      </c>
      <c r="AX534" s="96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62">
        <f t="shared" si="326"/>
        <v>0</v>
      </c>
      <c r="AW535" s="962">
        <f t="shared" si="327"/>
        <v>0</v>
      </c>
      <c r="AX535" s="96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62">
        <f t="shared" si="326"/>
        <v>0</v>
      </c>
      <c r="AW536" s="962">
        <f t="shared" si="327"/>
        <v>0</v>
      </c>
      <c r="AX536" s="96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62">
        <f t="shared" si="326"/>
        <v>0</v>
      </c>
      <c r="AW537" s="962">
        <f t="shared" si="327"/>
        <v>0</v>
      </c>
      <c r="AX537" s="96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8">A538</f>
        <v>0</v>
      </c>
      <c r="AW538" s="962">
        <f t="shared" ref="AW538:AW572" si="359">B538</f>
        <v>0</v>
      </c>
      <c r="AX538" s="96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62">
        <f t="shared" si="358"/>
        <v>0</v>
      </c>
      <c r="AW539" s="962">
        <f t="shared" si="359"/>
        <v>0</v>
      </c>
      <c r="AX539" s="96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62">
        <f t="shared" si="358"/>
        <v>0</v>
      </c>
      <c r="AW540" s="962">
        <f t="shared" si="359"/>
        <v>0</v>
      </c>
      <c r="AX540" s="96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62">
        <f t="shared" si="358"/>
        <v>0</v>
      </c>
      <c r="AW541" s="962">
        <f t="shared" si="359"/>
        <v>0</v>
      </c>
      <c r="AX541" s="96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62">
        <f t="shared" si="358"/>
        <v>0</v>
      </c>
      <c r="AW542" s="962">
        <f t="shared" si="359"/>
        <v>0</v>
      </c>
      <c r="AX542" s="96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62">
        <f t="shared" si="358"/>
        <v>0</v>
      </c>
      <c r="AW543" s="962">
        <f t="shared" si="359"/>
        <v>0</v>
      </c>
      <c r="AX543" s="96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62">
        <f t="shared" si="358"/>
        <v>0</v>
      </c>
      <c r="AW544" s="962">
        <f t="shared" si="359"/>
        <v>0</v>
      </c>
      <c r="AX544" s="96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62">
        <f t="shared" si="358"/>
        <v>0</v>
      </c>
      <c r="AW545" s="962">
        <f t="shared" si="359"/>
        <v>0</v>
      </c>
      <c r="AX545" s="96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62">
        <f t="shared" si="358"/>
        <v>0</v>
      </c>
      <c r="AW546" s="962">
        <f t="shared" si="359"/>
        <v>0</v>
      </c>
      <c r="AX546" s="96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62">
        <f t="shared" si="358"/>
        <v>0</v>
      </c>
      <c r="AW547" s="962">
        <f t="shared" si="359"/>
        <v>0</v>
      </c>
      <c r="AX547" s="96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62">
        <f t="shared" si="358"/>
        <v>0</v>
      </c>
      <c r="AW548" s="962">
        <f t="shared" si="359"/>
        <v>0</v>
      </c>
      <c r="AX548" s="96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62">
        <f t="shared" si="358"/>
        <v>0</v>
      </c>
      <c r="AW549" s="962">
        <f t="shared" si="359"/>
        <v>0</v>
      </c>
      <c r="AX549" s="96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62">
        <f t="shared" si="358"/>
        <v>0</v>
      </c>
      <c r="AW550" s="962">
        <f t="shared" si="359"/>
        <v>0</v>
      </c>
      <c r="AX550" s="96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62">
        <f t="shared" si="358"/>
        <v>0</v>
      </c>
      <c r="AW551" s="962">
        <f t="shared" si="359"/>
        <v>0</v>
      </c>
      <c r="AX551" s="96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62">
        <f t="shared" si="358"/>
        <v>0</v>
      </c>
      <c r="AW552" s="962">
        <f t="shared" si="359"/>
        <v>0</v>
      </c>
      <c r="AX552" s="96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62">
        <f t="shared" si="358"/>
        <v>0</v>
      </c>
      <c r="AW553" s="962">
        <f t="shared" si="359"/>
        <v>0</v>
      </c>
      <c r="AX553" s="96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62">
        <f t="shared" si="358"/>
        <v>0</v>
      </c>
      <c r="AW554" s="962">
        <f t="shared" si="359"/>
        <v>0</v>
      </c>
      <c r="AX554" s="96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62">
        <f t="shared" si="358"/>
        <v>0</v>
      </c>
      <c r="AW555" s="962">
        <f t="shared" si="359"/>
        <v>0</v>
      </c>
      <c r="AX555" s="96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62">
        <f t="shared" si="358"/>
        <v>0</v>
      </c>
      <c r="AW556" s="962">
        <f t="shared" si="359"/>
        <v>0</v>
      </c>
      <c r="AX556" s="96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62">
        <f t="shared" si="358"/>
        <v>0</v>
      </c>
      <c r="AW557" s="962">
        <f t="shared" si="359"/>
        <v>0</v>
      </c>
      <c r="AX557" s="96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62">
        <f t="shared" si="358"/>
        <v>0</v>
      </c>
      <c r="AW558" s="962">
        <f t="shared" si="359"/>
        <v>0</v>
      </c>
      <c r="AX558" s="96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62">
        <f t="shared" si="358"/>
        <v>0</v>
      </c>
      <c r="AW559" s="962">
        <f t="shared" si="359"/>
        <v>0</v>
      </c>
      <c r="AX559" s="96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62">
        <f t="shared" si="358"/>
        <v>0</v>
      </c>
      <c r="AW560" s="962">
        <f t="shared" si="359"/>
        <v>0</v>
      </c>
      <c r="AX560" s="96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62">
        <f t="shared" si="358"/>
        <v>0</v>
      </c>
      <c r="AW561" s="962">
        <f t="shared" si="359"/>
        <v>0</v>
      </c>
      <c r="AX561" s="96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62">
        <f t="shared" si="358"/>
        <v>0</v>
      </c>
      <c r="AW562" s="962">
        <f t="shared" si="359"/>
        <v>0</v>
      </c>
      <c r="AX562" s="96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62">
        <f t="shared" si="358"/>
        <v>0</v>
      </c>
      <c r="AW563" s="962">
        <f t="shared" si="359"/>
        <v>0</v>
      </c>
      <c r="AX563" s="96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62">
        <f t="shared" si="358"/>
        <v>0</v>
      </c>
      <c r="AW564" s="962">
        <f t="shared" si="359"/>
        <v>0</v>
      </c>
      <c r="AX564" s="96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62">
        <f t="shared" si="358"/>
        <v>0</v>
      </c>
      <c r="AW565" s="962">
        <f t="shared" si="359"/>
        <v>0</v>
      </c>
      <c r="AX565" s="96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62">
        <f t="shared" si="358"/>
        <v>0</v>
      </c>
      <c r="AW566" s="962">
        <f t="shared" si="359"/>
        <v>0</v>
      </c>
      <c r="AX566" s="96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62">
        <f t="shared" si="358"/>
        <v>0</v>
      </c>
      <c r="AW567" s="962">
        <f t="shared" si="359"/>
        <v>0</v>
      </c>
      <c r="AX567" s="96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62">
        <f t="shared" si="358"/>
        <v>0</v>
      </c>
      <c r="AW568" s="962">
        <f t="shared" si="359"/>
        <v>0</v>
      </c>
      <c r="AX568" s="96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62">
        <f t="shared" si="358"/>
        <v>0</v>
      </c>
      <c r="AW569" s="962">
        <f t="shared" si="359"/>
        <v>0</v>
      </c>
      <c r="AX569" s="96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8"/>
        <v>0</v>
      </c>
      <c r="AW570" s="962">
        <f t="shared" si="359"/>
        <v>0</v>
      </c>
      <c r="AX570" s="96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8"/>
        <v>0</v>
      </c>
      <c r="AW571" s="962">
        <f t="shared" si="359"/>
        <v>0</v>
      </c>
      <c r="AX571" s="96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8"/>
        <v>0</v>
      </c>
      <c r="AW572" s="962">
        <f t="shared" si="359"/>
        <v>0</v>
      </c>
      <c r="AX572" s="96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620" t="s">
        <v>0</v>
      </c>
      <c r="B1" s="3620" t="s">
        <v>4</v>
      </c>
      <c r="C1" s="3620" t="s">
        <v>5</v>
      </c>
      <c r="D1" s="3621" t="s">
        <v>40</v>
      </c>
      <c r="E1" s="3621" t="s">
        <v>41</v>
      </c>
      <c r="F1" s="3621"/>
      <c r="G1" s="3621"/>
      <c r="H1" s="3621"/>
      <c r="I1" s="3621"/>
      <c r="J1" s="3621"/>
      <c r="K1" s="3621"/>
      <c r="L1" s="3621"/>
      <c r="M1" s="3621"/>
    </row>
    <row r="2" spans="1:13" ht="27" customHeight="1">
      <c r="A2" s="3620"/>
      <c r="B2" s="3620"/>
      <c r="C2" s="3620"/>
      <c r="D2" s="3621"/>
      <c r="E2" s="3621" t="s">
        <v>24</v>
      </c>
      <c r="F2" s="3621" t="s">
        <v>25</v>
      </c>
      <c r="G2" s="3621"/>
      <c r="H2" s="3621"/>
      <c r="I2" s="3621"/>
      <c r="J2" s="3621" t="s">
        <v>26</v>
      </c>
      <c r="K2" s="3621"/>
      <c r="L2" s="3621"/>
      <c r="M2" s="3621"/>
    </row>
    <row r="3" spans="1:13" ht="28.5">
      <c r="A3" s="3620"/>
      <c r="B3" s="3620"/>
      <c r="C3" s="3620"/>
      <c r="D3" s="3621"/>
      <c r="E3" s="36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1" t="s">
        <v>42</v>
      </c>
      <c r="B9" s="3621"/>
      <c r="C9" s="36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5" defaultRowHeight="14.25"/>
  <cols>
    <col min="1" max="1" width="8.25" style="1869" customWidth="1"/>
    <col min="2" max="2" width="10.25" style="1869" customWidth="1"/>
    <col min="3" max="3" width="18.375" style="1869" customWidth="1"/>
    <col min="4" max="4" width="11.125" style="1869" customWidth="1"/>
    <col min="5" max="5" width="13.375" style="1869" customWidth="1"/>
    <col min="6" max="8" width="11.37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201</v>
      </c>
      <c r="B1" s="1868"/>
      <c r="C1" s="1868"/>
      <c r="D1" s="1868"/>
      <c r="E1" s="1868"/>
      <c r="F1" s="1868"/>
      <c r="G1" s="1868"/>
      <c r="H1" s="1868"/>
      <c r="I1" s="1868"/>
      <c r="J1" s="1868"/>
      <c r="K1" s="1868"/>
      <c r="L1" s="1868"/>
      <c r="M1" s="1868"/>
      <c r="N1" s="1868"/>
      <c r="O1" s="1868"/>
      <c r="P1" s="1868"/>
    </row>
    <row r="2" spans="1:16" ht="15">
      <c r="A2" s="3631" t="s">
        <v>202</v>
      </c>
      <c r="B2" s="3631"/>
      <c r="C2" s="3631"/>
      <c r="D2" s="1859" t="s">
        <v>203</v>
      </c>
      <c r="E2" s="106" t="s">
        <v>204</v>
      </c>
      <c r="F2" s="3045"/>
      <c r="G2" s="1163"/>
      <c r="H2" s="1164"/>
      <c r="I2" s="1165" t="s">
        <v>832</v>
      </c>
      <c r="J2" s="3045"/>
      <c r="K2" s="3045"/>
      <c r="L2" s="3045"/>
      <c r="M2" s="3045"/>
      <c r="N2" s="3045"/>
      <c r="O2" s="3045"/>
      <c r="P2" s="3045"/>
    </row>
    <row r="3" spans="1:16" ht="15.75" thickBot="1">
      <c r="A3" s="3632" t="s">
        <v>205</v>
      </c>
      <c r="B3" s="3632"/>
      <c r="C3" s="3632"/>
      <c r="D3" s="107">
        <f>'数据-基础表'!AY6</f>
        <v>155413.54999999999</v>
      </c>
      <c r="E3" s="107">
        <f>'数据-基础表'!AZ5</f>
        <v>155413.54999999999</v>
      </c>
      <c r="F3" s="3045"/>
      <c r="G3" s="278" t="s">
        <v>833</v>
      </c>
      <c r="H3" s="273" t="s">
        <v>834</v>
      </c>
      <c r="I3" s="1860">
        <f>ROUND('数据-基础表'!B3/'数据-基础表'!A3,2)</f>
        <v>1</v>
      </c>
      <c r="J3" s="3045"/>
      <c r="K3" s="3045"/>
      <c r="L3" s="3045"/>
      <c r="M3" s="3045"/>
      <c r="N3" s="3045"/>
      <c r="O3" s="3045"/>
      <c r="P3" s="3045"/>
    </row>
    <row r="4" spans="1:16" ht="15">
      <c r="A4" s="3633"/>
      <c r="B4" s="3634"/>
      <c r="C4" s="3635"/>
      <c r="D4" s="108" t="s">
        <v>203</v>
      </c>
      <c r="E4" s="109" t="s">
        <v>204</v>
      </c>
      <c r="F4" s="3045"/>
      <c r="G4" s="1166"/>
      <c r="H4" s="273" t="s">
        <v>835</v>
      </c>
      <c r="I4" s="1860">
        <f>ROUND(SUMIF('数据-基础表'!I9:AS9,"地上",'数据-基础表'!I5:AS5)/'数据-基础表'!A3,2)</f>
        <v>1</v>
      </c>
      <c r="J4" s="3045"/>
      <c r="K4" s="3045"/>
      <c r="L4" s="3045"/>
      <c r="M4" s="3045"/>
      <c r="N4" s="3045"/>
      <c r="O4" s="3045"/>
      <c r="P4" s="3045"/>
    </row>
    <row r="5" spans="1:16">
      <c r="A5" s="110" t="s">
        <v>206</v>
      </c>
      <c r="B5" s="3636" t="s">
        <v>229</v>
      </c>
      <c r="C5" s="3636"/>
      <c r="D5" s="111">
        <f>ROUND($D$3*E5/$E$3,2)</f>
        <v>0</v>
      </c>
      <c r="E5" s="112">
        <f>SUMIF('数据-基础表'!$11:$11,"住宅",'数据-基础表'!$5:$5)</f>
        <v>0</v>
      </c>
      <c r="F5" s="3045"/>
      <c r="G5" s="278" t="s">
        <v>836</v>
      </c>
      <c r="H5" s="273" t="s">
        <v>834</v>
      </c>
      <c r="I5" s="1860">
        <f>ROUND(E31/D31,2)</f>
        <v>1</v>
      </c>
      <c r="J5" s="3045"/>
      <c r="K5" s="3045"/>
      <c r="L5" s="3045"/>
      <c r="M5" s="3045"/>
      <c r="N5" s="3045"/>
      <c r="O5" s="3045"/>
      <c r="P5" s="3045"/>
    </row>
    <row r="6" spans="1:16" ht="15" thickBot="1">
      <c r="A6" s="113"/>
      <c r="B6" s="3636" t="s">
        <v>207</v>
      </c>
      <c r="C6" s="3636"/>
      <c r="D6" s="111">
        <f>ROUND($D$3*E6/$E$3,2)</f>
        <v>155413.54999999999</v>
      </c>
      <c r="E6" s="112">
        <f>E3-E5</f>
        <v>155413.54999999999</v>
      </c>
      <c r="F6" s="3045"/>
      <c r="G6" s="1166"/>
      <c r="H6" s="273" t="s">
        <v>835</v>
      </c>
      <c r="I6" s="1860">
        <f>ROUND(F31/D31,2)</f>
        <v>1</v>
      </c>
      <c r="J6" s="3045"/>
      <c r="K6" s="3045"/>
      <c r="L6" s="3045"/>
      <c r="M6" s="3045"/>
      <c r="N6" s="3045"/>
      <c r="O6" s="3045"/>
      <c r="P6" s="3045"/>
    </row>
    <row r="7" spans="1:16" ht="15">
      <c r="A7" s="3628"/>
      <c r="B7" s="3629"/>
      <c r="C7" s="3630"/>
      <c r="D7" s="108" t="s">
        <v>203</v>
      </c>
      <c r="E7" s="114" t="s">
        <v>230</v>
      </c>
      <c r="F7" s="3045"/>
      <c r="G7" s="1121" t="s">
        <v>1618</v>
      </c>
      <c r="H7" s="1122"/>
      <c r="I7" s="1731"/>
      <c r="J7" s="3045"/>
      <c r="K7" s="3045"/>
      <c r="L7" s="3045"/>
      <c r="M7" s="3045"/>
      <c r="N7" s="3045"/>
      <c r="O7" s="3045"/>
      <c r="P7" s="3045"/>
    </row>
    <row r="8" spans="1:16">
      <c r="A8" s="110" t="s">
        <v>208</v>
      </c>
      <c r="B8" s="115" t="s">
        <v>209</v>
      </c>
      <c r="C8" s="111" t="s">
        <v>210</v>
      </c>
      <c r="D8" s="111">
        <f t="shared" ref="D8:D15" si="0">ROUND($D$3*E8/$E$3,2)</f>
        <v>155413.54999999999</v>
      </c>
      <c r="E8" s="116">
        <f>SUMIF('数据-基础表'!BB10:BK10,"地上",'数据-基础表'!BB5:BK5)</f>
        <v>155413.54999999999</v>
      </c>
      <c r="F8" s="3045"/>
      <c r="G8" s="3046"/>
      <c r="H8" s="3046"/>
      <c r="I8" s="3045"/>
      <c r="J8" s="3045"/>
      <c r="K8" s="3045"/>
      <c r="L8" s="3045"/>
      <c r="M8" s="3045"/>
      <c r="N8" s="3045"/>
      <c r="O8" s="3045"/>
      <c r="P8" s="3045"/>
    </row>
    <row r="9" spans="1:16">
      <c r="A9" s="117"/>
      <c r="B9" s="118"/>
      <c r="C9" s="111" t="s">
        <v>211</v>
      </c>
      <c r="D9" s="111">
        <f t="shared" si="0"/>
        <v>0</v>
      </c>
      <c r="E9" s="119">
        <v>0</v>
      </c>
      <c r="F9" s="3045"/>
      <c r="G9" s="3046"/>
      <c r="H9" s="3046"/>
      <c r="I9" s="3045"/>
      <c r="J9" s="3045"/>
      <c r="K9" s="3045"/>
      <c r="L9" s="3045"/>
      <c r="M9" s="3045"/>
      <c r="N9" s="3045"/>
      <c r="O9" s="3045"/>
      <c r="P9" s="3045"/>
    </row>
    <row r="10" spans="1:16">
      <c r="A10" s="117"/>
      <c r="B10" s="118"/>
      <c r="C10" s="111" t="s">
        <v>212</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80" t="s">
        <v>2290</v>
      </c>
      <c r="D11" s="111">
        <f t="shared" si="0"/>
        <v>0</v>
      </c>
      <c r="E11" s="116">
        <f>SUMPRODUCT(('数据-基础表'!BB10:BK10="地下")*('数据-基础表'!BB11:BK11="办公")*('数据-基础表'!BB5:BK5))+'数据-基础表'!AJ5</f>
        <v>0</v>
      </c>
      <c r="F11" s="3045"/>
      <c r="G11" s="3046"/>
      <c r="H11" s="3046"/>
      <c r="I11" s="3045"/>
      <c r="J11" s="3045"/>
      <c r="K11" s="3045"/>
      <c r="L11" s="3045"/>
      <c r="M11" s="3045"/>
      <c r="N11" s="3045"/>
      <c r="O11" s="3045"/>
      <c r="P11" s="3045"/>
    </row>
    <row r="12" spans="1:16">
      <c r="A12" s="117"/>
      <c r="B12" s="118"/>
      <c r="C12" s="111" t="s">
        <v>213</v>
      </c>
      <c r="D12" s="111">
        <f t="shared" si="0"/>
        <v>0</v>
      </c>
      <c r="E12" s="116">
        <f>SUMPRODUCT(('数据-基础表'!BB10:BK10="地下")*('数据-基础表'!BB11:BK11="仓储")*('数据-基础表'!BB5:BK5))</f>
        <v>0</v>
      </c>
      <c r="F12" s="3045"/>
      <c r="G12" s="3046"/>
      <c r="H12" s="3046"/>
      <c r="I12" s="3045"/>
      <c r="J12" s="3045"/>
      <c r="K12" s="3045"/>
      <c r="L12" s="3045"/>
      <c r="M12" s="3045"/>
      <c r="N12" s="3045"/>
      <c r="O12" s="3045"/>
      <c r="P12" s="3045"/>
    </row>
    <row r="13" spans="1:16">
      <c r="A13" s="117"/>
      <c r="B13" s="118"/>
      <c r="C13" s="2180" t="s">
        <v>2297</v>
      </c>
      <c r="D13" s="111">
        <f t="shared" si="0"/>
        <v>0</v>
      </c>
      <c r="E13" s="116">
        <f>SUMPRODUCT(('数据-基础表'!BB10:BK10="地下")*('数据-基础表'!BB11:BK11="车库")*('数据-基础表'!BB5:BK5))</f>
        <v>0</v>
      </c>
      <c r="F13" s="3045"/>
      <c r="G13" s="3046"/>
      <c r="H13" s="3046"/>
      <c r="I13" s="3045"/>
      <c r="J13" s="3045"/>
      <c r="K13" s="3045"/>
      <c r="L13" s="3045"/>
      <c r="M13" s="3045"/>
      <c r="N13" s="3045"/>
      <c r="O13" s="3045"/>
      <c r="P13" s="3045"/>
    </row>
    <row r="14" spans="1:16">
      <c r="A14" s="117"/>
      <c r="B14" s="118"/>
      <c r="C14" s="111" t="s">
        <v>231</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232</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214</v>
      </c>
      <c r="D16" s="115">
        <f>SUM(D8:D15)</f>
        <v>155413.54999999999</v>
      </c>
      <c r="E16" s="120">
        <f>SUM(E8:E15)</f>
        <v>155413.54999999999</v>
      </c>
      <c r="F16" s="3045"/>
      <c r="G16" s="3046"/>
      <c r="H16" s="938" t="s">
        <v>218</v>
      </c>
      <c r="I16" s="939"/>
      <c r="J16" s="1868"/>
      <c r="K16" s="3622" t="s">
        <v>2518</v>
      </c>
      <c r="L16" s="3623"/>
      <c r="M16" s="3623"/>
      <c r="N16" s="3623"/>
      <c r="O16" s="3623"/>
      <c r="P16" s="3624"/>
    </row>
    <row r="17" spans="1:19" ht="15">
      <c r="A17" s="121" t="s">
        <v>215</v>
      </c>
      <c r="B17" s="122" t="s">
        <v>216</v>
      </c>
      <c r="C17" s="2147" t="s">
        <v>2276</v>
      </c>
      <c r="D17" s="108" t="s">
        <v>203</v>
      </c>
      <c r="E17" s="124" t="s">
        <v>204</v>
      </c>
      <c r="F17" s="125"/>
      <c r="G17" s="1293"/>
      <c r="H17" s="940" t="s">
        <v>217</v>
      </c>
      <c r="I17" s="941" t="s">
        <v>2275</v>
      </c>
      <c r="J17" s="1868"/>
      <c r="K17" s="3625" t="s">
        <v>2519</v>
      </c>
      <c r="L17" s="3626"/>
      <c r="M17" s="3627"/>
      <c r="N17" s="3625" t="s">
        <v>2520</v>
      </c>
      <c r="O17" s="3626"/>
      <c r="P17" s="3627"/>
      <c r="R17" s="2148" t="s">
        <v>2274</v>
      </c>
      <c r="S17" s="142"/>
    </row>
    <row r="18" spans="1:19" ht="15">
      <c r="A18" s="117"/>
      <c r="B18" s="128"/>
      <c r="C18" s="129"/>
      <c r="D18" s="2450"/>
      <c r="E18" s="130" t="s">
        <v>219</v>
      </c>
      <c r="F18" s="131" t="s">
        <v>220</v>
      </c>
      <c r="G18" s="1294" t="s">
        <v>221</v>
      </c>
      <c r="H18" s="942" t="s">
        <v>222</v>
      </c>
      <c r="I18" s="943" t="s">
        <v>223</v>
      </c>
      <c r="J18" s="1868"/>
      <c r="K18" s="2415" t="s">
        <v>2521</v>
      </c>
      <c r="L18" s="2416" t="s">
        <v>2522</v>
      </c>
      <c r="M18" s="2417" t="s">
        <v>2523</v>
      </c>
      <c r="N18" s="2415" t="s">
        <v>2521</v>
      </c>
      <c r="O18" s="2416" t="s">
        <v>2522</v>
      </c>
      <c r="P18" s="2417" t="s">
        <v>2523</v>
      </c>
      <c r="R18" s="2149" t="s">
        <v>2272</v>
      </c>
      <c r="S18" s="2149" t="s">
        <v>2273</v>
      </c>
    </row>
    <row r="19" spans="1:19">
      <c r="A19" s="133"/>
      <c r="B19" s="115" t="s">
        <v>224</v>
      </c>
      <c r="C19" s="3451" t="s">
        <v>3301</v>
      </c>
      <c r="D19" s="111">
        <f t="shared" ref="D19:D26" si="1">ROUND($D$3*E19/$E$3,2)</f>
        <v>102489.97</v>
      </c>
      <c r="E19" s="134">
        <f t="shared" ref="E19:E26" si="2">SUM(F19:G19)</f>
        <v>102489.97</v>
      </c>
      <c r="F19" s="3047">
        <f>'数据-基础表'!I5</f>
        <v>102489.97</v>
      </c>
      <c r="G19" s="3048"/>
      <c r="H19" s="944">
        <f>ROUND($D$3*I19/$E$3,2)</f>
        <v>0</v>
      </c>
      <c r="I19" s="116">
        <f>IF($I$17="自定义",P19,M19)</f>
        <v>0</v>
      </c>
      <c r="J19" s="1868"/>
      <c r="K19" s="2418">
        <f t="shared" ref="K19:K26" si="3">ROUND(E$28*E19/E$27,2)</f>
        <v>0</v>
      </c>
      <c r="L19" s="273">
        <f t="shared" ref="L19:L26" si="4">ROUND(IF(COUNTIF(C19,"*住宅*")&gt;0,E$29*E19/E$32,0),2)</f>
        <v>0</v>
      </c>
      <c r="M19" s="2419">
        <f>K19+L19</f>
        <v>0</v>
      </c>
      <c r="N19" s="2420"/>
      <c r="O19" s="2421"/>
      <c r="P19" s="2422">
        <f>N19+O19</f>
        <v>0</v>
      </c>
      <c r="R19" s="273">
        <f t="shared" ref="R19:S26" si="5">D19+H19</f>
        <v>102489.97</v>
      </c>
      <c r="S19" s="2150">
        <f t="shared" si="5"/>
        <v>102489.97</v>
      </c>
    </row>
    <row r="20" spans="1:19">
      <c r="A20" s="137"/>
      <c r="B20" s="115" t="s">
        <v>225</v>
      </c>
      <c r="C20" s="3451" t="s">
        <v>3302</v>
      </c>
      <c r="D20" s="111">
        <f t="shared" si="1"/>
        <v>41534</v>
      </c>
      <c r="E20" s="134">
        <f t="shared" si="2"/>
        <v>41534</v>
      </c>
      <c r="F20" s="3047">
        <f>'数据-基础表'!K5</f>
        <v>41534</v>
      </c>
      <c r="G20" s="3048"/>
      <c r="H20" s="944">
        <f t="shared" ref="H20:H26" si="6">ROUND($D$3*I20/$E$3,2)</f>
        <v>0</v>
      </c>
      <c r="I20" s="116">
        <f t="shared" ref="I20:I26" si="7">IF($I$17="自定义",P20,M20)</f>
        <v>0</v>
      </c>
      <c r="J20" s="1868"/>
      <c r="K20" s="2418">
        <f t="shared" si="3"/>
        <v>0</v>
      </c>
      <c r="L20" s="273">
        <f t="shared" si="4"/>
        <v>0</v>
      </c>
      <c r="M20" s="2419">
        <f t="shared" ref="M20:M26" si="8">K20+L20</f>
        <v>0</v>
      </c>
      <c r="N20" s="2420"/>
      <c r="O20" s="2421"/>
      <c r="P20" s="2422">
        <f t="shared" ref="P20:P26" si="9">N20+O20</f>
        <v>0</v>
      </c>
      <c r="R20" s="273">
        <f t="shared" si="5"/>
        <v>41534</v>
      </c>
      <c r="S20" s="2150">
        <f t="shared" si="5"/>
        <v>41534</v>
      </c>
    </row>
    <row r="21" spans="1:19">
      <c r="A21" s="137"/>
      <c r="B21" s="115" t="s">
        <v>225</v>
      </c>
      <c r="C21" s="3451" t="s">
        <v>3304</v>
      </c>
      <c r="D21" s="111">
        <f t="shared" si="1"/>
        <v>11389.58</v>
      </c>
      <c r="E21" s="134">
        <f t="shared" si="2"/>
        <v>11389.58</v>
      </c>
      <c r="F21" s="3047">
        <f>'数据-基础表'!M5</f>
        <v>11389.58</v>
      </c>
      <c r="G21" s="3048"/>
      <c r="H21" s="944">
        <f t="shared" si="6"/>
        <v>0</v>
      </c>
      <c r="I21" s="116">
        <f t="shared" si="7"/>
        <v>0</v>
      </c>
      <c r="J21" s="1868"/>
      <c r="K21" s="2418">
        <f t="shared" si="3"/>
        <v>0</v>
      </c>
      <c r="L21" s="273">
        <f t="shared" si="4"/>
        <v>0</v>
      </c>
      <c r="M21" s="2419">
        <f t="shared" si="8"/>
        <v>0</v>
      </c>
      <c r="N21" s="2420"/>
      <c r="O21" s="2421"/>
      <c r="P21" s="2422">
        <f t="shared" si="9"/>
        <v>0</v>
      </c>
      <c r="R21" s="273">
        <f t="shared" si="5"/>
        <v>11389.58</v>
      </c>
      <c r="S21" s="2150">
        <f t="shared" si="5"/>
        <v>11389.58</v>
      </c>
    </row>
    <row r="22" spans="1:19">
      <c r="A22" s="137"/>
      <c r="B22" s="115" t="s">
        <v>225</v>
      </c>
      <c r="C22" s="1292"/>
      <c r="D22" s="111">
        <f t="shared" si="1"/>
        <v>0</v>
      </c>
      <c r="E22" s="134">
        <f t="shared" si="2"/>
        <v>0</v>
      </c>
      <c r="F22" s="3049"/>
      <c r="G22" s="3050"/>
      <c r="H22" s="944">
        <f t="shared" si="6"/>
        <v>0</v>
      </c>
      <c r="I22" s="116">
        <f t="shared" si="7"/>
        <v>0</v>
      </c>
      <c r="J22" s="1868"/>
      <c r="K22" s="2418">
        <f t="shared" si="3"/>
        <v>0</v>
      </c>
      <c r="L22" s="273">
        <f t="shared" si="4"/>
        <v>0</v>
      </c>
      <c r="M22" s="2419">
        <f t="shared" si="8"/>
        <v>0</v>
      </c>
      <c r="N22" s="2420"/>
      <c r="O22" s="2421"/>
      <c r="P22" s="2422">
        <f t="shared" si="9"/>
        <v>0</v>
      </c>
      <c r="R22" s="273">
        <f t="shared" si="5"/>
        <v>0</v>
      </c>
      <c r="S22" s="2150">
        <f t="shared" si="5"/>
        <v>0</v>
      </c>
    </row>
    <row r="23" spans="1:19">
      <c r="A23" s="137"/>
      <c r="B23" s="115" t="s">
        <v>225</v>
      </c>
      <c r="C23" s="138"/>
      <c r="D23" s="111">
        <f>ROUND($D$3*E23/$E$3,2)</f>
        <v>0</v>
      </c>
      <c r="E23" s="134">
        <f>SUM(F23:G23)</f>
        <v>0</v>
      </c>
      <c r="F23" s="3049"/>
      <c r="G23" s="3050"/>
      <c r="H23" s="944">
        <f>ROUND($D$3*I23/$E$3,2)</f>
        <v>0</v>
      </c>
      <c r="I23" s="116">
        <f t="shared" si="7"/>
        <v>0</v>
      </c>
      <c r="J23" s="1868"/>
      <c r="K23" s="2418">
        <f t="shared" si="3"/>
        <v>0</v>
      </c>
      <c r="L23" s="273">
        <f t="shared" si="4"/>
        <v>0</v>
      </c>
      <c r="M23" s="2419">
        <f t="shared" si="8"/>
        <v>0</v>
      </c>
      <c r="N23" s="2420"/>
      <c r="O23" s="2421"/>
      <c r="P23" s="2422">
        <f t="shared" si="9"/>
        <v>0</v>
      </c>
      <c r="R23" s="273">
        <f t="shared" si="5"/>
        <v>0</v>
      </c>
      <c r="S23" s="2150">
        <f t="shared" si="5"/>
        <v>0</v>
      </c>
    </row>
    <row r="24" spans="1:19">
      <c r="A24" s="137"/>
      <c r="B24" s="115" t="s">
        <v>225</v>
      </c>
      <c r="C24" s="138"/>
      <c r="D24" s="111">
        <f>ROUND($D$3*E24/$E$3,2)</f>
        <v>0</v>
      </c>
      <c r="E24" s="134">
        <f>SUM(F24:G24)</f>
        <v>0</v>
      </c>
      <c r="F24" s="3049"/>
      <c r="G24" s="3050"/>
      <c r="H24" s="944">
        <f>ROUND($D$3*I24/$E$3,2)</f>
        <v>0</v>
      </c>
      <c r="I24" s="116">
        <f t="shared" si="7"/>
        <v>0</v>
      </c>
      <c r="J24" s="1868"/>
      <c r="K24" s="2418">
        <f t="shared" si="3"/>
        <v>0</v>
      </c>
      <c r="L24" s="273">
        <f t="shared" si="4"/>
        <v>0</v>
      </c>
      <c r="M24" s="2419">
        <f t="shared" si="8"/>
        <v>0</v>
      </c>
      <c r="N24" s="2420"/>
      <c r="O24" s="2421"/>
      <c r="P24" s="2422">
        <f t="shared" si="9"/>
        <v>0</v>
      </c>
      <c r="R24" s="273">
        <f t="shared" si="5"/>
        <v>0</v>
      </c>
      <c r="S24" s="2150">
        <f t="shared" si="5"/>
        <v>0</v>
      </c>
    </row>
    <row r="25" spans="1:19">
      <c r="A25" s="137"/>
      <c r="B25" s="115" t="s">
        <v>225</v>
      </c>
      <c r="C25" s="138"/>
      <c r="D25" s="111">
        <f t="shared" si="1"/>
        <v>0</v>
      </c>
      <c r="E25" s="134">
        <f t="shared" si="2"/>
        <v>0</v>
      </c>
      <c r="F25" s="3049"/>
      <c r="G25" s="3050"/>
      <c r="H25" s="110">
        <f t="shared" si="6"/>
        <v>0</v>
      </c>
      <c r="I25" s="116">
        <f t="shared" si="7"/>
        <v>0</v>
      </c>
      <c r="J25" s="1868"/>
      <c r="K25" s="2418">
        <f t="shared" si="3"/>
        <v>0</v>
      </c>
      <c r="L25" s="273">
        <f t="shared" si="4"/>
        <v>0</v>
      </c>
      <c r="M25" s="2419">
        <f t="shared" si="8"/>
        <v>0</v>
      </c>
      <c r="N25" s="2420"/>
      <c r="O25" s="2421"/>
      <c r="P25" s="2422">
        <f t="shared" si="9"/>
        <v>0</v>
      </c>
      <c r="R25" s="273">
        <f t="shared" si="5"/>
        <v>0</v>
      </c>
      <c r="S25" s="2150">
        <f t="shared" si="5"/>
        <v>0</v>
      </c>
    </row>
    <row r="26" spans="1:19">
      <c r="A26" s="137"/>
      <c r="B26" s="115" t="s">
        <v>225</v>
      </c>
      <c r="C26" s="140"/>
      <c r="D26" s="111">
        <f t="shared" si="1"/>
        <v>0</v>
      </c>
      <c r="E26" s="134">
        <f t="shared" si="2"/>
        <v>0</v>
      </c>
      <c r="F26" s="3049"/>
      <c r="G26" s="3050"/>
      <c r="H26" s="110">
        <f t="shared" si="6"/>
        <v>0</v>
      </c>
      <c r="I26" s="116">
        <f t="shared" si="7"/>
        <v>0</v>
      </c>
      <c r="J26" s="1868"/>
      <c r="K26" s="2423">
        <f t="shared" si="3"/>
        <v>0</v>
      </c>
      <c r="L26" s="278">
        <f t="shared" si="4"/>
        <v>0</v>
      </c>
      <c r="M26" s="144">
        <f t="shared" si="8"/>
        <v>0</v>
      </c>
      <c r="N26" s="2424"/>
      <c r="O26" s="2425"/>
      <c r="P26" s="2426">
        <f t="shared" si="9"/>
        <v>0</v>
      </c>
      <c r="R26" s="273">
        <f t="shared" si="5"/>
        <v>0</v>
      </c>
      <c r="S26" s="2150">
        <f t="shared" si="5"/>
        <v>0</v>
      </c>
    </row>
    <row r="27" spans="1:19" ht="15.75" thickBot="1">
      <c r="A27" s="137"/>
      <c r="B27" s="111"/>
      <c r="C27" s="127" t="s">
        <v>214</v>
      </c>
      <c r="D27" s="134">
        <f>SUM(D19:D26)</f>
        <v>155413.54999999999</v>
      </c>
      <c r="E27" s="141">
        <f>IF(SUM(E19:E26)='数据-基础表'!BA5,SUM(E19:E26),IF(F27="地上面积有误","面积有误","地下面积有误"))</f>
        <v>155413.54999999999</v>
      </c>
      <c r="F27" s="134">
        <f>IF(SUM(F19:F26)=E8,SUM(F19:F26),"地上面积有误")</f>
        <v>155413.54999999999</v>
      </c>
      <c r="G27" s="112">
        <f>SUM(G19:G26)</f>
        <v>0</v>
      </c>
      <c r="H27" s="945">
        <f>SUM(H19:H26)</f>
        <v>0</v>
      </c>
      <c r="I27" s="946">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155413.54999999999</v>
      </c>
      <c r="S27" s="273">
        <f>IF(SUM(S19:S26)=$E$3,SUM(S19:S26),SUM(S19:S26)&amp;"误差"&amp;ROUND(SUM(S19:S26)-E3,2))</f>
        <v>155413.54999999999</v>
      </c>
    </row>
    <row r="28" spans="1:19">
      <c r="A28" s="137"/>
      <c r="B28" s="115" t="s">
        <v>226</v>
      </c>
      <c r="C28" s="135" t="s">
        <v>227</v>
      </c>
      <c r="D28" s="111">
        <f>ROUND($D$3*E28/$E$3,2)</f>
        <v>0</v>
      </c>
      <c r="E28" s="134">
        <f>SUM(F28:G28)</f>
        <v>0</v>
      </c>
      <c r="F28" s="142">
        <f>'数据-基础表'!BQ5+'数据-基础表'!BS5</f>
        <v>0</v>
      </c>
      <c r="G28" s="143">
        <f>'数据-基础表'!BR5+'数据-基础表'!BT5</f>
        <v>0</v>
      </c>
      <c r="H28" s="3045"/>
      <c r="I28" s="3045"/>
      <c r="J28" s="3045"/>
      <c r="K28" s="3045"/>
      <c r="L28" s="3045"/>
      <c r="M28" s="3045"/>
      <c r="N28" s="3045"/>
      <c r="O28" s="3045"/>
      <c r="P28" s="3045"/>
    </row>
    <row r="29" spans="1:19">
      <c r="A29" s="137"/>
      <c r="B29" s="115" t="s">
        <v>226</v>
      </c>
      <c r="C29" s="2162" t="s">
        <v>2283</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214</v>
      </c>
      <c r="D30" s="134">
        <f>SUM(D28:D29)</f>
        <v>0</v>
      </c>
      <c r="E30" s="134">
        <f>SUM(E28:E29)</f>
        <v>0</v>
      </c>
      <c r="F30" s="134">
        <f>SUM(F28:F29)</f>
        <v>0</v>
      </c>
      <c r="G30" s="112">
        <f>SUM(G28:G29)</f>
        <v>0</v>
      </c>
      <c r="H30" s="3045"/>
      <c r="I30" s="3045"/>
      <c r="J30" s="3045"/>
      <c r="K30" s="3045"/>
      <c r="L30" s="3045"/>
      <c r="M30" s="3045"/>
      <c r="N30" s="3045"/>
      <c r="O30" s="3045"/>
      <c r="P30" s="3045"/>
    </row>
    <row r="31" spans="1:19" ht="32.25" customHeight="1" thickBot="1">
      <c r="A31" s="1295"/>
      <c r="B31" s="1296" t="s">
        <v>228</v>
      </c>
      <c r="C31" s="2179" t="s">
        <v>2285</v>
      </c>
      <c r="D31" s="1297">
        <f>D27+D30</f>
        <v>155413.54999999999</v>
      </c>
      <c r="E31" s="1297">
        <f>E27+E30</f>
        <v>155413.54999999999</v>
      </c>
      <c r="F31" s="1298">
        <f>F27+F30</f>
        <v>155413.54999999999</v>
      </c>
      <c r="G31" s="1299">
        <f>G27+G30</f>
        <v>0</v>
      </c>
      <c r="H31" s="3045"/>
      <c r="I31" s="3045"/>
      <c r="J31" s="3045"/>
      <c r="K31" s="3045"/>
      <c r="L31" s="3045"/>
      <c r="M31" s="3045"/>
      <c r="N31" s="3045"/>
      <c r="O31" s="3045"/>
      <c r="P31" s="3045"/>
    </row>
    <row r="32" spans="1:19">
      <c r="A32" s="1868"/>
      <c r="B32" s="2191" t="s">
        <v>2284</v>
      </c>
      <c r="C32" s="2455"/>
      <c r="D32" s="1166"/>
      <c r="E32" s="1166">
        <f>SUMIF(C19:C26,"*住宅*",E19:E26)</f>
        <v>0</v>
      </c>
      <c r="F32" s="1166"/>
      <c r="G32" s="1166"/>
      <c r="H32" s="3045"/>
      <c r="I32" s="3045"/>
      <c r="J32" s="3045"/>
      <c r="K32" s="3045"/>
      <c r="L32" s="3045"/>
      <c r="M32" s="3045"/>
      <c r="N32" s="3045"/>
      <c r="O32" s="3045"/>
      <c r="P32" s="3045"/>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233</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2"/>
      <c r="AO1" s="3052"/>
      <c r="AP1" s="3052"/>
      <c r="AQ1" s="3052"/>
      <c r="AR1" s="3052"/>
      <c r="AS1" s="3052"/>
      <c r="AT1" s="3052"/>
      <c r="AU1" s="3052"/>
      <c r="AV1" s="3052"/>
      <c r="AW1" s="3052"/>
      <c r="AX1" s="3052"/>
      <c r="AY1" s="3052"/>
      <c r="AZ1" s="3052"/>
    </row>
    <row r="2" spans="1:83" s="1171" customFormat="1" ht="15.75" thickBot="1">
      <c r="A2" s="147" t="s">
        <v>234</v>
      </c>
      <c r="B2" s="2187">
        <f>项目基本情况!D3</f>
        <v>44623</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5"/>
      <c r="AO2" s="3055"/>
      <c r="AP2" s="3055"/>
      <c r="AQ2" s="3055"/>
      <c r="AR2" s="3055"/>
      <c r="AS2" s="3055"/>
      <c r="AT2" s="3055"/>
      <c r="AU2" s="3055"/>
      <c r="AV2" s="3055"/>
      <c r="AW2" s="3055"/>
      <c r="AX2" s="3055"/>
      <c r="AY2" s="3055"/>
      <c r="AZ2" s="3055"/>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5"/>
      <c r="AO3" s="3055"/>
      <c r="AP3" s="3055"/>
      <c r="AQ3" s="3055"/>
      <c r="AR3" s="3055"/>
      <c r="AS3" s="3055"/>
      <c r="AT3" s="3055"/>
      <c r="AU3" s="3055"/>
      <c r="AV3" s="3055"/>
      <c r="AW3" s="3055"/>
      <c r="AX3" s="3055"/>
      <c r="AY3" s="3055"/>
      <c r="AZ3" s="3055"/>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839</v>
      </c>
      <c r="B4" s="150"/>
      <c r="C4" s="151"/>
      <c r="D4" s="1173"/>
      <c r="E4" s="1174" t="s">
        <v>840</v>
      </c>
      <c r="F4" s="151"/>
      <c r="G4" s="151"/>
      <c r="H4" s="151"/>
      <c r="I4" s="151"/>
      <c r="J4" s="152"/>
      <c r="K4" s="1175"/>
      <c r="L4" s="1176"/>
      <c r="M4" s="151"/>
      <c r="N4" s="1174"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55"/>
      <c r="AO4" s="3055"/>
      <c r="AP4" s="3055"/>
      <c r="AQ4" s="3055"/>
      <c r="AR4" s="3055"/>
      <c r="AS4" s="3055"/>
      <c r="AT4" s="3055"/>
      <c r="AU4" s="3055"/>
      <c r="AV4" s="3055"/>
      <c r="AW4" s="3055"/>
      <c r="AX4" s="3055"/>
      <c r="AY4" s="3055"/>
      <c r="AZ4" s="3055"/>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3" t="s">
        <v>2287</v>
      </c>
      <c r="B5" s="154" t="s">
        <v>235</v>
      </c>
      <c r="C5" s="155" t="s">
        <v>236</v>
      </c>
      <c r="D5" s="156" t="s">
        <v>237</v>
      </c>
      <c r="E5" s="157" t="s">
        <v>238</v>
      </c>
      <c r="F5" s="158" t="s">
        <v>239</v>
      </c>
      <c r="G5" s="157" t="s">
        <v>240</v>
      </c>
      <c r="H5" s="157" t="s">
        <v>837</v>
      </c>
      <c r="I5" s="157" t="s">
        <v>838</v>
      </c>
      <c r="J5" s="159" t="s">
        <v>241</v>
      </c>
      <c r="K5" s="160" t="s">
        <v>242</v>
      </c>
      <c r="L5" s="161" t="s">
        <v>243</v>
      </c>
      <c r="M5" s="162" t="s">
        <v>244</v>
      </c>
      <c r="N5" s="1184" t="s">
        <v>3319</v>
      </c>
      <c r="O5" s="161" t="s">
        <v>245</v>
      </c>
      <c r="P5" s="163" t="s">
        <v>246</v>
      </c>
      <c r="Q5" s="164" t="s">
        <v>247</v>
      </c>
      <c r="R5" s="165" t="s">
        <v>248</v>
      </c>
      <c r="S5" s="2431" t="s">
        <v>2524</v>
      </c>
      <c r="T5" s="166" t="s">
        <v>249</v>
      </c>
      <c r="U5" s="167" t="s">
        <v>250</v>
      </c>
      <c r="V5" s="157" t="s">
        <v>251</v>
      </c>
      <c r="W5" s="157" t="s">
        <v>252</v>
      </c>
      <c r="X5" s="1704"/>
      <c r="Y5" s="168" t="s">
        <v>253</v>
      </c>
      <c r="Z5" s="169" t="s">
        <v>254</v>
      </c>
      <c r="AA5" s="157" t="s">
        <v>251</v>
      </c>
      <c r="AB5" s="157" t="s">
        <v>252</v>
      </c>
      <c r="AC5" s="1705"/>
      <c r="AD5" s="170" t="s">
        <v>253</v>
      </c>
      <c r="AE5" s="1" t="s">
        <v>845</v>
      </c>
      <c r="AF5" s="157" t="s">
        <v>255</v>
      </c>
      <c r="AG5" s="168" t="s">
        <v>256</v>
      </c>
      <c r="AH5" s="1705" t="s">
        <v>2286</v>
      </c>
      <c r="AI5" s="169" t="s">
        <v>2255</v>
      </c>
      <c r="AJ5" s="169" t="s">
        <v>257</v>
      </c>
      <c r="AK5" s="157" t="s">
        <v>258</v>
      </c>
      <c r="AL5" s="157" t="s">
        <v>259</v>
      </c>
      <c r="AM5" s="170" t="s">
        <v>260</v>
      </c>
      <c r="AN5" s="2215" t="s">
        <v>2333</v>
      </c>
      <c r="AO5" s="3066"/>
      <c r="AP5" s="3051" t="s">
        <v>2939</v>
      </c>
      <c r="AQ5" s="3066"/>
      <c r="AR5" s="3066"/>
      <c r="AS5" s="3066"/>
      <c r="AT5" s="3066"/>
      <c r="AU5" s="3066"/>
      <c r="AV5" s="3066"/>
      <c r="AW5" s="3066"/>
      <c r="AX5" s="3066"/>
      <c r="AY5" s="3066"/>
      <c r="AZ5" s="3066"/>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6.5">
      <c r="A6" s="2151" t="str">
        <f>'数据-汇总表'!C19</f>
        <v>工业</v>
      </c>
      <c r="B6" s="2186" t="str">
        <f>IF(A6=0,"","经营性")</f>
        <v>经营性</v>
      </c>
      <c r="C6" s="171" t="s">
        <v>955</v>
      </c>
      <c r="D6" s="2157">
        <f>SUMIF(项目基本情况!D$15:I$15,C6,项目基本情况!D$18:I$18)</f>
        <v>50</v>
      </c>
      <c r="E6" s="2158">
        <f>IF(B6="","",SUMIF(项目基本情况!D$15:I$15,C6,项目基本情况!D$17:I$17))</f>
        <v>65746</v>
      </c>
      <c r="F6" s="172">
        <f>SUMIF(项目基本情况!D$15:I$15,C6,项目基本情况!D$19:I$19)</f>
        <v>50</v>
      </c>
      <c r="G6" s="173">
        <f>IF(ISERROR(ROUND(POWER(1+H6,D6-F6)*(POWER(1+H6,F6)-1)/(POWER(1+H6,D6)-1),3)),0,ROUND(POWER(1+H6,D6-F6)*(POWER(1+H6,F6)-1)/(POWER(1+H6,D6)-1),3))</f>
        <v>0</v>
      </c>
      <c r="H6" s="2704"/>
      <c r="I6" s="2704">
        <v>4.4999999999999998E-2</v>
      </c>
      <c r="J6" s="174"/>
      <c r="K6" s="177">
        <f>SUMIF('数据-汇总表'!C$19:C$33,'数据-取费表'!A6,'数据-汇总表'!E$19:E$33)</f>
        <v>102489.97</v>
      </c>
      <c r="L6" s="2705">
        <v>2000</v>
      </c>
      <c r="M6" s="175">
        <f t="shared" ref="M6:M14" si="0">ROUND(K6*L6/10000,0)</f>
        <v>20498</v>
      </c>
      <c r="N6" s="2706">
        <v>0.7</v>
      </c>
      <c r="O6" s="175" t="str">
        <f>IF($N$5="成新度","——",ROUND(M6*N6,0))</f>
        <v>——</v>
      </c>
      <c r="P6" s="176" t="str">
        <f>IF($N$5="成新度","——",M6-O6)</f>
        <v>——</v>
      </c>
      <c r="Q6" s="2707">
        <v>0.1</v>
      </c>
      <c r="R6" s="177">
        <f>SUMIF('数据-汇总表'!C$19:C$33,A6,'数据-汇总表'!R$19:R$33)</f>
        <v>102489.97</v>
      </c>
      <c r="S6" s="132">
        <f>IF('数据-汇总表'!$I$17="按面积比例",SUMIF('数据-汇总表'!C$19:C$33,A6,'数据-汇总表'!K$19:K$33),SUMIF('数据-汇总表'!C$19:C$33,A6,'数据-汇总表'!N$19:N$33))</f>
        <v>0</v>
      </c>
      <c r="T6" s="2083" t="str">
        <f>IF($T$4="按面积比例",IF(ISERROR(ROUND($M$14*S6/S$16,0)),"0",ROUND($M$14*S6/S$16,0)),"需自行计算录入")</f>
        <v>0</v>
      </c>
      <c r="U6" s="3519">
        <v>1.2</v>
      </c>
      <c r="V6" s="179">
        <v>0</v>
      </c>
      <c r="W6" s="179">
        <v>0.15</v>
      </c>
      <c r="X6" s="2170"/>
      <c r="Y6" s="180">
        <v>0.7</v>
      </c>
      <c r="Z6" s="181"/>
      <c r="AA6" s="174"/>
      <c r="AB6" s="174"/>
      <c r="AC6" s="2173"/>
      <c r="AD6" s="182"/>
      <c r="AE6" s="942">
        <f ca="1">IF(AN6="",0,SUMIF(INDIRECT("'"&amp;AN6&amp;"'"&amp;"!E:E"),$AE$5,INDIRECT("'"&amp;AN6&amp;"'"&amp;"!F:F")))</f>
        <v>50</v>
      </c>
      <c r="AF6" s="139"/>
      <c r="AG6" s="1178">
        <f>IF(AF6="",0,AE6-AF6)</f>
        <v>0</v>
      </c>
      <c r="AH6" s="139"/>
      <c r="AI6" s="185">
        <v>365</v>
      </c>
      <c r="AJ6" s="186"/>
      <c r="AK6" s="187">
        <v>1.4999999999999999E-2</v>
      </c>
      <c r="AL6" s="3452">
        <v>1.5E-3</v>
      </c>
      <c r="AM6" s="2716">
        <v>0.01</v>
      </c>
      <c r="AN6" s="2216" t="s">
        <v>3308</v>
      </c>
      <c r="AO6" s="3055"/>
      <c r="AP6" s="1169">
        <f>ROUND(1-1/(1+H6)^F6,3)</f>
        <v>0</v>
      </c>
      <c r="AQ6" s="3055"/>
      <c r="AR6" s="3055"/>
      <c r="AS6" s="3055"/>
      <c r="AT6" s="3055"/>
      <c r="AU6" s="3055"/>
      <c r="AV6" s="3055"/>
      <c r="AW6" s="3055"/>
      <c r="AX6" s="3055"/>
      <c r="AY6" s="3055"/>
      <c r="AZ6" s="3055"/>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1" t="str">
        <f>'数据-汇总表'!C20</f>
        <v>商业</v>
      </c>
      <c r="B7" s="2186" t="str">
        <f t="shared" ref="B7:B13" si="1">IF(A7=0,"","经营性")</f>
        <v>经营性</v>
      </c>
      <c r="C7" s="171" t="s">
        <v>3122</v>
      </c>
      <c r="D7" s="2157">
        <f>SUMIF(项目基本情况!D$15:I$15,C7,项目基本情况!D$18:I$18)</f>
        <v>40</v>
      </c>
      <c r="E7" s="2158">
        <f>IF(B7="","",SUMIF(项目基本情况!D$15:I$15,C7,项目基本情况!D$17:I$17))</f>
        <v>65746</v>
      </c>
      <c r="F7" s="172">
        <f>SUMIF(项目基本情况!D$15:I$15,C7,项目基本情况!D$19:I$19)</f>
        <v>40</v>
      </c>
      <c r="G7" s="173">
        <f t="shared" ref="G7:G11" si="2">IF(ISERROR(ROUND(POWER(1+H7,D7-F7)*(POWER(1+H7,F7)-1)/(POWER(1+H7,D7)-1),3)),0,ROUND(POWER(1+H7,D7-F7)*(POWER(1+H7,F7)-1)/(POWER(1+H7,D7)-1),3))</f>
        <v>0</v>
      </c>
      <c r="H7" s="2704"/>
      <c r="I7" s="2704">
        <v>5.5E-2</v>
      </c>
      <c r="J7" s="174"/>
      <c r="K7" s="177">
        <f>SUMIF('数据-汇总表'!C$19:C$33,'数据-取费表'!A7,'数据-汇总表'!E$19:E$33)</f>
        <v>41534</v>
      </c>
      <c r="L7" s="2705">
        <v>3500</v>
      </c>
      <c r="M7" s="175">
        <f t="shared" si="0"/>
        <v>14537</v>
      </c>
      <c r="N7" s="2706">
        <v>0.7</v>
      </c>
      <c r="O7" s="175" t="str">
        <f t="shared" ref="O7:O14" si="3">IF($N$5="成新度","——",ROUND(M7*N7,0))</f>
        <v>——</v>
      </c>
      <c r="P7" s="176" t="str">
        <f t="shared" ref="P7:P14" si="4">IF($N$5="成新度","——",M7-O7)</f>
        <v>——</v>
      </c>
      <c r="Q7" s="2707">
        <v>0.2</v>
      </c>
      <c r="R7" s="177">
        <f>SUMIF('数据-汇总表'!C$19:C$33,A7,'数据-汇总表'!R$19:R$33)</f>
        <v>41534</v>
      </c>
      <c r="S7" s="132">
        <f>IF('数据-汇总表'!$I$17="按面积比例",SUMIF('数据-汇总表'!C$19:C$33,A7,'数据-汇总表'!K$19:K$33),SUMIF('数据-汇总表'!C$19:C$33,A7,'数据-汇总表'!N$19:N$33))</f>
        <v>0</v>
      </c>
      <c r="T7" s="2083" t="str">
        <f t="shared" ref="T7:T13" si="5">IF($T$4="按面积比例",IF(ISERROR(ROUND($M$14*S7/S$16,0)),"0",ROUND($M$14*S7/S$16,0)),"需自行计算录入")</f>
        <v>0</v>
      </c>
      <c r="U7" s="178">
        <v>2.5</v>
      </c>
      <c r="V7" s="179">
        <v>0</v>
      </c>
      <c r="W7" s="179">
        <v>0.15</v>
      </c>
      <c r="X7" s="2170"/>
      <c r="Y7" s="180">
        <v>0.7</v>
      </c>
      <c r="Z7" s="181"/>
      <c r="AA7" s="174"/>
      <c r="AB7" s="174"/>
      <c r="AC7" s="2173"/>
      <c r="AD7" s="182"/>
      <c r="AE7" s="942">
        <f t="shared" ref="AE7:AE13" ca="1" si="6">IF(AN7="",0,SUMIF(INDIRECT("'"&amp;AN7&amp;"'"&amp;"!E:E"),$AE$5,INDIRECT("'"&amp;AN7&amp;"'"&amp;"!F:F")))</f>
        <v>40</v>
      </c>
      <c r="AF7" s="139"/>
      <c r="AG7" s="1178">
        <f t="shared" ref="AG7:AG13" si="7">IF(AF7="",0,AE7-AF7)</f>
        <v>0</v>
      </c>
      <c r="AH7" s="139"/>
      <c r="AI7" s="185">
        <v>365</v>
      </c>
      <c r="AJ7" s="186"/>
      <c r="AK7" s="187">
        <v>0.02</v>
      </c>
      <c r="AL7" s="188">
        <v>2E-3</v>
      </c>
      <c r="AM7" s="2214">
        <v>0.02</v>
      </c>
      <c r="AN7" s="2216" t="s">
        <v>3306</v>
      </c>
      <c r="AO7" s="3055"/>
      <c r="AP7" s="1169">
        <f t="shared" ref="AP7:AP13" si="8">ROUND(1-1/(1+H7)^F7,3)</f>
        <v>0</v>
      </c>
      <c r="AQ7" s="3055"/>
      <c r="AR7" s="3055"/>
      <c r="AS7" s="3055"/>
      <c r="AT7" s="3055"/>
      <c r="AU7" s="3055"/>
      <c r="AV7" s="3055"/>
      <c r="AW7" s="3055"/>
      <c r="AX7" s="3055"/>
      <c r="AY7" s="3055"/>
      <c r="AZ7" s="3055"/>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1" t="str">
        <f>'数据-汇总表'!C21</f>
        <v>教卫</v>
      </c>
      <c r="B8" s="2186" t="str">
        <f t="shared" si="1"/>
        <v>经营性</v>
      </c>
      <c r="C8" s="171" t="s">
        <v>1650</v>
      </c>
      <c r="D8" s="2157">
        <f>SUMIF(项目基本情况!D$15:I$15,C8,项目基本情况!D$18:I$18)</f>
        <v>50</v>
      </c>
      <c r="E8" s="2158">
        <f>IF(B8="","",SUMIF(项目基本情况!D$15:I$15,C8,项目基本情况!D$17:I$17))</f>
        <v>65746</v>
      </c>
      <c r="F8" s="172">
        <f>SUMIF(项目基本情况!D$15:I$15,C8,项目基本情况!D$19:I$19)</f>
        <v>50</v>
      </c>
      <c r="G8" s="173">
        <f t="shared" si="2"/>
        <v>0</v>
      </c>
      <c r="H8" s="2704"/>
      <c r="I8" s="2704">
        <v>0.05</v>
      </c>
      <c r="J8" s="174"/>
      <c r="K8" s="177">
        <f>SUMIF('数据-汇总表'!C$19:C$33,'数据-取费表'!A8,'数据-汇总表'!E$19:E$33)</f>
        <v>11389.58</v>
      </c>
      <c r="L8" s="2705">
        <v>3000</v>
      </c>
      <c r="M8" s="175">
        <f>ROUND(K8*L8/10000,0)</f>
        <v>3417</v>
      </c>
      <c r="N8" s="2706">
        <v>0.7</v>
      </c>
      <c r="O8" s="175" t="str">
        <f t="shared" si="3"/>
        <v>——</v>
      </c>
      <c r="P8" s="176" t="str">
        <f t="shared" si="4"/>
        <v>——</v>
      </c>
      <c r="Q8" s="2707">
        <v>0.15</v>
      </c>
      <c r="R8" s="177">
        <f>SUMIF('数据-汇总表'!C$19:C$33,A8,'数据-汇总表'!R$19:R$33)</f>
        <v>11389.58</v>
      </c>
      <c r="S8" s="132">
        <f>IF('数据-汇总表'!$I$17="按面积比例",SUMIF('数据-汇总表'!C$19:C$33,A8,'数据-汇总表'!K$19:K$33),SUMIF('数据-汇总表'!C$19:C$33,A8,'数据-汇总表'!N$19:N$33))</f>
        <v>0</v>
      </c>
      <c r="T8" s="2083" t="str">
        <f t="shared" si="5"/>
        <v>0</v>
      </c>
      <c r="U8" s="178">
        <v>2</v>
      </c>
      <c r="V8" s="179">
        <v>0</v>
      </c>
      <c r="W8" s="179">
        <v>0.15</v>
      </c>
      <c r="X8" s="2170"/>
      <c r="Y8" s="180">
        <v>0.7</v>
      </c>
      <c r="Z8" s="181"/>
      <c r="AA8" s="174"/>
      <c r="AB8" s="174"/>
      <c r="AC8" s="2173"/>
      <c r="AD8" s="182"/>
      <c r="AE8" s="942">
        <f t="shared" ca="1" si="6"/>
        <v>50</v>
      </c>
      <c r="AF8" s="139"/>
      <c r="AG8" s="1178">
        <f t="shared" si="7"/>
        <v>0</v>
      </c>
      <c r="AH8" s="139"/>
      <c r="AI8" s="185">
        <v>365</v>
      </c>
      <c r="AJ8" s="186"/>
      <c r="AK8" s="187">
        <v>1.4999999999999999E-2</v>
      </c>
      <c r="AL8" s="188">
        <f>AL6</f>
        <v>1.5E-3</v>
      </c>
      <c r="AM8" s="2214">
        <f>AM6</f>
        <v>0.01</v>
      </c>
      <c r="AN8" s="2216" t="s">
        <v>3318</v>
      </c>
      <c r="AO8" s="3055"/>
      <c r="AP8" s="1169">
        <f t="shared" si="8"/>
        <v>0</v>
      </c>
      <c r="AQ8" s="3055"/>
      <c r="AR8" s="3055"/>
      <c r="AS8" s="3055"/>
      <c r="AT8" s="3055"/>
      <c r="AU8" s="3055"/>
      <c r="AV8" s="3055"/>
      <c r="AW8" s="3055"/>
      <c r="AX8" s="3055"/>
      <c r="AY8" s="3055"/>
      <c r="AZ8" s="3055"/>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3" t="str">
        <f t="shared" si="5"/>
        <v>0</v>
      </c>
      <c r="U9" s="178"/>
      <c r="V9" s="179"/>
      <c r="W9" s="179"/>
      <c r="X9" s="2170"/>
      <c r="Y9" s="180"/>
      <c r="Z9" s="181"/>
      <c r="AA9" s="174"/>
      <c r="AB9" s="174"/>
      <c r="AC9" s="2173"/>
      <c r="AD9" s="182"/>
      <c r="AE9" s="942">
        <f t="shared" ca="1" si="6"/>
        <v>0</v>
      </c>
      <c r="AF9" s="139"/>
      <c r="AG9" s="1178">
        <f t="shared" si="7"/>
        <v>0</v>
      </c>
      <c r="AH9" s="139"/>
      <c r="AI9" s="185"/>
      <c r="AJ9" s="186"/>
      <c r="AK9" s="187"/>
      <c r="AL9" s="188"/>
      <c r="AM9" s="2214"/>
      <c r="AN9" s="2216"/>
      <c r="AO9" s="3055"/>
      <c r="AP9" s="1169">
        <f t="shared" si="8"/>
        <v>0</v>
      </c>
      <c r="AQ9" s="3055"/>
      <c r="AR9" s="3055"/>
      <c r="AS9" s="3055"/>
      <c r="AT9" s="3055"/>
      <c r="AU9" s="3055"/>
      <c r="AV9" s="3055"/>
      <c r="AW9" s="3055"/>
      <c r="AX9" s="3055"/>
      <c r="AY9" s="3055"/>
      <c r="AZ9" s="3055"/>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3" t="str">
        <f t="shared" si="5"/>
        <v>0</v>
      </c>
      <c r="U10" s="178"/>
      <c r="V10" s="179"/>
      <c r="W10" s="179"/>
      <c r="X10" s="2170"/>
      <c r="Y10" s="180"/>
      <c r="Z10" s="181"/>
      <c r="AA10" s="174"/>
      <c r="AB10" s="174"/>
      <c r="AC10" s="2173"/>
      <c r="AD10" s="182"/>
      <c r="AE10" s="942">
        <f t="shared" ca="1" si="6"/>
        <v>0</v>
      </c>
      <c r="AF10" s="139"/>
      <c r="AG10" s="1178">
        <f t="shared" si="7"/>
        <v>0</v>
      </c>
      <c r="AH10" s="139"/>
      <c r="AI10" s="185"/>
      <c r="AJ10" s="186"/>
      <c r="AK10" s="187"/>
      <c r="AL10" s="188"/>
      <c r="AM10" s="2214"/>
      <c r="AN10" s="2216"/>
      <c r="AO10" s="3055"/>
      <c r="AP10" s="1169">
        <f t="shared" si="8"/>
        <v>0</v>
      </c>
      <c r="AQ10" s="3055"/>
      <c r="AR10" s="3055"/>
      <c r="AS10" s="3055"/>
      <c r="AT10" s="3055"/>
      <c r="AU10" s="3055"/>
      <c r="AV10" s="3055"/>
      <c r="AW10" s="3055"/>
      <c r="AX10" s="3055"/>
      <c r="AY10" s="3055"/>
      <c r="AZ10" s="3055"/>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3" t="str">
        <f t="shared" si="5"/>
        <v>0</v>
      </c>
      <c r="U11" s="183"/>
      <c r="V11" s="174"/>
      <c r="W11" s="174"/>
      <c r="X11" s="2173"/>
      <c r="Y11" s="180"/>
      <c r="Z11" s="193"/>
      <c r="AA11" s="174"/>
      <c r="AB11" s="174"/>
      <c r="AC11" s="2173"/>
      <c r="AD11" s="182"/>
      <c r="AE11" s="942">
        <f t="shared" ca="1" si="6"/>
        <v>0</v>
      </c>
      <c r="AF11" s="139"/>
      <c r="AG11" s="1178">
        <f t="shared" si="7"/>
        <v>0</v>
      </c>
      <c r="AH11" s="139"/>
      <c r="AI11" s="185"/>
      <c r="AJ11" s="186"/>
      <c r="AK11" s="194"/>
      <c r="AL11" s="195"/>
      <c r="AM11" s="1703"/>
      <c r="AN11" s="2216"/>
      <c r="AO11" s="3055"/>
      <c r="AP11" s="1169">
        <f t="shared" si="8"/>
        <v>0</v>
      </c>
      <c r="AQ11" s="3055"/>
      <c r="AR11" s="3055"/>
      <c r="AS11" s="3055"/>
      <c r="AT11" s="3055"/>
      <c r="AU11" s="3055"/>
      <c r="AV11" s="3055"/>
      <c r="AW11" s="3055"/>
      <c r="AX11" s="3055"/>
      <c r="AY11" s="3055"/>
      <c r="AZ11" s="3055"/>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3" t="str">
        <f t="shared" si="5"/>
        <v>0</v>
      </c>
      <c r="U12" s="183"/>
      <c r="V12" s="174"/>
      <c r="W12" s="174"/>
      <c r="X12" s="2173"/>
      <c r="Y12" s="180"/>
      <c r="Z12" s="193"/>
      <c r="AA12" s="174"/>
      <c r="AB12" s="174"/>
      <c r="AC12" s="2173"/>
      <c r="AD12" s="182"/>
      <c r="AE12" s="942">
        <f t="shared" ca="1" si="6"/>
        <v>0</v>
      </c>
      <c r="AF12" s="139"/>
      <c r="AG12" s="1178">
        <f t="shared" si="7"/>
        <v>0</v>
      </c>
      <c r="AH12" s="139"/>
      <c r="AI12" s="185"/>
      <c r="AJ12" s="186"/>
      <c r="AK12" s="194"/>
      <c r="AL12" s="195"/>
      <c r="AM12" s="1703"/>
      <c r="AN12" s="2216"/>
      <c r="AO12" s="3055"/>
      <c r="AP12" s="1169">
        <f t="shared" si="8"/>
        <v>0</v>
      </c>
      <c r="AQ12" s="3055"/>
      <c r="AR12" s="3055"/>
      <c r="AS12" s="3055"/>
      <c r="AT12" s="3055"/>
      <c r="AU12" s="3055"/>
      <c r="AV12" s="3055"/>
      <c r="AW12" s="3055"/>
      <c r="AX12" s="3055"/>
      <c r="AY12" s="3055"/>
      <c r="AZ12" s="3055"/>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3" t="str">
        <f t="shared" si="5"/>
        <v>0</v>
      </c>
      <c r="U13" s="178"/>
      <c r="V13" s="179"/>
      <c r="W13" s="179"/>
      <c r="X13" s="2170"/>
      <c r="Y13" s="180"/>
      <c r="Z13" s="181"/>
      <c r="AA13" s="174"/>
      <c r="AB13" s="174"/>
      <c r="AC13" s="2173"/>
      <c r="AD13" s="182"/>
      <c r="AE13" s="942">
        <f t="shared" ca="1" si="6"/>
        <v>0</v>
      </c>
      <c r="AF13" s="139"/>
      <c r="AG13" s="1178">
        <f t="shared" si="7"/>
        <v>0</v>
      </c>
      <c r="AH13" s="139"/>
      <c r="AI13" s="185"/>
      <c r="AJ13" s="186"/>
      <c r="AK13" s="187"/>
      <c r="AL13" s="188"/>
      <c r="AM13" s="2214"/>
      <c r="AN13" s="2216"/>
      <c r="AO13" s="3055"/>
      <c r="AP13" s="1169">
        <f t="shared" si="8"/>
        <v>0</v>
      </c>
      <c r="AQ13" s="3055"/>
      <c r="AR13" s="3055"/>
      <c r="AS13" s="3055"/>
      <c r="AT13" s="3055"/>
      <c r="AU13" s="3055"/>
      <c r="AV13" s="3055"/>
      <c r="AW13" s="3055"/>
      <c r="AX13" s="3055"/>
      <c r="AY13" s="3055"/>
      <c r="AZ13" s="3055"/>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2" t="s">
        <v>2277</v>
      </c>
      <c r="B14" s="2155" t="s">
        <v>1652</v>
      </c>
      <c r="C14" s="2156" t="s">
        <v>2277</v>
      </c>
      <c r="D14" s="2157"/>
      <c r="E14" s="2158"/>
      <c r="F14" s="172"/>
      <c r="G14" s="173"/>
      <c r="H14" s="2159"/>
      <c r="I14" s="2159"/>
      <c r="J14" s="2159"/>
      <c r="K14" s="177">
        <f>SUMIF('数据-汇总表'!C$19:C$33,'数据-取费表'!A14,'数据-汇总表'!E$19:E$33)</f>
        <v>0</v>
      </c>
      <c r="L14" s="191"/>
      <c r="M14" s="175">
        <f t="shared" si="0"/>
        <v>0</v>
      </c>
      <c r="N14" s="192"/>
      <c r="O14" s="175" t="str">
        <f t="shared" si="3"/>
        <v>——</v>
      </c>
      <c r="P14" s="176" t="str">
        <f t="shared" si="4"/>
        <v>——</v>
      </c>
      <c r="Q14" s="2167"/>
      <c r="R14" s="177"/>
      <c r="S14" s="132"/>
      <c r="T14" s="2166"/>
      <c r="U14" s="944"/>
      <c r="V14" s="2169"/>
      <c r="W14" s="2169"/>
      <c r="X14" s="2170"/>
      <c r="Y14" s="2171"/>
      <c r="Z14" s="135"/>
      <c r="AA14" s="2172"/>
      <c r="AB14" s="2172"/>
      <c r="AC14" s="2173"/>
      <c r="AD14" s="2170"/>
      <c r="AE14" s="942"/>
      <c r="AF14" s="2145"/>
      <c r="AG14" s="1178"/>
      <c r="AH14" s="2145"/>
      <c r="AI14" s="1479"/>
      <c r="AJ14" s="1479"/>
      <c r="AK14" s="2174"/>
      <c r="AL14" s="2175"/>
      <c r="AM14" s="2176"/>
      <c r="AN14" s="3055"/>
      <c r="AO14" s="3055"/>
      <c r="AP14" s="3055"/>
      <c r="AQ14" s="3055"/>
      <c r="AR14" s="3055"/>
      <c r="AS14" s="3055"/>
      <c r="AT14" s="3055"/>
      <c r="AU14" s="3055"/>
      <c r="AV14" s="3055"/>
      <c r="AW14" s="3055"/>
      <c r="AX14" s="3055"/>
      <c r="AY14" s="3055"/>
      <c r="AZ14" s="3055"/>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1" t="s">
        <v>2279</v>
      </c>
      <c r="B15" s="2155" t="s">
        <v>1652</v>
      </c>
      <c r="C15" s="2156" t="s">
        <v>2278</v>
      </c>
      <c r="D15" s="2157"/>
      <c r="E15" s="2158"/>
      <c r="F15" s="172"/>
      <c r="G15" s="173"/>
      <c r="H15" s="2159"/>
      <c r="I15" s="2159"/>
      <c r="J15" s="2159"/>
      <c r="K15" s="177">
        <f>SUMIF('数据-汇总表'!C$19:C$33,'数据-取费表'!A15,'数据-汇总表'!E$19:E$33)</f>
        <v>0</v>
      </c>
      <c r="L15" s="2165"/>
      <c r="M15" s="175"/>
      <c r="N15" s="2168"/>
      <c r="O15" s="175"/>
      <c r="P15" s="176"/>
      <c r="Q15" s="2167"/>
      <c r="R15" s="177"/>
      <c r="S15" s="132"/>
      <c r="T15" s="2166"/>
      <c r="U15" s="944"/>
      <c r="V15" s="2169"/>
      <c r="W15" s="2169"/>
      <c r="X15" s="2170"/>
      <c r="Y15" s="2171"/>
      <c r="Z15" s="135"/>
      <c r="AA15" s="2172"/>
      <c r="AB15" s="2172"/>
      <c r="AC15" s="2173"/>
      <c r="AD15" s="2170"/>
      <c r="AE15" s="942"/>
      <c r="AF15" s="2145"/>
      <c r="AG15" s="1178"/>
      <c r="AH15" s="2145"/>
      <c r="AI15" s="1479"/>
      <c r="AJ15" s="1479"/>
      <c r="AK15" s="2174"/>
      <c r="AL15" s="2175"/>
      <c r="AM15" s="2176"/>
      <c r="AN15" s="3055"/>
      <c r="AO15" s="3055"/>
      <c r="AP15" s="3055"/>
      <c r="AQ15" s="3055"/>
      <c r="AR15" s="3055"/>
      <c r="AS15" s="3055"/>
      <c r="AT15" s="3055"/>
      <c r="AU15" s="3055"/>
      <c r="AV15" s="3055"/>
      <c r="AW15" s="3055"/>
      <c r="AX15" s="3055"/>
      <c r="AY15" s="3055"/>
      <c r="AZ15" s="3055"/>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261</v>
      </c>
      <c r="B16" s="197"/>
      <c r="C16" s="198"/>
      <c r="D16" s="199"/>
      <c r="E16" s="197"/>
      <c r="F16" s="197"/>
      <c r="G16" s="200" t="e">
        <f>ROUND(SUMPRODUCT(G6:G13,K6:K13)/SUMPRODUCT((G6:G13&gt;0)*(K6:K13)),3)</f>
        <v>#DIV/0!</v>
      </c>
      <c r="H16" s="201" t="e">
        <f>ROUND(SUMPRODUCT(H6:H13,K6:K13)/SUMPRODUCT((H6:H13&gt;0)*(K6:K13)),3)</f>
        <v>#DIV/0!</v>
      </c>
      <c r="I16" s="202"/>
      <c r="J16" s="202"/>
      <c r="K16" s="203">
        <f>SUM(K6:K15)</f>
        <v>155413.54999999999</v>
      </c>
      <c r="L16" s="204">
        <f>ROUND(M16*10000/SUM(K6:K14),0)</f>
        <v>2474</v>
      </c>
      <c r="M16" s="204">
        <f>SUM(M6:M14)</f>
        <v>38452</v>
      </c>
      <c r="N16" s="205">
        <f>ROUND(SUMPRODUCT(M6:M14,N6:N14)/M16,3)</f>
        <v>0.7</v>
      </c>
      <c r="O16" s="204">
        <f>SUM(O6:O14)</f>
        <v>0</v>
      </c>
      <c r="P16" s="204">
        <f>SUM(P6:P14)</f>
        <v>0</v>
      </c>
      <c r="Q16" s="206">
        <f>ROUND(SUMPRODUCT(Q6:Q13,K6:K13)/SUMPRODUCT((Q6:Q13&gt;0)*(K6:K13)),2)</f>
        <v>0.13</v>
      </c>
      <c r="R16" s="2160">
        <f>SUM(R6:R13)</f>
        <v>155413.54999999999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t="e">
        <f>ROUND(SUMPRODUCT(AP6:AP13,K6:K13)/SUMPRODUCT((AP6:AP13&gt;0)*(K6:K13)),3)</f>
        <v>#DIV/0!</v>
      </c>
      <c r="AQ16" s="3055"/>
      <c r="AR16" s="3055"/>
      <c r="AS16" s="3055"/>
      <c r="AT16" s="3055"/>
      <c r="AU16" s="3055"/>
      <c r="AV16" s="3055"/>
      <c r="AW16" s="3055"/>
      <c r="AX16" s="3055"/>
      <c r="AY16" s="3055"/>
      <c r="AZ16" s="3055"/>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262</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263</v>
      </c>
      <c r="B19" s="216">
        <v>1</v>
      </c>
      <c r="C19" s="3067" t="s">
        <v>2952</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264</v>
      </c>
      <c r="B20" s="218">
        <v>2</v>
      </c>
      <c r="C20" s="3067" t="s">
        <v>2298</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265</v>
      </c>
      <c r="B21" s="218"/>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266</v>
      </c>
      <c r="B22" s="220">
        <f>B19+B20</f>
        <v>3</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267</v>
      </c>
      <c r="B23" s="220">
        <f>B19+B21</f>
        <v>1</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268</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269</v>
      </c>
      <c r="B26" s="223" t="s">
        <v>270</v>
      </c>
      <c r="C26" s="3057" t="s">
        <v>271</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2300</v>
      </c>
      <c r="B27" s="225"/>
      <c r="C27" s="3068" t="s">
        <v>2953</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2301</v>
      </c>
      <c r="B28" s="227">
        <v>155</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2299</v>
      </c>
      <c r="B29" s="230">
        <f>成本逼近法!C13</f>
        <v>2409</v>
      </c>
      <c r="C29" s="3069" t="s">
        <v>2302</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272</v>
      </c>
      <c r="B30" s="948"/>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273</v>
      </c>
      <c r="B31" s="228">
        <f>B30-B32</f>
        <v>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274</v>
      </c>
      <c r="B32" s="1303"/>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277</v>
      </c>
      <c r="B33" s="1304">
        <v>0.03</v>
      </c>
      <c r="C33" s="3070" t="s">
        <v>2940</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278</v>
      </c>
      <c r="B34" s="231">
        <v>0</v>
      </c>
      <c r="C34" s="3070" t="s">
        <v>2941</v>
      </c>
      <c r="D34" s="3071" t="s">
        <v>2949</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275</v>
      </c>
      <c r="B35" s="227">
        <v>200</v>
      </c>
      <c r="C35" s="3070" t="s">
        <v>2942</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276</v>
      </c>
      <c r="B36" s="232">
        <v>1.4999999999999999E-2</v>
      </c>
      <c r="C36" s="3070" t="s">
        <v>2943</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279</v>
      </c>
      <c r="B37" s="234">
        <v>0.01</v>
      </c>
      <c r="C37" s="3070" t="s">
        <v>2944</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280</v>
      </c>
      <c r="B38" s="231">
        <v>0.01</v>
      </c>
      <c r="C38" s="3070" t="s">
        <v>2944</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9" t="s">
        <v>2408</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9" t="s">
        <v>2409</v>
      </c>
      <c r="B40" s="2303">
        <f ca="1">存贷款利率!E2</f>
        <v>4.7500000000000001E-2</v>
      </c>
      <c r="C40" s="3070" t="s">
        <v>2945</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281</v>
      </c>
      <c r="B41" s="236">
        <f>B42+B43</f>
        <v>5.5000000000000007E-2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282</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283</v>
      </c>
      <c r="B43" s="239">
        <f>B42*(B44+B45+B46)+B47</f>
        <v>5.000000000000001E-3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284</v>
      </c>
      <c r="B44" s="240">
        <v>0.05</v>
      </c>
      <c r="C44" s="3070" t="s">
        <v>2950</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285</v>
      </c>
      <c r="B45" s="238">
        <v>0.03</v>
      </c>
      <c r="C45" s="3073" t="s">
        <v>2946</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286</v>
      </c>
      <c r="B46" s="238">
        <v>0.02</v>
      </c>
      <c r="C46" s="3073" t="s">
        <v>2947</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287</v>
      </c>
      <c r="B47" s="242"/>
      <c r="C47" s="3068" t="s">
        <v>2954</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288</v>
      </c>
      <c r="B48" s="244">
        <v>0.03</v>
      </c>
      <c r="C48" s="3073" t="s">
        <v>2946</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289</v>
      </c>
      <c r="B49" s="238">
        <v>5.0000000000000001E-4</v>
      </c>
      <c r="C49" s="3073" t="s">
        <v>2948</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290</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291</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292</v>
      </c>
      <c r="B52" s="248">
        <f>SUMIF(A54:A63,B53,B54:B63)</f>
        <v>1.5</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293</v>
      </c>
      <c r="B53" s="249" t="s">
        <v>1383</v>
      </c>
      <c r="C53" s="3063" t="s">
        <v>2840</v>
      </c>
      <c r="D53" s="3074" t="s">
        <v>2951</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8" t="s">
        <v>2841</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8" t="s">
        <v>2842</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8" t="s">
        <v>2843</v>
      </c>
      <c r="B56" s="184"/>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8" t="s">
        <v>2844</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8" t="s">
        <v>2845</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8" t="s">
        <v>2846</v>
      </c>
      <c r="B59" s="184">
        <v>1.5</v>
      </c>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8" t="s">
        <v>2847</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8" t="s">
        <v>2848</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8" t="s">
        <v>2849</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9" t="s">
        <v>2850</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6" customWidth="1"/>
    <col min="2" max="2" width="23.37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37" t="s">
        <v>1636</v>
      </c>
      <c r="B1" s="3638"/>
      <c r="C1" s="3638"/>
      <c r="D1" s="3638"/>
      <c r="E1" s="3638"/>
      <c r="F1" s="3638"/>
      <c r="G1" s="3638"/>
      <c r="H1" s="3075"/>
      <c r="I1" s="3076"/>
      <c r="J1" s="3077"/>
      <c r="K1" s="3075"/>
      <c r="L1" s="3076"/>
      <c r="M1" s="3077"/>
      <c r="N1" s="3075"/>
      <c r="O1" s="3076"/>
      <c r="P1" s="3077"/>
      <c r="Q1" s="3078"/>
      <c r="R1" s="3079"/>
    </row>
    <row r="2" spans="1:18" ht="14.25" thickBot="1">
      <c r="A2" s="3081"/>
      <c r="B2" s="3082"/>
      <c r="C2" s="3083" t="s">
        <v>1637</v>
      </c>
      <c r="D2" s="3084"/>
      <c r="E2" s="3081"/>
      <c r="F2" s="3085"/>
      <c r="G2" s="3083" t="s">
        <v>1638</v>
      </c>
      <c r="H2" s="3086"/>
      <c r="I2" s="3086"/>
      <c r="J2" s="3086"/>
      <c r="K2" s="3086"/>
      <c r="L2" s="3086"/>
      <c r="M2" s="3086"/>
      <c r="N2" s="3086"/>
      <c r="O2" s="3086"/>
      <c r="P2" s="3086"/>
      <c r="Q2" s="3086"/>
      <c r="R2" s="3086"/>
    </row>
    <row r="3" spans="1:18" ht="40.5">
      <c r="A3" s="3087" t="s">
        <v>1639</v>
      </c>
      <c r="B3" s="3088" t="s">
        <v>1626</v>
      </c>
      <c r="C3" s="3089" t="s">
        <v>2857</v>
      </c>
      <c r="D3" s="3090"/>
      <c r="E3" s="3091" t="s">
        <v>1639</v>
      </c>
      <c r="F3" s="3092" t="s">
        <v>1627</v>
      </c>
      <c r="G3" s="3093" t="s">
        <v>2856</v>
      </c>
      <c r="H3" s="3086"/>
      <c r="I3" s="3086"/>
      <c r="J3" s="3086"/>
      <c r="K3" s="3086"/>
      <c r="L3" s="3086"/>
      <c r="M3" s="3086"/>
      <c r="N3" s="3086"/>
      <c r="O3" s="3086"/>
      <c r="P3" s="3086"/>
      <c r="Q3" s="3086"/>
      <c r="R3" s="3086"/>
    </row>
    <row r="4" spans="1:18" ht="40.5">
      <c r="A4" s="3091"/>
      <c r="B4" s="3094" t="s">
        <v>1640</v>
      </c>
      <c r="C4" s="3095" t="s">
        <v>2858</v>
      </c>
      <c r="D4" s="3090"/>
      <c r="E4" s="3096"/>
      <c r="F4" s="3097" t="s">
        <v>1641</v>
      </c>
      <c r="G4" s="3098" t="s">
        <v>2853</v>
      </c>
      <c r="H4" s="3086"/>
      <c r="I4" s="3086"/>
      <c r="J4" s="3086"/>
      <c r="K4" s="3086"/>
      <c r="L4" s="3086"/>
      <c r="M4" s="3086"/>
      <c r="N4" s="3086"/>
      <c r="O4" s="3086"/>
      <c r="P4" s="3086"/>
      <c r="Q4" s="3086"/>
      <c r="R4" s="3086"/>
    </row>
    <row r="5" spans="1:18" ht="41.25">
      <c r="A5" s="3091"/>
      <c r="B5" s="3094" t="s">
        <v>1642</v>
      </c>
      <c r="C5" s="3095" t="s">
        <v>2859</v>
      </c>
      <c r="D5" s="3090"/>
      <c r="E5" s="3096"/>
      <c r="F5" s="3094" t="s">
        <v>2498</v>
      </c>
      <c r="G5" s="3098" t="s">
        <v>2854</v>
      </c>
      <c r="H5" s="3086"/>
      <c r="I5" s="3086"/>
      <c r="J5" s="3086"/>
      <c r="K5" s="3086"/>
      <c r="L5" s="3086"/>
      <c r="M5" s="3086"/>
      <c r="N5" s="3086"/>
      <c r="O5" s="3086"/>
      <c r="P5" s="3086"/>
      <c r="Q5" s="3086"/>
      <c r="R5" s="3086"/>
    </row>
    <row r="6" spans="1:18" ht="40.5">
      <c r="A6" s="3091"/>
      <c r="B6" s="3094" t="s">
        <v>1628</v>
      </c>
      <c r="C6" s="3098" t="s">
        <v>2853</v>
      </c>
      <c r="D6" s="3090"/>
      <c r="E6" s="3096"/>
      <c r="F6" s="3094" t="s">
        <v>2499</v>
      </c>
      <c r="G6" s="3098" t="s">
        <v>2851</v>
      </c>
      <c r="H6" s="3086"/>
      <c r="I6" s="3086"/>
      <c r="J6" s="3086"/>
      <c r="K6" s="3086"/>
      <c r="L6" s="3086"/>
      <c r="M6" s="3086"/>
      <c r="N6" s="3086"/>
      <c r="O6" s="3086"/>
      <c r="P6" s="3086"/>
      <c r="Q6" s="3086"/>
      <c r="R6" s="3086"/>
    </row>
    <row r="7" spans="1:18" ht="27.75" thickBot="1">
      <c r="A7" s="3091"/>
      <c r="B7" s="3094" t="s">
        <v>2498</v>
      </c>
      <c r="C7" s="3098" t="s">
        <v>2854</v>
      </c>
      <c r="D7" s="3099"/>
      <c r="E7" s="3100"/>
      <c r="F7" s="3101" t="s">
        <v>1643</v>
      </c>
      <c r="G7" s="3102" t="s">
        <v>2855</v>
      </c>
      <c r="H7" s="3086"/>
      <c r="I7" s="3086"/>
      <c r="J7" s="3086"/>
      <c r="K7" s="3086"/>
      <c r="L7" s="3086"/>
      <c r="M7" s="3086"/>
      <c r="N7" s="3086"/>
      <c r="O7" s="3086"/>
      <c r="P7" s="3086"/>
      <c r="Q7" s="3086"/>
      <c r="R7" s="3086"/>
    </row>
    <row r="8" spans="1:18">
      <c r="A8" s="3091"/>
      <c r="B8" s="3094" t="s">
        <v>2499</v>
      </c>
      <c r="C8" s="3098" t="s">
        <v>2851</v>
      </c>
      <c r="D8" s="3099"/>
      <c r="E8" s="3099"/>
      <c r="F8" s="3103"/>
      <c r="G8" s="3103"/>
      <c r="H8" s="3086"/>
      <c r="I8" s="3086"/>
      <c r="J8" s="3086"/>
      <c r="K8" s="3086"/>
      <c r="L8" s="3086"/>
      <c r="M8" s="3086"/>
      <c r="N8" s="3086"/>
      <c r="O8" s="3086"/>
      <c r="P8" s="3086"/>
      <c r="Q8" s="3086"/>
      <c r="R8" s="3086"/>
    </row>
    <row r="9" spans="1:18" ht="27">
      <c r="A9" s="3091"/>
      <c r="B9" s="3094" t="s">
        <v>1629</v>
      </c>
      <c r="C9" s="3095" t="s">
        <v>2852</v>
      </c>
      <c r="D9" s="3090"/>
      <c r="E9" s="3099"/>
      <c r="F9" s="3103"/>
      <c r="G9" s="3103"/>
      <c r="H9" s="3086"/>
      <c r="I9" s="3086"/>
      <c r="J9" s="3086"/>
      <c r="K9" s="3086"/>
      <c r="L9" s="3086"/>
      <c r="M9" s="3086"/>
      <c r="N9" s="3086"/>
      <c r="O9" s="3086"/>
      <c r="P9" s="3086"/>
      <c r="Q9" s="3086"/>
      <c r="R9" s="3086"/>
    </row>
    <row r="10" spans="1:18" s="3110" customFormat="1" ht="15" thickBot="1">
      <c r="A10" s="3104"/>
      <c r="B10" s="3105" t="s">
        <v>1644</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1645</v>
      </c>
      <c r="B13" s="3113"/>
      <c r="C13" s="3113"/>
      <c r="D13" s="3084"/>
      <c r="E13" s="3113"/>
      <c r="F13" s="3113"/>
      <c r="G13" s="3113"/>
    </row>
    <row r="14" spans="1:18" ht="14.25" thickBot="1">
      <c r="A14" s="3125"/>
      <c r="B14" s="3125"/>
      <c r="C14" s="3126" t="s">
        <v>1637</v>
      </c>
      <c r="D14" s="3090"/>
      <c r="E14" s="3127"/>
      <c r="F14" s="3127"/>
      <c r="G14" s="3083" t="s">
        <v>1638</v>
      </c>
    </row>
    <row r="15" spans="1:18" ht="40.5">
      <c r="A15" s="3128" t="s">
        <v>1630</v>
      </c>
      <c r="B15" s="3129" t="s">
        <v>1626</v>
      </c>
      <c r="C15" s="3130" t="str">
        <f>C3</f>
        <v>估价对象周边居住用地比例、居住小区规模和社区发展完善程度，综合评价居住社区成熟度一般</v>
      </c>
      <c r="D15" s="3090"/>
      <c r="E15" s="3131" t="s">
        <v>1631</v>
      </c>
      <c r="F15" s="3129" t="s">
        <v>1646</v>
      </c>
      <c r="G15" s="3132" t="str">
        <f>G3</f>
        <v>估价对象位于XX开发区，园区建设成熟度XX，产业集聚程度XX</v>
      </c>
    </row>
    <row r="16" spans="1:18" ht="40.5">
      <c r="A16" s="3133"/>
      <c r="B16" s="3134" t="s">
        <v>1640</v>
      </c>
      <c r="C16" s="3135" t="str">
        <f>C4</f>
        <v>估价对象位于XX商圈，周边商业氛围成熟，人流量大，商业繁华度好</v>
      </c>
      <c r="D16" s="3090"/>
      <c r="E16" s="3136"/>
      <c r="F16" s="3137" t="s">
        <v>1641</v>
      </c>
      <c r="G16" s="3138" t="str">
        <f>G4</f>
        <v>估价对象周边道路状况、公共交通通达情况、停车便捷程度，综合评价交通便捷度较好</v>
      </c>
    </row>
    <row r="17" spans="1:7" ht="40.5">
      <c r="A17" s="3133"/>
      <c r="B17" s="3134" t="s">
        <v>1642</v>
      </c>
      <c r="C17" s="3135" t="str">
        <f>C5</f>
        <v>估价对象位于XX商圈，周边办公楼项目较多，入驻率高，办公集聚程度较好</v>
      </c>
      <c r="D17" s="3099"/>
      <c r="E17" s="3136"/>
      <c r="F17" s="3137" t="s">
        <v>1647</v>
      </c>
      <c r="G17" s="3139"/>
    </row>
    <row r="18" spans="1:7" ht="40.5">
      <c r="A18" s="3133"/>
      <c r="B18" s="3137" t="s">
        <v>1628</v>
      </c>
      <c r="C18" s="3138" t="str">
        <f>C6</f>
        <v>估价对象周边道路状况、公共交通通达情况、停车便捷程度，综合评价交通便捷度较好</v>
      </c>
      <c r="D18" s="3099"/>
      <c r="E18" s="3136"/>
      <c r="F18" s="3137" t="s">
        <v>1643</v>
      </c>
      <c r="G18" s="3138" t="str">
        <f>G7</f>
        <v>该园区内是否有污染型企业，绿化情况，卫生条件，整体环境状况判断</v>
      </c>
    </row>
    <row r="19" spans="1:7" ht="27">
      <c r="A19" s="3133"/>
      <c r="B19" s="3137" t="s">
        <v>1632</v>
      </c>
      <c r="C19" s="3139"/>
      <c r="D19" s="3090"/>
      <c r="E19" s="3136"/>
      <c r="F19" s="3094" t="s">
        <v>2498</v>
      </c>
      <c r="G19" s="3138" t="str">
        <f>G5</f>
        <v>估价对象所在区域公共配套设施齐备情况</v>
      </c>
    </row>
    <row r="20" spans="1:7" ht="27">
      <c r="A20" s="3133"/>
      <c r="B20" s="3137" t="s">
        <v>1633</v>
      </c>
      <c r="C20" s="3135" t="str">
        <f>C9</f>
        <v>区域自然环境：；人文环境；综合评价环境状况一般</v>
      </c>
      <c r="D20" s="3099"/>
      <c r="E20" s="3136"/>
      <c r="F20" s="3094" t="s">
        <v>2499</v>
      </c>
      <c r="G20" s="3138" t="str">
        <f>G6</f>
        <v>估价对象所在区域基础设施水平</v>
      </c>
    </row>
    <row r="21" spans="1:7" ht="27">
      <c r="A21" s="3133"/>
      <c r="B21" s="3094" t="s">
        <v>2498</v>
      </c>
      <c r="C21" s="3138" t="str">
        <f>C7</f>
        <v>估价对象所在区域公共配套设施齐备情况</v>
      </c>
      <c r="D21" s="3090"/>
      <c r="E21" s="3136"/>
      <c r="F21" s="3137" t="s">
        <v>1634</v>
      </c>
      <c r="G21" s="3140"/>
    </row>
    <row r="22" spans="1:7" ht="14.25">
      <c r="A22" s="3133"/>
      <c r="B22" s="3094" t="s">
        <v>2499</v>
      </c>
      <c r="C22" s="3138" t="str">
        <f>C8</f>
        <v>估价对象所在区域基础设施水平</v>
      </c>
      <c r="D22" s="3090"/>
      <c r="E22" s="3136"/>
      <c r="F22" s="3137" t="s">
        <v>1644</v>
      </c>
      <c r="G22" s="3139"/>
    </row>
    <row r="23" spans="1:7" ht="15" thickBot="1">
      <c r="A23" s="3133"/>
      <c r="B23" s="3137" t="s">
        <v>1634</v>
      </c>
      <c r="C23" s="3140"/>
      <c r="E23" s="3141"/>
      <c r="F23" s="3142" t="s">
        <v>1648</v>
      </c>
      <c r="G23" s="3143"/>
    </row>
    <row r="24" spans="1:7" ht="14.25" thickBot="1">
      <c r="A24" s="3144"/>
      <c r="B24" s="3142" t="s">
        <v>1635</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3149" customWidth="1"/>
    <col min="2" max="16384" width="14.625" style="3149"/>
  </cols>
  <sheetData>
    <row r="1" spans="1:10" ht="16.5">
      <c r="A1" s="3148" t="s">
        <v>2791</v>
      </c>
      <c r="B1" s="3148">
        <f>SUM(B14:B23)</f>
        <v>155413.54999999999</v>
      </c>
      <c r="C1" s="3157"/>
      <c r="D1" s="3157"/>
      <c r="E1" s="3157"/>
      <c r="F1" s="3157"/>
      <c r="G1" s="3158"/>
      <c r="H1" s="3158"/>
      <c r="I1" s="3158"/>
      <c r="J1" s="3158"/>
    </row>
    <row r="2" spans="1:10" ht="16.5">
      <c r="A2" s="3148" t="s">
        <v>2792</v>
      </c>
      <c r="B2" s="3148">
        <f>SUM(C14:C23)</f>
        <v>155413.54999999999</v>
      </c>
      <c r="C2" s="3157"/>
      <c r="D2" s="3157"/>
      <c r="E2" s="3157"/>
      <c r="F2" s="3157"/>
      <c r="G2" s="3158"/>
      <c r="H2" s="3158"/>
      <c r="I2" s="3158"/>
      <c r="J2" s="3158"/>
    </row>
    <row r="3" spans="1:10" ht="16.5">
      <c r="A3" s="3148" t="s">
        <v>2793</v>
      </c>
      <c r="B3" s="3150">
        <f>项目基本情况!D3</f>
        <v>44623</v>
      </c>
      <c r="C3" s="3157"/>
      <c r="D3" s="3157"/>
      <c r="E3" s="3157"/>
      <c r="F3" s="3157"/>
      <c r="G3" s="3158"/>
      <c r="H3" s="3158"/>
      <c r="I3" s="3158"/>
      <c r="J3" s="3158"/>
    </row>
    <row r="4" spans="1:10" ht="33">
      <c r="A4" s="3148" t="s">
        <v>2794</v>
      </c>
      <c r="B4" s="3148" t="s">
        <v>2795</v>
      </c>
      <c r="C4" s="3148" t="s">
        <v>2796</v>
      </c>
      <c r="D4" s="3148" t="s">
        <v>2797</v>
      </c>
      <c r="E4" s="3157"/>
      <c r="F4" s="3157"/>
      <c r="G4" s="3158"/>
      <c r="H4" s="3158"/>
      <c r="I4" s="3158"/>
      <c r="J4" s="3158"/>
    </row>
    <row r="5" spans="1:10" ht="16.5">
      <c r="A5" s="3148" t="s">
        <v>2798</v>
      </c>
      <c r="B5" s="3148">
        <f>SUM(D14:D23)</f>
        <v>69021.188599999994</v>
      </c>
      <c r="C5" s="3148">
        <f>ROUND(B5*10000/$B$1,0)</f>
        <v>4441</v>
      </c>
      <c r="D5" s="3148">
        <f>ROUND(B5*10000/$B$2,0)</f>
        <v>4441</v>
      </c>
      <c r="E5" s="3157"/>
      <c r="F5" s="3157"/>
      <c r="G5" s="3158"/>
      <c r="H5" s="3158"/>
      <c r="I5" s="3158"/>
      <c r="J5" s="3158"/>
    </row>
    <row r="6" spans="1:10" ht="16.5">
      <c r="A6" s="3148" t="s">
        <v>2799</v>
      </c>
      <c r="B6" s="3148">
        <f>SUM(G14:G23)</f>
        <v>0</v>
      </c>
      <c r="C6" s="3148">
        <f t="shared" ref="C6:C8" si="0">ROUND(B6*10000/$B$1,0)</f>
        <v>0</v>
      </c>
      <c r="D6" s="3148">
        <f t="shared" ref="D6:D8" si="1">ROUND(B6*10000/$B$2,0)</f>
        <v>0</v>
      </c>
      <c r="E6" s="3157"/>
      <c r="F6" s="3157"/>
      <c r="G6" s="3158"/>
      <c r="H6" s="3158"/>
      <c r="I6" s="3158"/>
      <c r="J6" s="3158"/>
    </row>
    <row r="7" spans="1:10" ht="16.5">
      <c r="A7" s="3148" t="s">
        <v>2800</v>
      </c>
      <c r="B7" s="3148">
        <f>SUM(H14:H23)</f>
        <v>0</v>
      </c>
      <c r="C7" s="3148">
        <f t="shared" si="0"/>
        <v>0</v>
      </c>
      <c r="D7" s="3148">
        <f t="shared" si="1"/>
        <v>0</v>
      </c>
      <c r="E7" s="3157"/>
      <c r="F7" s="3157"/>
      <c r="G7" s="3158"/>
      <c r="H7" s="3158"/>
      <c r="I7" s="3158"/>
      <c r="J7" s="3158"/>
    </row>
    <row r="8" spans="1:10" ht="16.5">
      <c r="A8" s="3148" t="s">
        <v>2801</v>
      </c>
      <c r="B8" s="3148">
        <f>SUM(I14:I23)</f>
        <v>0</v>
      </c>
      <c r="C8" s="3148">
        <f t="shared" si="0"/>
        <v>0</v>
      </c>
      <c r="D8" s="3148">
        <f t="shared" si="1"/>
        <v>0</v>
      </c>
      <c r="E8" s="3157"/>
      <c r="F8" s="3157"/>
      <c r="G8" s="3158"/>
      <c r="H8" s="3158"/>
      <c r="I8" s="3158"/>
      <c r="J8" s="3158"/>
    </row>
    <row r="9" spans="1:10" ht="16.5">
      <c r="A9" s="3148" t="s">
        <v>2802</v>
      </c>
      <c r="B9" s="3156"/>
      <c r="C9" s="3157"/>
      <c r="D9" s="3157"/>
      <c r="E9" s="3157"/>
      <c r="F9" s="3157"/>
      <c r="G9" s="3158"/>
      <c r="H9" s="3158"/>
      <c r="I9" s="3158"/>
      <c r="J9" s="3158"/>
    </row>
    <row r="10" spans="1:10" ht="16.5">
      <c r="A10" s="3148" t="s">
        <v>2803</v>
      </c>
      <c r="B10" s="3156"/>
      <c r="C10" s="3157"/>
      <c r="D10" s="3157"/>
      <c r="E10" s="3157"/>
      <c r="F10" s="3157"/>
      <c r="G10" s="3158"/>
      <c r="H10" s="3158"/>
      <c r="I10" s="3158"/>
      <c r="J10" s="3158"/>
    </row>
    <row r="11" spans="1:10" ht="16.5">
      <c r="A11" s="3148" t="s">
        <v>2820</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2819</v>
      </c>
      <c r="B13" s="3152" t="s">
        <v>2791</v>
      </c>
      <c r="C13" s="3152" t="s">
        <v>2792</v>
      </c>
      <c r="D13" s="3152" t="s">
        <v>2804</v>
      </c>
      <c r="E13" s="3148" t="s">
        <v>2818</v>
      </c>
      <c r="F13" s="3148" t="s">
        <v>2797</v>
      </c>
      <c r="G13" s="3152" t="s">
        <v>2805</v>
      </c>
      <c r="H13" s="3152" t="s">
        <v>2806</v>
      </c>
      <c r="I13" s="3152" t="s">
        <v>2807</v>
      </c>
      <c r="J13" s="3158"/>
    </row>
    <row r="14" spans="1:10" ht="16.5">
      <c r="A14" s="3153" t="s">
        <v>2817</v>
      </c>
      <c r="B14" s="3154">
        <f>结果表!L38</f>
        <v>155413.54999999999</v>
      </c>
      <c r="C14" s="3154">
        <f>结果表!K38</f>
        <v>155413.54999999999</v>
      </c>
      <c r="D14" s="3154">
        <f>分地块结果表!N10</f>
        <v>69021.188599999994</v>
      </c>
      <c r="E14" s="3154">
        <f>ROUND(D14*10000/B14,0)</f>
        <v>4441</v>
      </c>
      <c r="F14" s="3154">
        <f>ROUND(D14*10000/C14,0)</f>
        <v>4441</v>
      </c>
      <c r="G14" s="3154" t="str">
        <f>结果表!C44</f>
        <v>——</v>
      </c>
      <c r="H14" s="3154" t="str">
        <f>结果表!C45</f>
        <v>——</v>
      </c>
      <c r="I14" s="3154" t="str">
        <f>结果表!C46</f>
        <v>——</v>
      </c>
      <c r="J14" s="3158"/>
    </row>
    <row r="15" spans="1:10" ht="16.5">
      <c r="A15" s="3153" t="s">
        <v>2808</v>
      </c>
      <c r="B15" s="3155"/>
      <c r="C15" s="3155"/>
      <c r="D15" s="3155"/>
      <c r="E15" s="3154" t="e">
        <f t="shared" ref="E15:E23" si="2">ROUND(D15*10000/B15,0)</f>
        <v>#DIV/0!</v>
      </c>
      <c r="F15" s="3154" t="e">
        <f t="shared" ref="F15:F23" si="3">ROUND(D15*10000/C15,0)</f>
        <v>#DIV/0!</v>
      </c>
      <c r="G15" s="2721"/>
      <c r="H15" s="2721"/>
      <c r="I15" s="3155"/>
      <c r="J15" s="3158"/>
    </row>
    <row r="16" spans="1:10" ht="16.5">
      <c r="A16" s="3153" t="s">
        <v>2809</v>
      </c>
      <c r="B16" s="3155"/>
      <c r="C16" s="3155"/>
      <c r="D16" s="3155"/>
      <c r="E16" s="3154" t="e">
        <f t="shared" si="2"/>
        <v>#DIV/0!</v>
      </c>
      <c r="F16" s="3154" t="e">
        <f t="shared" si="3"/>
        <v>#DIV/0!</v>
      </c>
      <c r="G16" s="2721"/>
      <c r="H16" s="2721"/>
      <c r="I16" s="3155"/>
      <c r="J16" s="3158"/>
    </row>
    <row r="17" spans="1:10" ht="16.5">
      <c r="A17" s="3153" t="s">
        <v>2810</v>
      </c>
      <c r="B17" s="3155"/>
      <c r="C17" s="3155"/>
      <c r="D17" s="3155"/>
      <c r="E17" s="3154" t="e">
        <f t="shared" si="2"/>
        <v>#DIV/0!</v>
      </c>
      <c r="F17" s="3154" t="e">
        <f t="shared" si="3"/>
        <v>#DIV/0!</v>
      </c>
      <c r="G17" s="2721"/>
      <c r="H17" s="2721"/>
      <c r="I17" s="3155"/>
      <c r="J17" s="3158"/>
    </row>
    <row r="18" spans="1:10" ht="16.5">
      <c r="A18" s="3153" t="s">
        <v>2811</v>
      </c>
      <c r="B18" s="3155"/>
      <c r="C18" s="3155"/>
      <c r="D18" s="3155"/>
      <c r="E18" s="3154" t="e">
        <f t="shared" si="2"/>
        <v>#DIV/0!</v>
      </c>
      <c r="F18" s="3154" t="e">
        <f t="shared" si="3"/>
        <v>#DIV/0!</v>
      </c>
      <c r="G18" s="3155"/>
      <c r="H18" s="3155"/>
      <c r="I18" s="3155"/>
      <c r="J18" s="3158"/>
    </row>
    <row r="19" spans="1:10" ht="16.5">
      <c r="A19" s="3153" t="s">
        <v>2812</v>
      </c>
      <c r="B19" s="3155"/>
      <c r="C19" s="3155"/>
      <c r="D19" s="3155"/>
      <c r="E19" s="3154" t="e">
        <f t="shared" si="2"/>
        <v>#DIV/0!</v>
      </c>
      <c r="F19" s="3154" t="e">
        <f t="shared" si="3"/>
        <v>#DIV/0!</v>
      </c>
      <c r="G19" s="3155"/>
      <c r="H19" s="3155"/>
      <c r="I19" s="3155"/>
      <c r="J19" s="3158"/>
    </row>
    <row r="20" spans="1:10" ht="16.5">
      <c r="A20" s="3153" t="s">
        <v>2813</v>
      </c>
      <c r="B20" s="3155"/>
      <c r="C20" s="3155"/>
      <c r="D20" s="3155"/>
      <c r="E20" s="3154" t="e">
        <f t="shared" si="2"/>
        <v>#DIV/0!</v>
      </c>
      <c r="F20" s="3154" t="e">
        <f t="shared" si="3"/>
        <v>#DIV/0!</v>
      </c>
      <c r="G20" s="3155"/>
      <c r="H20" s="3155"/>
      <c r="I20" s="3155"/>
      <c r="J20" s="3158"/>
    </row>
    <row r="21" spans="1:10" ht="16.5">
      <c r="A21" s="3153" t="s">
        <v>2814</v>
      </c>
      <c r="B21" s="3155"/>
      <c r="C21" s="3155"/>
      <c r="D21" s="3155"/>
      <c r="E21" s="3154" t="e">
        <f t="shared" si="2"/>
        <v>#DIV/0!</v>
      </c>
      <c r="F21" s="3154" t="e">
        <f t="shared" si="3"/>
        <v>#DIV/0!</v>
      </c>
      <c r="G21" s="3155"/>
      <c r="H21" s="3155"/>
      <c r="I21" s="3155"/>
      <c r="J21" s="3158"/>
    </row>
    <row r="22" spans="1:10" ht="16.5">
      <c r="A22" s="3153" t="s">
        <v>2815</v>
      </c>
      <c r="B22" s="3155"/>
      <c r="C22" s="3155"/>
      <c r="D22" s="3155"/>
      <c r="E22" s="3154" t="e">
        <f t="shared" si="2"/>
        <v>#DIV/0!</v>
      </c>
      <c r="F22" s="3154" t="e">
        <f t="shared" si="3"/>
        <v>#DIV/0!</v>
      </c>
      <c r="G22" s="3155"/>
      <c r="H22" s="3155"/>
      <c r="I22" s="3155"/>
      <c r="J22" s="3158"/>
    </row>
    <row r="23" spans="1:10" ht="16.5">
      <c r="A23" s="3153" t="s">
        <v>2816</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0"/>
  <sheetViews>
    <sheetView zoomScale="80" zoomScaleNormal="80" workbookViewId="0">
      <selection activeCell="F12" sqref="F12"/>
    </sheetView>
  </sheetViews>
  <sheetFormatPr defaultRowHeight="13.5"/>
  <cols>
    <col min="5" max="5" width="13.625" customWidth="1"/>
    <col min="6" max="7" width="11.875" customWidth="1"/>
    <col min="9" max="9" width="11" customWidth="1"/>
    <col min="10" max="10" width="15" customWidth="1"/>
    <col min="12" max="12" width="9.5" bestFit="1" customWidth="1"/>
  </cols>
  <sheetData>
    <row r="1" spans="1:14">
      <c r="A1" s="3210" t="s">
        <v>3314</v>
      </c>
      <c r="C1" s="3210" t="s">
        <v>3125</v>
      </c>
      <c r="D1" s="3210" t="s">
        <v>3126</v>
      </c>
      <c r="E1" s="3210" t="s">
        <v>3129</v>
      </c>
      <c r="F1" s="3210" t="s">
        <v>3130</v>
      </c>
      <c r="G1" s="3210" t="s">
        <v>3131</v>
      </c>
      <c r="H1" s="3454" t="s">
        <v>3127</v>
      </c>
      <c r="I1" s="3454" t="s">
        <v>2886</v>
      </c>
      <c r="J1" s="3454" t="s">
        <v>3132</v>
      </c>
    </row>
    <row r="2" spans="1:14">
      <c r="B2" s="3210" t="s">
        <v>3127</v>
      </c>
      <c r="C2" s="3533">
        <f>基准地价商业!C29</f>
        <v>11103</v>
      </c>
      <c r="D2">
        <f ca="1">剩余法商业!B3</f>
        <v>3561</v>
      </c>
      <c r="E2">
        <f ca="1">ROUND(C3*C2+D3*D2,0)</f>
        <v>8840</v>
      </c>
      <c r="F2" s="3523">
        <f>M28</f>
        <v>0.3003769230769231</v>
      </c>
      <c r="G2">
        <f ca="1">成本逼近法!B3</f>
        <v>5506</v>
      </c>
      <c r="H2" s="3454"/>
      <c r="I2" s="3454"/>
      <c r="J2" s="3454"/>
    </row>
    <row r="3" spans="1:14">
      <c r="B3" s="3210" t="s">
        <v>3128</v>
      </c>
      <c r="C3" s="3520">
        <v>0.7</v>
      </c>
      <c r="D3" s="3450">
        <f>1-C3</f>
        <v>0.30000000000000004</v>
      </c>
      <c r="F3" s="3520">
        <v>0.6</v>
      </c>
      <c r="G3" s="3450">
        <f>1-F3</f>
        <v>0.4</v>
      </c>
      <c r="H3" s="3454">
        <f ca="1">ROUND(F4*F3+G3*G2,0)</f>
        <v>5913</v>
      </c>
      <c r="I3" s="3454">
        <f>'数据-取费表'!K7</f>
        <v>41534</v>
      </c>
      <c r="J3" s="3454">
        <f ca="1">I3*H3/10000</f>
        <v>24559.054199999999</v>
      </c>
      <c r="K3">
        <f ca="1">F4/G2</f>
        <v>1.1233200145296041</v>
      </c>
    </row>
    <row r="4" spans="1:14">
      <c r="C4">
        <f ca="1">C2/D2</f>
        <v>3.1179443976411121</v>
      </c>
      <c r="D4">
        <f ca="1">D2/C2</f>
        <v>0.32072412861388816</v>
      </c>
      <c r="F4">
        <f ca="1">ROUND(E2*(1-F2),0)</f>
        <v>6185</v>
      </c>
      <c r="H4" s="3454">
        <f ca="1">H3*666.67/10000</f>
        <v>394.20197100000001</v>
      </c>
      <c r="K4">
        <f ca="1">G2/F4</f>
        <v>0.89021827000808407</v>
      </c>
    </row>
    <row r="5" spans="1:14">
      <c r="A5" s="3532" t="s">
        <v>3338</v>
      </c>
      <c r="C5" s="3210" t="s">
        <v>3125</v>
      </c>
      <c r="D5" s="3210" t="s">
        <v>3126</v>
      </c>
      <c r="E5" s="3210" t="s">
        <v>3129</v>
      </c>
      <c r="F5" s="3210" t="s">
        <v>3130</v>
      </c>
      <c r="G5" s="3210" t="s">
        <v>3131</v>
      </c>
      <c r="H5" s="3454" t="s">
        <v>3127</v>
      </c>
      <c r="I5" s="3454" t="s">
        <v>2886</v>
      </c>
      <c r="J5" s="3454" t="s">
        <v>3132</v>
      </c>
    </row>
    <row r="6" spans="1:14">
      <c r="A6" s="3210"/>
      <c r="B6" s="3210" t="s">
        <v>3127</v>
      </c>
      <c r="C6" s="3533">
        <f>基准地价办公!C29</f>
        <v>5270</v>
      </c>
      <c r="D6">
        <f ca="1">剩余法办公!B3</f>
        <v>3982</v>
      </c>
      <c r="E6">
        <f ca="1">ROUND(C7*C6+D7*D6,0)</f>
        <v>4884</v>
      </c>
      <c r="F6" s="3523">
        <f>F2</f>
        <v>0.3003769230769231</v>
      </c>
      <c r="G6">
        <f ca="1">G2</f>
        <v>5506</v>
      </c>
      <c r="H6" s="3454"/>
      <c r="I6" s="3454"/>
      <c r="J6" s="3454"/>
    </row>
    <row r="7" spans="1:14">
      <c r="A7" s="3210"/>
      <c r="B7" s="3210" t="s">
        <v>3128</v>
      </c>
      <c r="C7" s="3520">
        <v>0.7</v>
      </c>
      <c r="D7" s="3450">
        <f>1-C7</f>
        <v>0.30000000000000004</v>
      </c>
      <c r="F7" s="3520">
        <v>0.6</v>
      </c>
      <c r="G7" s="3450">
        <f>1-F7</f>
        <v>0.4</v>
      </c>
      <c r="H7" s="3454">
        <f ca="1">ROUND(F8*F7+G7*G6,0)</f>
        <v>4253</v>
      </c>
      <c r="I7" s="3454">
        <f>'数据-取费表'!K8</f>
        <v>11389.58</v>
      </c>
      <c r="J7" s="3454">
        <f ca="1">I7*H7/10000</f>
        <v>4843.9883740000005</v>
      </c>
    </row>
    <row r="8" spans="1:14">
      <c r="C8">
        <f ca="1">C6/D6</f>
        <v>1.323455549974887</v>
      </c>
      <c r="D8">
        <f ca="1">D6/C6</f>
        <v>0.75559772296015182</v>
      </c>
      <c r="F8">
        <f ca="1">ROUND(E6*(1-F6),0)</f>
        <v>3417</v>
      </c>
      <c r="H8" s="3454">
        <f ca="1">H7*666.67/10000</f>
        <v>283.53475099999997</v>
      </c>
    </row>
    <row r="9" spans="1:14">
      <c r="A9" s="3210" t="s">
        <v>3294</v>
      </c>
      <c r="C9" s="3210" t="s">
        <v>3125</v>
      </c>
      <c r="D9" s="3210" t="s">
        <v>3126</v>
      </c>
      <c r="E9" s="3210" t="s">
        <v>3129</v>
      </c>
      <c r="F9" s="3210" t="s">
        <v>3130</v>
      </c>
      <c r="G9" s="3210" t="s">
        <v>3131</v>
      </c>
      <c r="H9" s="3454" t="s">
        <v>3127</v>
      </c>
      <c r="I9" s="3454" t="s">
        <v>2886</v>
      </c>
      <c r="J9" s="3454" t="s">
        <v>3132</v>
      </c>
    </row>
    <row r="10" spans="1:14">
      <c r="A10" s="3210"/>
      <c r="B10" s="3210" t="s">
        <v>3127</v>
      </c>
      <c r="C10" s="3533">
        <f>基准地价工业!C29</f>
        <v>1924</v>
      </c>
      <c r="D10">
        <f ca="1">剩余法工业!B3</f>
        <v>2611</v>
      </c>
      <c r="E10">
        <f ca="1">ROUND(C11*C10+D11*D10,0)</f>
        <v>2130</v>
      </c>
      <c r="F10" s="3524">
        <v>0.43</v>
      </c>
      <c r="G10">
        <f ca="1">G6</f>
        <v>5506</v>
      </c>
      <c r="H10" s="3454"/>
      <c r="I10" s="3454"/>
      <c r="J10" s="3454"/>
    </row>
    <row r="11" spans="1:14">
      <c r="A11" s="3210"/>
      <c r="B11" s="3210" t="s">
        <v>3128</v>
      </c>
      <c r="C11" s="3531">
        <v>0.7</v>
      </c>
      <c r="D11" s="3450">
        <f>1-C11</f>
        <v>0.30000000000000004</v>
      </c>
      <c r="F11" s="3520">
        <v>0.6</v>
      </c>
      <c r="G11" s="3450">
        <f>1-F11</f>
        <v>0.4</v>
      </c>
      <c r="H11" s="3454">
        <f ca="1">ROUND(F12*F11+G11*G10,0)</f>
        <v>2931</v>
      </c>
      <c r="I11" s="3454">
        <f>'数据-取费表'!K6</f>
        <v>102489.97</v>
      </c>
      <c r="J11" s="3454">
        <f ca="1">I11*H11/10000</f>
        <v>30039.810206999999</v>
      </c>
    </row>
    <row r="12" spans="1:14">
      <c r="C12">
        <f ca="1">C10/D10</f>
        <v>0.73688242052853314</v>
      </c>
      <c r="D12">
        <f ca="1">D10/C10</f>
        <v>1.3570686070686071</v>
      </c>
      <c r="F12">
        <f ca="1">ROUND(E10*(1-F10),0)</f>
        <v>1214</v>
      </c>
      <c r="H12" s="3454">
        <f ca="1">H11*666.67/10000</f>
        <v>195.40097699999998</v>
      </c>
    </row>
    <row r="13" spans="1:14">
      <c r="A13" s="3210" t="s">
        <v>3295</v>
      </c>
      <c r="H13" s="3513">
        <f ca="1">J13/I13*666.67</f>
        <v>254.98913488244281</v>
      </c>
      <c r="I13" s="3506">
        <f>'数据-汇总表'!D3</f>
        <v>155413.54999999999</v>
      </c>
      <c r="J13" s="3513">
        <f ca="1">J3+J7+J11</f>
        <v>59442.852780999994</v>
      </c>
      <c r="K13">
        <v>71087</v>
      </c>
      <c r="L13">
        <f ca="1">J13/I13*10000</f>
        <v>3824.8178991471464</v>
      </c>
    </row>
    <row r="14" spans="1:14" s="2623" customFormat="1">
      <c r="B14" s="2623" t="s">
        <v>3256</v>
      </c>
      <c r="C14" s="2623" t="s">
        <v>3257</v>
      </c>
      <c r="D14" s="2623" t="s">
        <v>3258</v>
      </c>
      <c r="E14" s="2623" t="s">
        <v>3259</v>
      </c>
      <c r="F14" s="2623" t="s">
        <v>1997</v>
      </c>
      <c r="G14" s="2623" t="s">
        <v>3260</v>
      </c>
      <c r="H14" s="2623" t="s">
        <v>3261</v>
      </c>
      <c r="I14" s="2623" t="s">
        <v>3262</v>
      </c>
      <c r="J14" s="2623" t="s">
        <v>3263</v>
      </c>
      <c r="K14" s="2623" t="s">
        <v>3264</v>
      </c>
      <c r="L14" s="2623" t="s">
        <v>3265</v>
      </c>
      <c r="M14" s="2623" t="s">
        <v>3130</v>
      </c>
    </row>
    <row r="15" spans="1:14" s="2623" customFormat="1">
      <c r="B15" s="2623" t="s">
        <v>3266</v>
      </c>
      <c r="C15" s="2623" t="s">
        <v>3267</v>
      </c>
      <c r="D15" s="2623">
        <v>12066.9</v>
      </c>
      <c r="E15" s="2623">
        <v>18100.349999999999</v>
      </c>
      <c r="F15" s="2623">
        <v>1.5</v>
      </c>
      <c r="G15" s="2623" t="s">
        <v>3268</v>
      </c>
      <c r="H15" s="3508">
        <v>44621.000497685185</v>
      </c>
      <c r="I15" s="2623">
        <v>9400</v>
      </c>
      <c r="J15" s="2623">
        <v>5193</v>
      </c>
      <c r="K15" s="2623">
        <v>1712.57</v>
      </c>
      <c r="L15" s="2623">
        <f>I15-K15</f>
        <v>7687.43</v>
      </c>
      <c r="M15" s="3509">
        <f>ROUND(L15/I15,4)</f>
        <v>0.81779999999999997</v>
      </c>
    </row>
    <row r="16" spans="1:14" s="2623" customFormat="1">
      <c r="B16" s="2623" t="s">
        <v>3269</v>
      </c>
      <c r="C16" s="2623" t="s">
        <v>3267</v>
      </c>
      <c r="D16" s="2623">
        <v>15178.6</v>
      </c>
      <c r="E16" s="2623">
        <v>45535.8</v>
      </c>
      <c r="F16" s="2623">
        <v>3</v>
      </c>
      <c r="G16" s="2623" t="s">
        <v>3270</v>
      </c>
      <c r="H16" s="3508">
        <v>44600.000497685185</v>
      </c>
      <c r="I16" s="2623">
        <v>58400</v>
      </c>
      <c r="J16" s="2623">
        <v>12825</v>
      </c>
      <c r="K16" s="2623">
        <v>44325.64</v>
      </c>
      <c r="L16" s="2623">
        <f t="shared" ref="L16:L27" si="0">I16-K16</f>
        <v>14074.36</v>
      </c>
      <c r="M16" s="3509">
        <f t="shared" ref="M16:M27" si="1">ROUND(L16/I16,4)</f>
        <v>0.24099999999999999</v>
      </c>
      <c r="N16" s="3509">
        <f>M16</f>
        <v>0.24099999999999999</v>
      </c>
    </row>
    <row r="17" spans="1:14" s="2623" customFormat="1">
      <c r="B17" s="2623" t="s">
        <v>3271</v>
      </c>
      <c r="C17" s="2623" t="s">
        <v>3267</v>
      </c>
      <c r="D17" s="2623">
        <v>29991.73</v>
      </c>
      <c r="E17" s="2623">
        <v>119966.93</v>
      </c>
      <c r="F17" s="2623">
        <v>4</v>
      </c>
      <c r="G17" s="2623" t="s">
        <v>3270</v>
      </c>
      <c r="H17" s="3508">
        <v>44566.000497685185</v>
      </c>
      <c r="I17" s="2623">
        <v>165300</v>
      </c>
      <c r="J17" s="2623">
        <v>13779</v>
      </c>
      <c r="K17" s="2623">
        <v>132000</v>
      </c>
      <c r="L17" s="2623">
        <f t="shared" si="0"/>
        <v>33300</v>
      </c>
      <c r="M17" s="3509">
        <f t="shared" si="1"/>
        <v>0.20150000000000001</v>
      </c>
      <c r="N17" s="3509">
        <f t="shared" ref="N17:N27" si="2">M17</f>
        <v>0.20150000000000001</v>
      </c>
    </row>
    <row r="18" spans="1:14" s="2623" customFormat="1">
      <c r="B18" s="2623" t="s">
        <v>3272</v>
      </c>
      <c r="C18" s="2623" t="s">
        <v>3267</v>
      </c>
      <c r="D18" s="2623">
        <v>15197.52</v>
      </c>
      <c r="E18" s="2623">
        <v>30395.05</v>
      </c>
      <c r="F18" s="2623">
        <v>2</v>
      </c>
      <c r="G18" s="2623" t="s">
        <v>3273</v>
      </c>
      <c r="H18" s="3508">
        <v>44554.000497685185</v>
      </c>
      <c r="I18" s="2623">
        <v>42600</v>
      </c>
      <c r="J18" s="2623">
        <v>14015</v>
      </c>
      <c r="K18" s="2623">
        <v>28927.01</v>
      </c>
      <c r="L18" s="2623">
        <f t="shared" si="0"/>
        <v>13672.990000000002</v>
      </c>
      <c r="M18" s="3509">
        <f t="shared" si="1"/>
        <v>0.32100000000000001</v>
      </c>
      <c r="N18" s="3509">
        <f t="shared" si="2"/>
        <v>0.32100000000000001</v>
      </c>
    </row>
    <row r="19" spans="1:14" s="2623" customFormat="1">
      <c r="B19" s="2623" t="s">
        <v>3274</v>
      </c>
      <c r="C19" s="2623" t="s">
        <v>3267</v>
      </c>
      <c r="D19" s="2623">
        <v>204418.11</v>
      </c>
      <c r="E19" s="2623">
        <v>302000</v>
      </c>
      <c r="F19" s="2623">
        <v>1.5</v>
      </c>
      <c r="G19" s="2623" t="s">
        <v>3270</v>
      </c>
      <c r="H19" s="3508">
        <v>44495.000497685185</v>
      </c>
      <c r="I19" s="2623">
        <v>506700</v>
      </c>
      <c r="J19" s="2623">
        <v>16778</v>
      </c>
      <c r="K19" s="2623">
        <v>434880</v>
      </c>
      <c r="L19" s="2623">
        <f t="shared" si="0"/>
        <v>71820</v>
      </c>
      <c r="M19" s="3509">
        <f t="shared" si="1"/>
        <v>0.14169999999999999</v>
      </c>
      <c r="N19" s="3509"/>
    </row>
    <row r="20" spans="1:14" s="2623" customFormat="1">
      <c r="B20" s="2623" t="s">
        <v>3275</v>
      </c>
      <c r="C20" s="2623" t="s">
        <v>3267</v>
      </c>
      <c r="D20" s="2623">
        <v>17147.95</v>
      </c>
      <c r="E20" s="2623">
        <v>53158.65</v>
      </c>
      <c r="F20" s="2623" t="s">
        <v>3276</v>
      </c>
      <c r="G20" s="2623" t="s">
        <v>3277</v>
      </c>
      <c r="H20" s="3508">
        <v>44335.000497685185</v>
      </c>
      <c r="I20" s="2623">
        <v>69200</v>
      </c>
      <c r="J20" s="2623">
        <v>13018</v>
      </c>
      <c r="K20" s="2623">
        <v>55529.53</v>
      </c>
      <c r="L20" s="2623">
        <f t="shared" si="0"/>
        <v>13670.470000000001</v>
      </c>
      <c r="M20" s="3509">
        <f t="shared" si="1"/>
        <v>0.1976</v>
      </c>
      <c r="N20" s="3509">
        <f t="shared" si="2"/>
        <v>0.1976</v>
      </c>
    </row>
    <row r="21" spans="1:14" s="2623" customFormat="1">
      <c r="B21" s="2623" t="s">
        <v>3278</v>
      </c>
      <c r="C21" s="2623" t="s">
        <v>3267</v>
      </c>
      <c r="D21" s="2623">
        <v>22058.78</v>
      </c>
      <c r="E21" s="2623">
        <v>47390</v>
      </c>
      <c r="F21" s="2623" t="s">
        <v>3279</v>
      </c>
      <c r="G21" s="2623" t="s">
        <v>3270</v>
      </c>
      <c r="H21" s="3508">
        <v>44234.000497685185</v>
      </c>
      <c r="I21" s="2623">
        <v>32700</v>
      </c>
      <c r="J21" s="2623">
        <v>6900</v>
      </c>
      <c r="K21" s="2623">
        <v>24374.6</v>
      </c>
      <c r="L21" s="2623">
        <f t="shared" si="0"/>
        <v>8325.4000000000015</v>
      </c>
      <c r="M21" s="3509">
        <f t="shared" si="1"/>
        <v>0.25459999999999999</v>
      </c>
      <c r="N21" s="3509">
        <f t="shared" si="2"/>
        <v>0.25459999999999999</v>
      </c>
    </row>
    <row r="22" spans="1:14" s="2623" customFormat="1">
      <c r="B22" s="2623" t="s">
        <v>3280</v>
      </c>
      <c r="C22" s="2623" t="s">
        <v>3267</v>
      </c>
      <c r="D22" s="2623">
        <v>25224.15</v>
      </c>
      <c r="E22" s="2623">
        <v>75672.45</v>
      </c>
      <c r="F22" s="2623" t="s">
        <v>3281</v>
      </c>
      <c r="G22" s="2623" t="s">
        <v>3270</v>
      </c>
      <c r="H22" s="3508">
        <v>44193.000497685185</v>
      </c>
      <c r="I22" s="2623">
        <v>60800</v>
      </c>
      <c r="J22" s="2623">
        <v>8035</v>
      </c>
      <c r="K22" s="2623">
        <v>45403</v>
      </c>
      <c r="L22" s="2623">
        <f t="shared" si="0"/>
        <v>15397</v>
      </c>
      <c r="M22" s="3509">
        <f t="shared" si="1"/>
        <v>0.25319999999999998</v>
      </c>
      <c r="N22" s="3509">
        <f t="shared" si="2"/>
        <v>0.25319999999999998</v>
      </c>
    </row>
    <row r="23" spans="1:14" s="2623" customFormat="1">
      <c r="B23" s="2623" t="s">
        <v>3282</v>
      </c>
      <c r="C23" s="2623" t="s">
        <v>3267</v>
      </c>
      <c r="D23" s="2623">
        <v>265269.8</v>
      </c>
      <c r="E23" s="2623">
        <v>665975.69999999995</v>
      </c>
      <c r="F23" s="2623" t="s">
        <v>3283</v>
      </c>
      <c r="G23" s="2623" t="s">
        <v>3270</v>
      </c>
      <c r="H23" s="3508">
        <v>44046.000497685185</v>
      </c>
      <c r="I23" s="2623">
        <v>699300</v>
      </c>
      <c r="J23" s="2623">
        <v>10500</v>
      </c>
      <c r="K23" s="2623">
        <v>532780.46</v>
      </c>
      <c r="L23" s="2623">
        <f t="shared" si="0"/>
        <v>166519.54000000004</v>
      </c>
      <c r="M23" s="3509">
        <f t="shared" si="1"/>
        <v>0.23810000000000001</v>
      </c>
      <c r="N23" s="3509">
        <f t="shared" si="2"/>
        <v>0.23810000000000001</v>
      </c>
    </row>
    <row r="24" spans="1:14" s="2623" customFormat="1">
      <c r="B24" s="2623" t="s">
        <v>3284</v>
      </c>
      <c r="C24" s="2623" t="s">
        <v>3267</v>
      </c>
      <c r="D24" s="2623">
        <v>12501.51</v>
      </c>
      <c r="E24" s="2623">
        <v>37505</v>
      </c>
      <c r="F24" s="2623" t="s">
        <v>3281</v>
      </c>
      <c r="G24" s="2623" t="s">
        <v>3270</v>
      </c>
      <c r="H24" s="3508">
        <v>43923.000497685185</v>
      </c>
      <c r="I24" s="2623">
        <v>56000</v>
      </c>
      <c r="J24" s="2623">
        <v>14931</v>
      </c>
      <c r="K24" s="2623">
        <v>37500</v>
      </c>
      <c r="L24" s="2623">
        <f t="shared" si="0"/>
        <v>18500</v>
      </c>
      <c r="M24" s="3509">
        <f t="shared" si="1"/>
        <v>0.33040000000000003</v>
      </c>
      <c r="N24" s="3509">
        <f t="shared" si="2"/>
        <v>0.33040000000000003</v>
      </c>
    </row>
    <row r="25" spans="1:14" s="2623" customFormat="1">
      <c r="B25" s="2623" t="s">
        <v>3285</v>
      </c>
      <c r="C25" s="2623" t="s">
        <v>3267</v>
      </c>
      <c r="D25" s="2623">
        <v>28003.32</v>
      </c>
      <c r="E25" s="2623">
        <v>70008</v>
      </c>
      <c r="F25" s="2623" t="s">
        <v>3286</v>
      </c>
      <c r="G25" s="2623" t="s">
        <v>3270</v>
      </c>
      <c r="H25" s="3508">
        <v>43755.000497685185</v>
      </c>
      <c r="I25" s="2623">
        <v>97800</v>
      </c>
      <c r="J25" s="2623">
        <v>13970</v>
      </c>
      <c r="K25" s="2623">
        <v>73124.03</v>
      </c>
      <c r="L25" s="2623">
        <f t="shared" si="0"/>
        <v>24675.97</v>
      </c>
      <c r="M25" s="3509">
        <f t="shared" si="1"/>
        <v>0.25230000000000002</v>
      </c>
      <c r="N25" s="3509">
        <f t="shared" si="2"/>
        <v>0.25230000000000002</v>
      </c>
    </row>
    <row r="26" spans="1:14" s="2623" customFormat="1">
      <c r="B26" s="2623" t="s">
        <v>3287</v>
      </c>
      <c r="C26" s="2623" t="s">
        <v>3267</v>
      </c>
      <c r="D26" s="2623">
        <v>42276.47</v>
      </c>
      <c r="E26" s="2623">
        <v>84552.93</v>
      </c>
      <c r="F26" s="2623" t="s">
        <v>3288</v>
      </c>
      <c r="G26" s="2623" t="s">
        <v>3268</v>
      </c>
      <c r="H26" s="3508">
        <v>43706.000497685185</v>
      </c>
      <c r="I26" s="2623">
        <v>96500</v>
      </c>
      <c r="J26" s="2623">
        <v>11413</v>
      </c>
      <c r="K26" s="2623">
        <v>52188.72</v>
      </c>
      <c r="L26" s="2623">
        <f t="shared" si="0"/>
        <v>44311.28</v>
      </c>
      <c r="M26" s="3509">
        <f t="shared" si="1"/>
        <v>0.4592</v>
      </c>
      <c r="N26" s="3509">
        <f t="shared" si="2"/>
        <v>0.4592</v>
      </c>
    </row>
    <row r="27" spans="1:14" s="2623" customFormat="1">
      <c r="B27" s="2623" t="s">
        <v>3289</v>
      </c>
      <c r="C27" s="2623" t="s">
        <v>3267</v>
      </c>
      <c r="D27" s="2623">
        <v>51736.9</v>
      </c>
      <c r="E27" s="2623">
        <v>81600.05</v>
      </c>
      <c r="F27" s="2623" t="s">
        <v>3290</v>
      </c>
      <c r="G27" s="2623" t="s">
        <v>3270</v>
      </c>
      <c r="H27" s="3508">
        <v>43613.000497685185</v>
      </c>
      <c r="I27" s="2623">
        <v>150000</v>
      </c>
      <c r="J27" s="2623">
        <v>18382</v>
      </c>
      <c r="K27" s="2623">
        <v>120526.45</v>
      </c>
      <c r="L27" s="2623">
        <f t="shared" si="0"/>
        <v>29473.550000000003</v>
      </c>
      <c r="M27" s="3509">
        <f t="shared" si="1"/>
        <v>0.19650000000000001</v>
      </c>
      <c r="N27" s="3509">
        <f t="shared" si="2"/>
        <v>0.19650000000000001</v>
      </c>
    </row>
    <row r="28" spans="1:14" s="2623" customFormat="1" ht="14.25">
      <c r="M28" s="3509">
        <f>AVERAGE(M15:M27)</f>
        <v>0.3003769230769231</v>
      </c>
      <c r="N28" s="3510">
        <f>AVERAGE(N15:N27)</f>
        <v>0.26776363636363637</v>
      </c>
    </row>
    <row r="30" spans="1:14" s="2623" customFormat="1">
      <c r="A30" s="2623" t="s">
        <v>3256</v>
      </c>
      <c r="B30" s="2623" t="s">
        <v>3257</v>
      </c>
      <c r="C30" s="2623" t="s">
        <v>3258</v>
      </c>
      <c r="D30" s="2623" t="s">
        <v>3259</v>
      </c>
      <c r="E30" s="2623" t="s">
        <v>1997</v>
      </c>
      <c r="F30" s="2623" t="s">
        <v>3260</v>
      </c>
      <c r="G30" s="2623" t="s">
        <v>3261</v>
      </c>
      <c r="H30" s="2623" t="s">
        <v>3262</v>
      </c>
      <c r="I30" s="2623" t="s">
        <v>3263</v>
      </c>
      <c r="J30" s="2623" t="s">
        <v>3264</v>
      </c>
      <c r="K30" s="2623" t="s">
        <v>3265</v>
      </c>
      <c r="L30" s="2623" t="s">
        <v>3130</v>
      </c>
    </row>
    <row r="31" spans="1:14" s="2623" customFormat="1">
      <c r="A31" s="2623" t="s">
        <v>3320</v>
      </c>
      <c r="B31" s="2623" t="s">
        <v>3321</v>
      </c>
      <c r="C31" s="2623">
        <v>13991.5</v>
      </c>
      <c r="D31" s="2623">
        <v>22386</v>
      </c>
      <c r="E31" s="2623" t="s">
        <v>3322</v>
      </c>
      <c r="F31" s="2623" t="s">
        <v>3323</v>
      </c>
      <c r="G31" s="3508">
        <v>44446.000497685185</v>
      </c>
      <c r="H31" s="2623">
        <v>1811.03</v>
      </c>
      <c r="I31" s="2623">
        <v>809</v>
      </c>
      <c r="J31" s="2623">
        <v>672.64</v>
      </c>
      <c r="K31" s="2623">
        <f>H31-J31</f>
        <v>1138.3899999999999</v>
      </c>
      <c r="L31" s="3514">
        <f>ROUND(K31/H31,4)</f>
        <v>0.62860000000000005</v>
      </c>
      <c r="M31" s="3514">
        <f>L31</f>
        <v>0.62860000000000005</v>
      </c>
    </row>
    <row r="32" spans="1:14" s="2623" customFormat="1">
      <c r="A32" s="2623" t="s">
        <v>3324</v>
      </c>
      <c r="B32" s="2623" t="s">
        <v>3321</v>
      </c>
      <c r="C32" s="2623">
        <v>16627.21</v>
      </c>
      <c r="D32" s="2623">
        <v>29928.97</v>
      </c>
      <c r="E32" s="2623" t="s">
        <v>3325</v>
      </c>
      <c r="F32" s="2623" t="s">
        <v>3323</v>
      </c>
      <c r="G32" s="3508">
        <v>44446.000497685185</v>
      </c>
      <c r="H32" s="2623">
        <v>5111.87</v>
      </c>
      <c r="I32" s="2623">
        <v>1708</v>
      </c>
      <c r="J32" s="2623">
        <v>2022.6610000000001</v>
      </c>
      <c r="K32" s="2623">
        <f t="shared" ref="K32:K37" si="3">H32-J32</f>
        <v>3089.2089999999998</v>
      </c>
      <c r="L32" s="3514">
        <f t="shared" ref="L32:L37" si="4">ROUND(K32/H32,4)</f>
        <v>0.60429999999999995</v>
      </c>
      <c r="M32" s="3514">
        <f t="shared" ref="M32:M37" si="5">L32</f>
        <v>0.60429999999999995</v>
      </c>
    </row>
    <row r="33" spans="1:13" s="2623" customFormat="1">
      <c r="A33" s="2623" t="s">
        <v>3326</v>
      </c>
      <c r="B33" s="2623" t="s">
        <v>3321</v>
      </c>
      <c r="C33" s="2623">
        <v>100000</v>
      </c>
      <c r="D33" s="2623">
        <v>200000</v>
      </c>
      <c r="E33" s="2623" t="s">
        <v>3327</v>
      </c>
      <c r="F33" s="2623" t="s">
        <v>3328</v>
      </c>
      <c r="G33" s="3508">
        <v>44307.000497685185</v>
      </c>
      <c r="H33" s="2623">
        <v>13020</v>
      </c>
      <c r="I33" s="2623">
        <v>651</v>
      </c>
      <c r="J33" s="2623">
        <v>10476.870000000001</v>
      </c>
      <c r="K33" s="2623">
        <f t="shared" si="3"/>
        <v>2543.1299999999992</v>
      </c>
      <c r="L33" s="3514">
        <f t="shared" si="4"/>
        <v>0.1953</v>
      </c>
      <c r="M33" s="3514"/>
    </row>
    <row r="34" spans="1:13" s="2623" customFormat="1">
      <c r="A34" s="2623" t="s">
        <v>3329</v>
      </c>
      <c r="B34" s="2623" t="s">
        <v>3321</v>
      </c>
      <c r="C34" s="2623">
        <v>19340</v>
      </c>
      <c r="D34" s="2623">
        <v>34812</v>
      </c>
      <c r="E34" s="2623" t="s">
        <v>3330</v>
      </c>
      <c r="F34" s="2623" t="s">
        <v>3331</v>
      </c>
      <c r="G34" s="3508">
        <v>43873.000497685185</v>
      </c>
      <c r="H34" s="2623">
        <v>5764.87</v>
      </c>
      <c r="I34" s="2623">
        <v>1656</v>
      </c>
      <c r="J34" s="2623">
        <v>2352.65</v>
      </c>
      <c r="K34" s="2623">
        <f t="shared" si="3"/>
        <v>3412.22</v>
      </c>
      <c r="L34" s="3514">
        <f t="shared" si="4"/>
        <v>0.59189999999999998</v>
      </c>
      <c r="M34" s="3514">
        <f t="shared" si="5"/>
        <v>0.59189999999999998</v>
      </c>
    </row>
    <row r="35" spans="1:13" s="2623" customFormat="1">
      <c r="A35" s="2623" t="s">
        <v>3332</v>
      </c>
      <c r="B35" s="2623" t="s">
        <v>3321</v>
      </c>
      <c r="C35" s="2623">
        <v>16697.47</v>
      </c>
      <c r="D35" s="2623">
        <v>30055</v>
      </c>
      <c r="E35" s="2623">
        <v>1.8</v>
      </c>
      <c r="F35" s="2623" t="s">
        <v>3333</v>
      </c>
      <c r="G35" s="3508">
        <v>43662.000497685185</v>
      </c>
      <c r="H35" s="2623">
        <v>4977.1099999999997</v>
      </c>
      <c r="I35" s="2623">
        <v>1656</v>
      </c>
      <c r="J35" s="2623">
        <v>2031.17</v>
      </c>
      <c r="K35" s="2623">
        <f t="shared" si="3"/>
        <v>2945.9399999999996</v>
      </c>
      <c r="L35" s="3514">
        <f t="shared" si="4"/>
        <v>0.59189999999999998</v>
      </c>
      <c r="M35" s="3514">
        <f t="shared" si="5"/>
        <v>0.59189999999999998</v>
      </c>
    </row>
    <row r="36" spans="1:13" s="2623" customFormat="1">
      <c r="A36" s="2623" t="s">
        <v>3334</v>
      </c>
      <c r="B36" s="2623" t="s">
        <v>3321</v>
      </c>
      <c r="C36" s="2623">
        <v>46618.33</v>
      </c>
      <c r="D36" s="2623">
        <v>93237</v>
      </c>
      <c r="E36" s="2623">
        <v>2</v>
      </c>
      <c r="F36" s="2623" t="s">
        <v>3333</v>
      </c>
      <c r="G36" s="3508">
        <v>43577.000497685185</v>
      </c>
      <c r="H36" s="2623">
        <v>16204.59</v>
      </c>
      <c r="I36" s="2623">
        <v>1738</v>
      </c>
      <c r="J36" s="2623">
        <v>5047.03</v>
      </c>
      <c r="K36" s="2623">
        <f t="shared" si="3"/>
        <v>11157.560000000001</v>
      </c>
      <c r="L36" s="3514">
        <f t="shared" si="4"/>
        <v>0.6885</v>
      </c>
      <c r="M36" s="3514">
        <f t="shared" si="5"/>
        <v>0.6885</v>
      </c>
    </row>
    <row r="37" spans="1:13" s="2623" customFormat="1">
      <c r="A37" s="2623" t="s">
        <v>3335</v>
      </c>
      <c r="B37" s="2623" t="s">
        <v>3321</v>
      </c>
      <c r="C37" s="2623">
        <v>8700</v>
      </c>
      <c r="D37" s="2623">
        <v>15660</v>
      </c>
      <c r="E37" s="2623">
        <v>1.8</v>
      </c>
      <c r="F37" s="2623" t="s">
        <v>3333</v>
      </c>
      <c r="G37" s="3508">
        <v>43577.000497685185</v>
      </c>
      <c r="H37" s="2623">
        <v>2593.3000000000002</v>
      </c>
      <c r="I37" s="2623">
        <v>1656</v>
      </c>
      <c r="J37" s="2623">
        <v>1058.33</v>
      </c>
      <c r="K37" s="2623">
        <f t="shared" si="3"/>
        <v>1534.9700000000003</v>
      </c>
      <c r="L37" s="3514">
        <f t="shared" si="4"/>
        <v>0.59189999999999998</v>
      </c>
      <c r="M37" s="3514">
        <f t="shared" si="5"/>
        <v>0.59189999999999998</v>
      </c>
    </row>
    <row r="38" spans="1:13" s="2623" customFormat="1">
      <c r="L38" s="3515">
        <f>AVERAGE(L31:L37)</f>
        <v>0.55605714285714281</v>
      </c>
      <c r="M38" s="3515">
        <f>AVERAGE(M31:M37)</f>
        <v>0.61618333333333319</v>
      </c>
    </row>
    <row r="40" spans="1:13">
      <c r="L40" s="3521">
        <f>AVERAGE(L32:L34)</f>
        <v>0.46383333333333332</v>
      </c>
    </row>
  </sheetData>
  <phoneticPr fontId="225"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14"/>
  <sheetViews>
    <sheetView topLeftCell="F7" workbookViewId="0">
      <selection activeCell="N10" sqref="K2:U10"/>
    </sheetView>
  </sheetViews>
  <sheetFormatPr defaultRowHeight="13.5"/>
  <cols>
    <col min="6" max="6" width="12.875" customWidth="1"/>
    <col min="11" max="11" width="4.375" customWidth="1"/>
    <col min="12" max="12" width="16" customWidth="1"/>
    <col min="13" max="13" width="11.25" customWidth="1"/>
    <col min="14" max="14" width="10.25" bestFit="1" customWidth="1"/>
    <col min="15" max="18" width="9.375" bestFit="1" customWidth="1"/>
    <col min="19" max="20" width="10.25" bestFit="1" customWidth="1"/>
    <col min="21" max="21" width="9.375" bestFit="1" customWidth="1"/>
  </cols>
  <sheetData>
    <row r="1" spans="1:21" ht="14.25" thickBot="1">
      <c r="A1" s="3653" t="s">
        <v>2335</v>
      </c>
      <c r="B1" s="3653" t="s">
        <v>3339</v>
      </c>
      <c r="C1" s="3653" t="s">
        <v>3340</v>
      </c>
      <c r="D1" s="3653" t="s">
        <v>3341</v>
      </c>
      <c r="E1" s="3534" t="s">
        <v>3342</v>
      </c>
      <c r="F1" s="3534" t="s">
        <v>3360</v>
      </c>
      <c r="G1" s="3653" t="s">
        <v>3344</v>
      </c>
      <c r="H1" s="3534" t="s">
        <v>2883</v>
      </c>
    </row>
    <row r="2" spans="1:21" ht="26.25" customHeight="1" thickBot="1">
      <c r="A2" s="3654"/>
      <c r="B2" s="3654"/>
      <c r="C2" s="3654"/>
      <c r="D2" s="3654"/>
      <c r="E2" s="3535" t="s">
        <v>3343</v>
      </c>
      <c r="F2" s="3535" t="s">
        <v>3361</v>
      </c>
      <c r="G2" s="3654"/>
      <c r="H2" s="3535" t="s">
        <v>3343</v>
      </c>
      <c r="K2" s="3645" t="s">
        <v>2335</v>
      </c>
      <c r="L2" s="3648" t="s">
        <v>2336</v>
      </c>
      <c r="M2" s="3639" t="s">
        <v>3370</v>
      </c>
      <c r="N2" s="3640"/>
      <c r="O2" s="3640"/>
      <c r="P2" s="3640"/>
      <c r="Q2" s="3640"/>
      <c r="R2" s="3640"/>
      <c r="S2" s="3640"/>
      <c r="T2" s="3640"/>
      <c r="U2" s="3640"/>
    </row>
    <row r="3" spans="1:21" ht="26.25" customHeight="1" thickBot="1">
      <c r="A3" s="3540"/>
      <c r="B3" s="3535"/>
      <c r="C3" s="3541"/>
      <c r="D3" s="3535"/>
      <c r="E3" s="3535"/>
      <c r="F3" s="3535"/>
      <c r="G3" s="3535"/>
      <c r="H3" s="3535"/>
      <c r="K3" s="3646"/>
      <c r="L3" s="3649"/>
      <c r="M3" s="3651" t="s">
        <v>3371</v>
      </c>
      <c r="N3" s="3639" t="s">
        <v>3372</v>
      </c>
      <c r="O3" s="3640"/>
      <c r="P3" s="3640"/>
      <c r="Q3" s="3640"/>
      <c r="R3" s="3640"/>
      <c r="S3" s="3640"/>
      <c r="T3" s="3640"/>
      <c r="U3" s="3640"/>
    </row>
    <row r="4" spans="1:21" ht="65.25" customHeight="1" thickBot="1">
      <c r="A4" s="3536">
        <v>1</v>
      </c>
      <c r="B4" s="3535" t="s">
        <v>3345</v>
      </c>
      <c r="C4" s="3653" t="s">
        <v>3122</v>
      </c>
      <c r="D4" s="3535" t="s">
        <v>3346</v>
      </c>
      <c r="E4" s="3537">
        <v>22380</v>
      </c>
      <c r="F4" s="3542">
        <f ca="1">E4*权重表!H3/10000</f>
        <v>13233.294</v>
      </c>
      <c r="G4" s="3535" t="s">
        <v>3347</v>
      </c>
      <c r="H4" s="3537">
        <v>4516.8</v>
      </c>
      <c r="K4" s="3647"/>
      <c r="L4" s="3650"/>
      <c r="M4" s="3652"/>
      <c r="N4" s="3546" t="str">
        <f>D4</f>
        <v>京顺国用（2001）字第0160号</v>
      </c>
      <c r="O4" s="3546" t="str">
        <f>D5</f>
        <v>京顺国用（1996）字第00058号</v>
      </c>
      <c r="P4" s="3546" t="str">
        <f>D6</f>
        <v>京顺国用（1996）字第00059号</v>
      </c>
      <c r="Q4" s="3546" t="str">
        <f>D7</f>
        <v>京顺国用（1996）字第00060号</v>
      </c>
      <c r="R4" s="3546" t="str">
        <f>D13</f>
        <v>京顺国用（2001）字第0242号</v>
      </c>
      <c r="S4" s="3546" t="str">
        <f>D9</f>
        <v>顺-南法信国用（证）字第004号</v>
      </c>
      <c r="T4" s="3546" t="str">
        <f>D10</f>
        <v>京顺国用（2001）字第0194号</v>
      </c>
      <c r="U4" s="3546" t="str">
        <f>D11</f>
        <v>京顺国用（1996）字第00057号</v>
      </c>
    </row>
    <row r="5" spans="1:21" ht="33.75" thickBot="1">
      <c r="A5" s="3536">
        <v>2</v>
      </c>
      <c r="B5" s="3535" t="s">
        <v>3348</v>
      </c>
      <c r="C5" s="3660"/>
      <c r="D5" s="3535" t="s">
        <v>3349</v>
      </c>
      <c r="E5" s="3537">
        <v>6520</v>
      </c>
      <c r="F5" s="3542">
        <f ca="1">E5*权重表!H3/10000</f>
        <v>3855.2759999999998</v>
      </c>
      <c r="G5" s="3653" t="s">
        <v>3350</v>
      </c>
      <c r="H5" s="3655">
        <v>5277.09</v>
      </c>
      <c r="K5" s="3545">
        <v>1</v>
      </c>
      <c r="L5" s="3546" t="s">
        <v>3364</v>
      </c>
      <c r="M5" s="3547">
        <v>59442.852800000001</v>
      </c>
      <c r="N5" s="3547">
        <f ca="1">F4</f>
        <v>13233.294</v>
      </c>
      <c r="O5" s="3547">
        <f ca="1">F5</f>
        <v>3855.2759999999998</v>
      </c>
      <c r="P5" s="3547">
        <f ca="1">F6</f>
        <v>3615.2082</v>
      </c>
      <c r="Q5" s="3547">
        <f ca="1">F7</f>
        <v>3855.2759999999998</v>
      </c>
      <c r="R5" s="3547">
        <f ca="1">F13</f>
        <v>4843.9883740000005</v>
      </c>
      <c r="S5" s="3547">
        <f ca="1">F9</f>
        <v>17568.414000000001</v>
      </c>
      <c r="T5" s="3547">
        <f ca="1">F10</f>
        <v>10560.384207000001</v>
      </c>
      <c r="U5" s="3547">
        <f ca="1">F11</f>
        <v>1911.0119999999999</v>
      </c>
    </row>
    <row r="6" spans="1:21" ht="33.75" thickBot="1">
      <c r="A6" s="3536">
        <v>3</v>
      </c>
      <c r="B6" s="3535" t="s">
        <v>3348</v>
      </c>
      <c r="C6" s="3660"/>
      <c r="D6" s="3535" t="s">
        <v>3351</v>
      </c>
      <c r="E6" s="3537">
        <v>6114</v>
      </c>
      <c r="F6" s="3542">
        <f ca="1">E6*权重表!H3/10000</f>
        <v>3615.2082</v>
      </c>
      <c r="G6" s="3660"/>
      <c r="H6" s="3656"/>
      <c r="K6" s="3545">
        <v>2</v>
      </c>
      <c r="L6" s="3546" t="s">
        <v>3365</v>
      </c>
      <c r="M6" s="3547">
        <v>2263.8335999999999</v>
      </c>
      <c r="N6" s="3546">
        <v>479.1465</v>
      </c>
      <c r="O6" s="3639">
        <v>740.00170000000003</v>
      </c>
      <c r="P6" s="3640"/>
      <c r="Q6" s="3641"/>
      <c r="R6" s="3546" t="s">
        <v>3373</v>
      </c>
      <c r="S6" s="3546" t="s">
        <v>3373</v>
      </c>
      <c r="T6" s="3546" t="s">
        <v>3373</v>
      </c>
      <c r="U6" s="3546">
        <v>1044.6854000000001</v>
      </c>
    </row>
    <row r="7" spans="1:21" ht="33.75" thickBot="1">
      <c r="A7" s="3536">
        <v>4</v>
      </c>
      <c r="B7" s="3535" t="s">
        <v>3348</v>
      </c>
      <c r="C7" s="3660"/>
      <c r="D7" s="3535" t="s">
        <v>3352</v>
      </c>
      <c r="E7" s="3537">
        <v>6520</v>
      </c>
      <c r="F7" s="3542">
        <f ca="1">E7*权重表!H3/10000</f>
        <v>3855.2759999999998</v>
      </c>
      <c r="G7" s="3654"/>
      <c r="H7" s="3657"/>
      <c r="K7" s="3545">
        <v>3</v>
      </c>
      <c r="L7" s="3546" t="s">
        <v>3366</v>
      </c>
      <c r="M7" s="3547">
        <v>4645.5573999999997</v>
      </c>
      <c r="N7" s="3546">
        <v>269.86989999999997</v>
      </c>
      <c r="O7" s="3639">
        <v>2853.0264999999999</v>
      </c>
      <c r="P7" s="3640"/>
      <c r="Q7" s="3640"/>
      <c r="R7" s="3641"/>
      <c r="S7" s="3546">
        <f>28.328+1192.4959</f>
        <v>1220.8238999999999</v>
      </c>
      <c r="T7" s="3546">
        <v>301.83710000000002</v>
      </c>
      <c r="U7" s="3546" t="s">
        <v>3373</v>
      </c>
    </row>
    <row r="8" spans="1:21" ht="26.25" thickBot="1">
      <c r="A8" s="3658" t="s">
        <v>27</v>
      </c>
      <c r="B8" s="3659"/>
      <c r="C8" s="3654"/>
      <c r="D8" s="3538" t="s">
        <v>926</v>
      </c>
      <c r="E8" s="3539">
        <v>41534</v>
      </c>
      <c r="F8" s="3543">
        <f ca="1">SUM(F4:F7)</f>
        <v>24559.054199999999</v>
      </c>
      <c r="G8" s="3538" t="s">
        <v>926</v>
      </c>
      <c r="H8" s="3539">
        <v>9793.89</v>
      </c>
      <c r="K8" s="3545">
        <v>4</v>
      </c>
      <c r="L8" s="3546" t="s">
        <v>3367</v>
      </c>
      <c r="M8" s="3547">
        <v>2574.9528</v>
      </c>
      <c r="N8" s="3639">
        <f>M8</f>
        <v>2574.9528</v>
      </c>
      <c r="O8" s="3640"/>
      <c r="P8" s="3640"/>
      <c r="Q8" s="3640"/>
      <c r="R8" s="3640"/>
      <c r="S8" s="3640"/>
      <c r="T8" s="3640"/>
      <c r="U8" s="3641"/>
    </row>
    <row r="9" spans="1:21" ht="33.75" thickBot="1">
      <c r="A9" s="3536">
        <v>5</v>
      </c>
      <c r="B9" s="3535" t="s">
        <v>3353</v>
      </c>
      <c r="C9" s="3653" t="s">
        <v>955</v>
      </c>
      <c r="D9" s="3535" t="s">
        <v>3363</v>
      </c>
      <c r="E9" s="3537">
        <v>59940</v>
      </c>
      <c r="F9" s="3542">
        <f ca="1">E9*权重表!H11/10000</f>
        <v>17568.414000000001</v>
      </c>
      <c r="G9" s="3535" t="s">
        <v>3354</v>
      </c>
      <c r="H9" s="3537">
        <v>3823.5</v>
      </c>
      <c r="K9" s="3545">
        <v>5</v>
      </c>
      <c r="L9" s="3546" t="s">
        <v>3368</v>
      </c>
      <c r="M9" s="3547">
        <v>93.992000000000004</v>
      </c>
      <c r="N9" s="3642">
        <f>M9</f>
        <v>93.992000000000004</v>
      </c>
      <c r="O9" s="3643"/>
      <c r="P9" s="3643"/>
      <c r="Q9" s="3643"/>
      <c r="R9" s="3643"/>
      <c r="S9" s="3643"/>
      <c r="T9" s="3643"/>
      <c r="U9" s="3644"/>
    </row>
    <row r="10" spans="1:21" ht="33.75" thickBot="1">
      <c r="A10" s="3536">
        <v>6</v>
      </c>
      <c r="B10" s="3535" t="s">
        <v>3353</v>
      </c>
      <c r="C10" s="3660"/>
      <c r="D10" s="3535" t="s">
        <v>3355</v>
      </c>
      <c r="E10" s="3537">
        <v>36029.97</v>
      </c>
      <c r="F10" s="3542">
        <f ca="1">E10*权重表!H11/10000</f>
        <v>10560.384207000001</v>
      </c>
      <c r="G10" s="3535" t="s">
        <v>926</v>
      </c>
      <c r="H10" s="3535" t="s">
        <v>926</v>
      </c>
      <c r="K10" s="3545">
        <v>6</v>
      </c>
      <c r="L10" s="3546" t="s">
        <v>3369</v>
      </c>
      <c r="M10" s="3547">
        <f>SUM(M5:M9)</f>
        <v>69021.188599999994</v>
      </c>
      <c r="N10" s="3639">
        <f>M10</f>
        <v>69021.188599999994</v>
      </c>
      <c r="O10" s="3640"/>
      <c r="P10" s="3640"/>
      <c r="Q10" s="3640"/>
      <c r="R10" s="3640"/>
      <c r="S10" s="3640"/>
      <c r="T10" s="3640"/>
      <c r="U10" s="3641"/>
    </row>
    <row r="11" spans="1:21" ht="33.75" thickBot="1">
      <c r="A11" s="3536">
        <v>7</v>
      </c>
      <c r="B11" s="3535" t="s">
        <v>3348</v>
      </c>
      <c r="C11" s="3660"/>
      <c r="D11" s="3535" t="s">
        <v>3356</v>
      </c>
      <c r="E11" s="3537">
        <v>6520</v>
      </c>
      <c r="F11" s="3542">
        <f ca="1">E11*权重表!H11/10000</f>
        <v>1911.0119999999999</v>
      </c>
      <c r="G11" s="3535" t="s">
        <v>3357</v>
      </c>
      <c r="H11" s="3537">
        <v>5181</v>
      </c>
    </row>
    <row r="12" spans="1:21" ht="14.25" thickBot="1">
      <c r="A12" s="3658" t="s">
        <v>27</v>
      </c>
      <c r="B12" s="3659"/>
      <c r="C12" s="3654"/>
      <c r="D12" s="3538" t="s">
        <v>926</v>
      </c>
      <c r="E12" s="3539">
        <v>102489.97</v>
      </c>
      <c r="F12" s="3543">
        <f ca="1">SUM(F9:F11)</f>
        <v>30039.810206999999</v>
      </c>
      <c r="G12" s="3538" t="s">
        <v>926</v>
      </c>
      <c r="H12" s="3539">
        <v>9004.5</v>
      </c>
    </row>
    <row r="13" spans="1:21" ht="33.75" thickBot="1">
      <c r="A13" s="3536">
        <v>8</v>
      </c>
      <c r="B13" s="3535" t="s">
        <v>3358</v>
      </c>
      <c r="C13" s="3535" t="s">
        <v>1650</v>
      </c>
      <c r="D13" s="3535" t="s">
        <v>3359</v>
      </c>
      <c r="E13" s="3539">
        <v>11389.58</v>
      </c>
      <c r="F13" s="3543">
        <f ca="1">E13*权重表!H7/10000</f>
        <v>4843.9883740000005</v>
      </c>
      <c r="G13" s="3535" t="s">
        <v>926</v>
      </c>
      <c r="H13" s="3535" t="s">
        <v>926</v>
      </c>
    </row>
    <row r="14" spans="1:21" ht="14.25" thickBot="1">
      <c r="A14" s="3661" t="s">
        <v>24</v>
      </c>
      <c r="B14" s="3662"/>
      <c r="C14" s="3537"/>
      <c r="D14" s="3535" t="s">
        <v>926</v>
      </c>
      <c r="E14" s="3539">
        <v>155413.54999999999</v>
      </c>
      <c r="F14" s="3544">
        <f ca="1">F8+F12+F13</f>
        <v>59442.852781000001</v>
      </c>
      <c r="G14" s="3535" t="s">
        <v>926</v>
      </c>
      <c r="H14" s="3537">
        <v>18798.39</v>
      </c>
    </row>
  </sheetData>
  <mergeCells count="22">
    <mergeCell ref="H5:H7"/>
    <mergeCell ref="A8:B8"/>
    <mergeCell ref="C9:C12"/>
    <mergeCell ref="A12:B12"/>
    <mergeCell ref="A14:B14"/>
    <mergeCell ref="C4:C8"/>
    <mergeCell ref="G5:G7"/>
    <mergeCell ref="A1:A2"/>
    <mergeCell ref="B1:B2"/>
    <mergeCell ref="C1:C2"/>
    <mergeCell ref="D1:D2"/>
    <mergeCell ref="G1:G2"/>
    <mergeCell ref="K2:K4"/>
    <mergeCell ref="L2:L4"/>
    <mergeCell ref="M2:U2"/>
    <mergeCell ref="M3:M4"/>
    <mergeCell ref="N3:U3"/>
    <mergeCell ref="N8:U8"/>
    <mergeCell ref="N9:U9"/>
    <mergeCell ref="N10:U10"/>
    <mergeCell ref="O7:R7"/>
    <mergeCell ref="O6:Q6"/>
  </mergeCells>
  <phoneticPr fontId="22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90" zoomScaleNormal="100" zoomScaleSheetLayoutView="9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2" t="s">
        <v>2020</v>
      </c>
      <c r="B1" s="1663"/>
      <c r="C1" s="1691" t="s">
        <v>2021</v>
      </c>
      <c r="D1" s="1692"/>
      <c r="E1" s="1691" t="s">
        <v>2022</v>
      </c>
      <c r="F1" s="1693"/>
      <c r="G1" s="309"/>
      <c r="H1" s="309"/>
      <c r="I1" s="309"/>
      <c r="J1" s="1882"/>
      <c r="K1" s="1882"/>
      <c r="L1" s="1882"/>
      <c r="M1" s="1882"/>
      <c r="N1" s="1882"/>
      <c r="O1" s="1882"/>
      <c r="P1" s="1882"/>
      <c r="Q1" s="1882"/>
      <c r="R1" s="1882"/>
      <c r="S1" s="1882"/>
      <c r="T1" s="1882"/>
      <c r="U1" s="1882"/>
      <c r="V1" s="1882"/>
    </row>
    <row r="2" spans="1:22" ht="21.75" customHeight="1" thickBot="1">
      <c r="A2" s="3707" t="str">
        <f>项目基本情况!K2</f>
        <v>储备国有建设用地使用权</v>
      </c>
      <c r="B2" s="3708"/>
      <c r="C2" s="3709"/>
      <c r="D2" s="3709"/>
      <c r="E2" s="3709"/>
      <c r="F2" s="3709"/>
      <c r="G2" s="3708"/>
      <c r="H2" s="3708"/>
      <c r="I2" s="3710"/>
      <c r="J2" s="1883"/>
      <c r="K2" s="1882"/>
      <c r="L2" s="1882"/>
      <c r="M2" s="1882"/>
      <c r="N2" s="1882"/>
      <c r="O2" s="1882"/>
      <c r="P2" s="1882"/>
      <c r="Q2" s="1882"/>
      <c r="R2" s="1882"/>
      <c r="S2" s="1882"/>
      <c r="T2" s="1882"/>
      <c r="U2" s="1882"/>
      <c r="V2" s="1882"/>
    </row>
    <row r="3" spans="1:22" ht="14.25">
      <c r="A3" s="3718" t="s">
        <v>297</v>
      </c>
      <c r="B3" s="3719"/>
      <c r="C3" s="3719"/>
      <c r="D3" s="3719"/>
      <c r="E3" s="3719"/>
      <c r="F3" s="3719"/>
      <c r="G3" s="3719"/>
      <c r="H3" s="3719"/>
      <c r="I3" s="3719"/>
      <c r="J3" s="1883"/>
      <c r="K3" s="1882"/>
      <c r="L3" s="1882"/>
      <c r="M3" s="1882"/>
      <c r="N3" s="1882"/>
      <c r="O3" s="1882"/>
      <c r="P3" s="1882"/>
      <c r="Q3" s="1882"/>
      <c r="R3" s="1882"/>
      <c r="S3" s="1882"/>
      <c r="T3" s="1882"/>
      <c r="U3" s="1882"/>
      <c r="V3" s="1882"/>
    </row>
    <row r="4" spans="1:22" ht="14.25">
      <c r="A4" s="256" t="s">
        <v>298</v>
      </c>
      <c r="B4" s="257" t="s">
        <v>299</v>
      </c>
      <c r="C4" s="258"/>
      <c r="D4" s="258"/>
      <c r="E4" s="3682" t="s">
        <v>300</v>
      </c>
      <c r="F4" s="3724"/>
      <c r="G4" s="3724"/>
      <c r="H4" s="3724"/>
      <c r="I4" s="3683"/>
      <c r="J4" s="1883"/>
      <c r="K4" s="1882"/>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711" t="s">
        <v>301</v>
      </c>
      <c r="B5" s="3712">
        <v>25</v>
      </c>
      <c r="C5" s="3720"/>
      <c r="D5" s="3723"/>
      <c r="E5" s="259" t="s">
        <v>302</v>
      </c>
      <c r="F5" s="260"/>
      <c r="G5" s="260"/>
      <c r="H5" s="260"/>
      <c r="I5" s="261"/>
      <c r="J5" s="1883"/>
      <c r="K5" s="1882"/>
      <c r="L5" s="1882"/>
      <c r="M5" s="1882"/>
      <c r="N5" s="1882"/>
      <c r="O5" s="1882"/>
      <c r="P5" s="1882"/>
      <c r="Q5" s="1882"/>
      <c r="R5" s="1882"/>
      <c r="S5" s="1882"/>
      <c r="T5" s="1882"/>
      <c r="U5" s="1882"/>
      <c r="V5" s="1882"/>
    </row>
    <row r="6" spans="1:22" ht="14.25">
      <c r="A6" s="3711"/>
      <c r="B6" s="3712"/>
      <c r="C6" s="3721"/>
      <c r="D6" s="3723"/>
      <c r="E6" s="259" t="s">
        <v>303</v>
      </c>
      <c r="F6" s="260"/>
      <c r="G6" s="260"/>
      <c r="H6" s="260"/>
      <c r="I6" s="261"/>
      <c r="J6" s="1883"/>
      <c r="K6" s="1882"/>
      <c r="L6" s="1882"/>
      <c r="M6" s="1882"/>
      <c r="N6" s="1882"/>
      <c r="O6" s="1882"/>
      <c r="P6" s="1882"/>
      <c r="Q6" s="1882"/>
      <c r="R6" s="1882"/>
      <c r="S6" s="1882"/>
      <c r="T6" s="1882"/>
      <c r="U6" s="1882"/>
      <c r="V6" s="1882"/>
    </row>
    <row r="7" spans="1:22" ht="14.25">
      <c r="A7" s="3711"/>
      <c r="B7" s="3712"/>
      <c r="C7" s="3722"/>
      <c r="D7" s="3723"/>
      <c r="E7" s="259" t="s">
        <v>304</v>
      </c>
      <c r="F7" s="260"/>
      <c r="G7" s="260"/>
      <c r="H7" s="260"/>
      <c r="I7" s="261"/>
      <c r="J7" s="1883"/>
      <c r="K7" s="1882"/>
      <c r="L7" s="1882"/>
      <c r="M7" s="1882"/>
      <c r="N7" s="1882"/>
      <c r="O7" s="1882"/>
      <c r="P7" s="1882"/>
      <c r="Q7" s="1882"/>
      <c r="R7" s="1882"/>
      <c r="S7" s="1882"/>
      <c r="T7" s="1882"/>
      <c r="U7" s="1882"/>
      <c r="V7" s="1882"/>
    </row>
    <row r="8" spans="1:22" ht="14.25">
      <c r="A8" s="3711" t="s">
        <v>305</v>
      </c>
      <c r="B8" s="3712">
        <v>15</v>
      </c>
      <c r="C8" s="3720"/>
      <c r="D8" s="3723"/>
      <c r="E8" s="259" t="s">
        <v>306</v>
      </c>
      <c r="F8" s="260"/>
      <c r="G8" s="260"/>
      <c r="H8" s="260"/>
      <c r="I8" s="261"/>
      <c r="J8" s="1883"/>
      <c r="K8" s="1882"/>
      <c r="L8" s="1882"/>
      <c r="M8" s="1882"/>
      <c r="N8" s="1882"/>
      <c r="O8" s="1882"/>
      <c r="P8" s="1882"/>
      <c r="Q8" s="1882"/>
      <c r="R8" s="1882"/>
      <c r="S8" s="1882"/>
      <c r="T8" s="1882"/>
      <c r="U8" s="1882"/>
      <c r="V8" s="1882"/>
    </row>
    <row r="9" spans="1:22" ht="14.25">
      <c r="A9" s="3711"/>
      <c r="B9" s="3712"/>
      <c r="C9" s="3722"/>
      <c r="D9" s="3723"/>
      <c r="E9" s="259" t="s">
        <v>307</v>
      </c>
      <c r="F9" s="260"/>
      <c r="G9" s="260"/>
      <c r="H9" s="260"/>
      <c r="I9" s="261"/>
      <c r="J9" s="1883"/>
      <c r="K9" s="1882"/>
      <c r="L9" s="1882"/>
      <c r="M9" s="1882"/>
      <c r="N9" s="1882"/>
      <c r="O9" s="1882"/>
      <c r="P9" s="1882"/>
      <c r="Q9" s="1882"/>
      <c r="R9" s="1882"/>
      <c r="S9" s="1882"/>
      <c r="T9" s="1882"/>
      <c r="U9" s="1882"/>
      <c r="V9" s="1882"/>
    </row>
    <row r="10" spans="1:22" ht="14.25">
      <c r="A10" s="3711" t="s">
        <v>308</v>
      </c>
      <c r="B10" s="3712">
        <v>15</v>
      </c>
      <c r="C10" s="3720"/>
      <c r="D10" s="3723"/>
      <c r="E10" s="259" t="s">
        <v>309</v>
      </c>
      <c r="F10" s="260"/>
      <c r="G10" s="260"/>
      <c r="H10" s="260"/>
      <c r="I10" s="261"/>
      <c r="J10" s="1883"/>
      <c r="K10" s="1882"/>
      <c r="L10" s="1882"/>
      <c r="M10" s="1882"/>
      <c r="N10" s="1882"/>
      <c r="O10" s="1882"/>
      <c r="P10" s="1882"/>
      <c r="Q10" s="1882"/>
      <c r="R10" s="1882"/>
      <c r="S10" s="1882"/>
      <c r="T10" s="1882"/>
      <c r="U10" s="1882"/>
      <c r="V10" s="1882"/>
    </row>
    <row r="11" spans="1:22" ht="14.25">
      <c r="A11" s="3711"/>
      <c r="B11" s="3712"/>
      <c r="C11" s="3722"/>
      <c r="D11" s="3723"/>
      <c r="E11" s="259" t="s">
        <v>310</v>
      </c>
      <c r="F11" s="260"/>
      <c r="G11" s="260"/>
      <c r="H11" s="260"/>
      <c r="I11" s="261"/>
      <c r="J11" s="1883"/>
      <c r="K11" s="1882"/>
      <c r="L11" s="1882"/>
      <c r="M11" s="1882"/>
      <c r="N11" s="1882"/>
      <c r="O11" s="1882"/>
      <c r="P11" s="1882"/>
      <c r="Q11" s="1882"/>
      <c r="R11" s="1882"/>
      <c r="S11" s="1882"/>
      <c r="T11" s="1882"/>
      <c r="U11" s="1882"/>
      <c r="V11" s="1882"/>
    </row>
    <row r="12" spans="1:22" ht="14.25">
      <c r="A12" s="3711" t="s">
        <v>311</v>
      </c>
      <c r="B12" s="3712">
        <v>15</v>
      </c>
      <c r="C12" s="3720"/>
      <c r="D12" s="3723"/>
      <c r="E12" s="259" t="s">
        <v>312</v>
      </c>
      <c r="F12" s="260"/>
      <c r="G12" s="260"/>
      <c r="H12" s="260"/>
      <c r="I12" s="261"/>
      <c r="J12" s="1883"/>
      <c r="K12" s="1882"/>
      <c r="L12" s="1882"/>
      <c r="M12" s="1882"/>
      <c r="N12" s="1882"/>
      <c r="O12" s="1882"/>
      <c r="P12" s="1882"/>
      <c r="Q12" s="1882"/>
      <c r="R12" s="1882"/>
      <c r="S12" s="1882"/>
      <c r="T12" s="1882"/>
      <c r="U12" s="1882"/>
      <c r="V12" s="1882"/>
    </row>
    <row r="13" spans="1:22" ht="14.25">
      <c r="A13" s="3711"/>
      <c r="B13" s="3712"/>
      <c r="C13" s="3722"/>
      <c r="D13" s="3723"/>
      <c r="E13" s="259" t="s">
        <v>313</v>
      </c>
      <c r="F13" s="260"/>
      <c r="G13" s="260"/>
      <c r="H13" s="260"/>
      <c r="I13" s="261"/>
      <c r="J13" s="1883"/>
      <c r="K13" s="1882"/>
      <c r="L13" s="1882"/>
      <c r="M13" s="1882"/>
      <c r="N13" s="1882"/>
      <c r="O13" s="1882"/>
      <c r="P13" s="1882"/>
      <c r="Q13" s="1882"/>
      <c r="R13" s="1882"/>
      <c r="S13" s="1882"/>
      <c r="T13" s="1882"/>
      <c r="U13" s="1882"/>
      <c r="V13" s="1882"/>
    </row>
    <row r="14" spans="1:22" ht="14.25">
      <c r="A14" s="3711" t="s">
        <v>314</v>
      </c>
      <c r="B14" s="3712">
        <v>30</v>
      </c>
      <c r="C14" s="3720"/>
      <c r="D14" s="3723"/>
      <c r="E14" s="259" t="s">
        <v>315</v>
      </c>
      <c r="F14" s="260"/>
      <c r="G14" s="260"/>
      <c r="H14" s="260"/>
      <c r="I14" s="261"/>
      <c r="J14" s="1883"/>
      <c r="K14" s="1882"/>
      <c r="L14" s="1882"/>
      <c r="M14" s="1882"/>
      <c r="N14" s="1882"/>
      <c r="O14" s="1882"/>
      <c r="P14" s="1882"/>
      <c r="Q14" s="1882"/>
      <c r="R14" s="1882"/>
      <c r="S14" s="1882"/>
      <c r="T14" s="1882"/>
      <c r="U14" s="1882"/>
      <c r="V14" s="1882"/>
    </row>
    <row r="15" spans="1:22" ht="14.25">
      <c r="A15" s="3711"/>
      <c r="B15" s="3712"/>
      <c r="C15" s="3721"/>
      <c r="D15" s="3723"/>
      <c r="E15" s="259" t="s">
        <v>316</v>
      </c>
      <c r="F15" s="260"/>
      <c r="G15" s="260"/>
      <c r="H15" s="260"/>
      <c r="I15" s="261"/>
      <c r="J15" s="1883"/>
      <c r="K15" s="1882"/>
      <c r="L15" s="1882"/>
      <c r="M15" s="1882"/>
      <c r="N15" s="1882"/>
      <c r="O15" s="1882"/>
      <c r="P15" s="1882"/>
      <c r="Q15" s="1882"/>
      <c r="R15" s="1882"/>
      <c r="S15" s="1882"/>
      <c r="T15" s="1882"/>
      <c r="U15" s="1882"/>
      <c r="V15" s="1882"/>
    </row>
    <row r="16" spans="1:22" ht="14.25">
      <c r="A16" s="3711"/>
      <c r="B16" s="3712"/>
      <c r="C16" s="3722"/>
      <c r="D16" s="3723"/>
      <c r="E16" s="259" t="s">
        <v>317</v>
      </c>
      <c r="F16" s="260"/>
      <c r="G16" s="260"/>
      <c r="H16" s="260"/>
      <c r="I16" s="261"/>
      <c r="J16" s="1883"/>
      <c r="K16" s="1882"/>
      <c r="L16" s="1882"/>
      <c r="M16" s="1882"/>
      <c r="N16" s="1882"/>
      <c r="O16" s="1882"/>
      <c r="P16" s="1882"/>
      <c r="Q16" s="1882"/>
      <c r="R16" s="1882"/>
      <c r="S16" s="1882"/>
      <c r="T16" s="1882"/>
      <c r="U16" s="1882"/>
      <c r="V16" s="1882"/>
    </row>
    <row r="17" spans="1:26" ht="15">
      <c r="A17" s="262" t="s">
        <v>318</v>
      </c>
      <c r="B17" s="142"/>
      <c r="C17" s="263">
        <f>SUM(C5:C16)</f>
        <v>0</v>
      </c>
      <c r="D17" s="263">
        <f>SUM(D5:D16)</f>
        <v>0</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319</v>
      </c>
      <c r="B18" s="105"/>
      <c r="C18" s="265" t="e">
        <f>ROUND(C17/SUM(C17:D17),2)</f>
        <v>#DIV/0!</v>
      </c>
      <c r="D18" s="265" t="e">
        <f>1-C18</f>
        <v>#DIV/0!</v>
      </c>
      <c r="E18" s="3725" t="s">
        <v>2928</v>
      </c>
      <c r="F18" s="3726"/>
      <c r="G18" s="3726"/>
      <c r="H18" s="3726"/>
      <c r="I18" s="3726"/>
      <c r="J18" s="1882"/>
      <c r="K18" s="1882"/>
      <c r="L18" s="1882"/>
      <c r="M18" s="1882"/>
      <c r="N18" s="1882"/>
      <c r="O18" s="1882"/>
      <c r="P18" s="1882"/>
      <c r="Q18" s="1882"/>
      <c r="R18" s="1882"/>
      <c r="S18" s="1882"/>
      <c r="T18" s="1882"/>
      <c r="U18" s="1882"/>
      <c r="V18" s="1882"/>
    </row>
    <row r="19" spans="1:26" ht="15">
      <c r="A19" s="266" t="s">
        <v>320</v>
      </c>
      <c r="B19" s="267" t="s">
        <v>321</v>
      </c>
      <c r="C19" s="268" t="e">
        <f ca="1">SUMIF(INDIRECT("'"&amp;C4&amp;"'"&amp;"!A:A"),结果表!B19,INDIRECT("'"&amp;C4&amp;"'"&amp;"!B:B"))</f>
        <v>#REF!</v>
      </c>
      <c r="D19" s="269" t="e">
        <f ca="1">SUMIF(INDIRECT("'"&amp;D4&amp;"'"&amp;"!A:A"),结果表!B19,INDIRECT("'"&amp;D4&amp;"'"&amp;"!B:B"))</f>
        <v>#REF!</v>
      </c>
      <c r="E19" s="266" t="s">
        <v>322</v>
      </c>
      <c r="F19" s="267" t="s">
        <v>321</v>
      </c>
      <c r="G19" s="270" t="e">
        <f ca="1">ROUND(C19*$C$18+D19*$D$18,0)</f>
        <v>#REF!</v>
      </c>
      <c r="H19" s="271" t="s">
        <v>323</v>
      </c>
      <c r="I19" s="309"/>
      <c r="J19" s="1882"/>
      <c r="K19" s="1882"/>
      <c r="L19" s="1882"/>
      <c r="M19" s="1882"/>
      <c r="N19" s="1882"/>
      <c r="O19" s="1882"/>
      <c r="P19" s="1882"/>
      <c r="Q19" s="1882"/>
      <c r="R19" s="1882"/>
      <c r="S19" s="1882"/>
      <c r="T19" s="1882"/>
      <c r="U19" s="1882"/>
      <c r="V19" s="1882"/>
    </row>
    <row r="20" spans="1:26" ht="15">
      <c r="A20" s="272"/>
      <c r="B20" s="273" t="s">
        <v>324</v>
      </c>
      <c r="C20" s="274" t="e">
        <f ca="1">SUMIF(INDIRECT("'"&amp;C4&amp;"'"&amp;"!A:A"),结果表!B20,INDIRECT("'"&amp;C4&amp;"'"&amp;"!B:B"))</f>
        <v>#REF!</v>
      </c>
      <c r="D20" s="275" t="e">
        <f ca="1">SUMIF(INDIRECT("'"&amp;D4&amp;"'"&amp;"!A:A"),结果表!B20,INDIRECT("'"&amp;D4&amp;"'"&amp;"!B:B"))</f>
        <v>#REF!</v>
      </c>
      <c r="E20" s="272"/>
      <c r="F20" s="273" t="s">
        <v>324</v>
      </c>
      <c r="G20" s="276" t="e">
        <f ca="1">ROUND(C20*$C$18+D20*$D$18,0)</f>
        <v>#REF!</v>
      </c>
      <c r="H20" s="277" t="s">
        <v>325</v>
      </c>
      <c r="I20" s="309"/>
      <c r="J20" s="1882"/>
      <c r="K20" s="1882"/>
      <c r="L20" s="1882"/>
      <c r="M20" s="1882"/>
      <c r="N20" s="1882"/>
      <c r="O20" s="1882"/>
      <c r="P20" s="1882"/>
      <c r="Q20" s="1882"/>
      <c r="R20" s="1882"/>
      <c r="S20" s="1882"/>
      <c r="T20" s="1882"/>
      <c r="U20" s="1882"/>
      <c r="V20" s="1882"/>
    </row>
    <row r="21" spans="1:26" ht="15" customHeight="1">
      <c r="A21" s="272"/>
      <c r="B21" s="278" t="s">
        <v>326</v>
      </c>
      <c r="C21" s="279" t="e">
        <f ca="1">SUMIF(INDIRECT("'"&amp;C4&amp;"'"&amp;"!A:A"),结果表!B21,INDIRECT("'"&amp;C4&amp;"'"&amp;"!B:B"))</f>
        <v>#REF!</v>
      </c>
      <c r="D21" s="149" t="e">
        <f ca="1">SUMIF(INDIRECT("'"&amp;D4&amp;"'"&amp;"!A:A"),结果表!B21,INDIRECT("'"&amp;D4&amp;"'"&amp;"!B:B"))</f>
        <v>#REF!</v>
      </c>
      <c r="E21" s="272"/>
      <c r="F21" s="278" t="s">
        <v>326</v>
      </c>
      <c r="G21" s="280" t="e">
        <f ca="1">ROUND(C21*$C$18+D21*$D$18,0)</f>
        <v>#REF!</v>
      </c>
      <c r="H21" s="1187" t="s">
        <v>325</v>
      </c>
      <c r="I21" s="309"/>
      <c r="J21" s="1882"/>
      <c r="K21" s="1882"/>
      <c r="L21" s="1882"/>
      <c r="M21" s="1882"/>
      <c r="N21" s="1882"/>
      <c r="O21" s="1882"/>
      <c r="P21" s="1882"/>
      <c r="Q21" s="1882"/>
      <c r="R21" s="1882"/>
      <c r="S21" s="1882"/>
      <c r="T21" s="1882"/>
      <c r="U21" s="1882"/>
      <c r="V21" s="1882"/>
    </row>
    <row r="22" spans="1:26" ht="15.75" thickBot="1">
      <c r="A22" s="126" t="s">
        <v>327</v>
      </c>
      <c r="B22" s="1188"/>
      <c r="C22" s="1189"/>
      <c r="D22" s="281" t="e">
        <f ca="1">IF(C19&lt;D19,D19/C19-1,C19/D19-1)</f>
        <v>#REF!</v>
      </c>
      <c r="E22" s="282"/>
      <c r="F22" s="283"/>
      <c r="G22" s="284" t="e">
        <f ca="1">ROUND(G19/('数据-汇总表'!D3/666.67),0)</f>
        <v>#REF!</v>
      </c>
      <c r="H22" s="285" t="s">
        <v>328</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684" t="s">
        <v>329</v>
      </c>
      <c r="B24" s="267" t="s">
        <v>321</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731"/>
      <c r="B25" s="1257" t="s">
        <v>330</v>
      </c>
      <c r="C25" s="288">
        <f>IF(B30=0,0,C30)</f>
        <v>0</v>
      </c>
      <c r="D25" s="289"/>
      <c r="E25" s="309"/>
      <c r="F25" s="309"/>
      <c r="G25" s="309"/>
      <c r="H25" s="309"/>
      <c r="I25" s="309"/>
      <c r="J25" s="1882"/>
      <c r="K25" s="1191" t="e">
        <f ca="1">项目基本情况!B16&amp;"国有建设用地使用权价格："&amp;O38&amp;"万元"</f>
        <v>#REF!</v>
      </c>
      <c r="L25" s="1192"/>
      <c r="M25" s="1192"/>
      <c r="N25" s="1192"/>
      <c r="O25" s="1193"/>
      <c r="P25" s="1882"/>
      <c r="Q25" s="1882"/>
      <c r="R25" s="1882"/>
      <c r="S25" s="1882"/>
      <c r="T25" s="1882"/>
      <c r="U25" s="1882"/>
      <c r="V25" s="1882"/>
    </row>
    <row r="26" spans="1:26" s="1190" customFormat="1" ht="18">
      <c r="A26" s="291" t="s">
        <v>331</v>
      </c>
      <c r="B26" s="292" t="s">
        <v>332</v>
      </c>
      <c r="C26" s="292" t="s">
        <v>333</v>
      </c>
      <c r="D26" s="293" t="s">
        <v>334</v>
      </c>
      <c r="E26" s="309"/>
      <c r="F26" s="309"/>
      <c r="G26" s="309"/>
      <c r="H26" s="309"/>
      <c r="I26" s="309"/>
      <c r="J26" s="1882"/>
      <c r="K26" s="1194" t="e">
        <f ca="1">"大写金额：人民币"&amp;NUMBERSTRING(INT(O38*10000),2)&amp;"元整"</f>
        <v>#REF!</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e">
        <f ca="1">"单位面积地价："&amp;M38&amp;"元/平方米"</f>
        <v>#REF!</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e">
        <f ca="1">"楼面地价："&amp;N38&amp;"元/平方米"</f>
        <v>#REF!</v>
      </c>
      <c r="L28" s="1188"/>
      <c r="M28" s="1188"/>
      <c r="N28" s="1188"/>
      <c r="O28" s="1187"/>
      <c r="P28" s="1882"/>
      <c r="V28" s="1882"/>
    </row>
    <row r="29" spans="1:26" ht="18">
      <c r="A29" s="291"/>
      <c r="B29" s="292"/>
      <c r="C29" s="292"/>
      <c r="D29" s="293"/>
      <c r="E29" s="309"/>
      <c r="F29" s="309"/>
      <c r="G29" s="309"/>
      <c r="H29" s="309"/>
      <c r="I29" s="309"/>
      <c r="J29" s="1882"/>
      <c r="K29" s="1194" t="str">
        <f>IF(OR(项目基本情况!E8="抵押价格",项目基本情况!E8="已注销及未注销"),"抵押价格："&amp;O39&amp;"万元","——")</f>
        <v>——</v>
      </c>
      <c r="L29" s="1188"/>
      <c r="M29" s="1188"/>
      <c r="N29" s="1188"/>
      <c r="O29" s="1187"/>
      <c r="P29" s="1882"/>
      <c r="V29" s="1882"/>
    </row>
    <row r="30" spans="1:26" ht="18.75" thickBot="1">
      <c r="A30" s="2764" t="s">
        <v>335</v>
      </c>
      <c r="B30" s="307"/>
      <c r="C30" s="307"/>
      <c r="D30" s="308"/>
      <c r="E30" s="2966" t="s">
        <v>2929</v>
      </c>
      <c r="F30" s="309"/>
      <c r="G30" s="309"/>
      <c r="H30" s="309"/>
      <c r="I30" s="309"/>
      <c r="J30" s="1882"/>
      <c r="K30" s="1194" t="str">
        <f>IF(K29="——","——","大写金额：人民币"&amp;NUMBERSTRING(INT(O39*10000),2)&amp;"元整")</f>
        <v>——</v>
      </c>
      <c r="L30" s="1188"/>
      <c r="M30" s="1188"/>
      <c r="N30" s="1188"/>
      <c r="O30" s="1187"/>
      <c r="P30" s="1882"/>
      <c r="V30" s="1882"/>
    </row>
    <row r="31" spans="1:26" ht="24" customHeight="1" thickBot="1">
      <c r="A31" s="3727" t="s">
        <v>2930</v>
      </c>
      <c r="B31" s="3727"/>
      <c r="C31" s="3727"/>
      <c r="D31" s="3727"/>
      <c r="E31" s="3727"/>
      <c r="F31" s="3727"/>
      <c r="G31" s="3727"/>
      <c r="H31" s="3727"/>
      <c r="I31" s="3727"/>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2" t="s">
        <v>336</v>
      </c>
      <c r="B32" s="2967" t="s">
        <v>1661</v>
      </c>
      <c r="C32" s="264" t="e">
        <f ca="1">G19-C24</f>
        <v>#REF!</v>
      </c>
      <c r="D32" s="2968" t="s">
        <v>1662</v>
      </c>
      <c r="E32" s="309"/>
      <c r="F32" s="309"/>
      <c r="G32" s="309"/>
      <c r="H32" s="309"/>
      <c r="I32" s="309"/>
      <c r="J32" s="1882"/>
      <c r="K32" s="2287" t="e">
        <f>IF(K31="——","——","大写金额：人民币"&amp;NUMBERSTRING(INT(O40*10000),2)&amp;"元整")</f>
        <v>#VALUE!</v>
      </c>
      <c r="L32" s="2290"/>
      <c r="M32" s="2290"/>
      <c r="N32" s="2290"/>
      <c r="O32" s="2291"/>
      <c r="P32" s="1882"/>
      <c r="V32" s="1882"/>
    </row>
    <row r="33" spans="1:26" ht="18.75" thickBot="1">
      <c r="A33" s="296" t="s">
        <v>339</v>
      </c>
      <c r="B33" s="1307" t="s">
        <v>1663</v>
      </c>
      <c r="C33" s="262" t="e">
        <f ca="1">ROUND(C32*10000/'数据-汇总表'!E3,0)</f>
        <v>#REF!</v>
      </c>
      <c r="D33" s="1308" t="s">
        <v>1664</v>
      </c>
      <c r="E33" s="3684" t="s">
        <v>337</v>
      </c>
      <c r="F33" s="294" t="s">
        <v>338</v>
      </c>
      <c r="G33" s="295"/>
      <c r="H33" s="950"/>
      <c r="I33" s="1195"/>
      <c r="J33" s="1882"/>
      <c r="K33" s="1194" t="str">
        <f>IF(项目基本情况!E9="——","——","抵押净值："&amp;C46&amp;"万元")</f>
        <v>抵押净值：——万元</v>
      </c>
      <c r="L33" s="1188"/>
      <c r="M33" s="1188"/>
      <c r="N33" s="1188"/>
      <c r="O33" s="1187"/>
      <c r="P33" s="1882"/>
      <c r="V33" s="1882"/>
    </row>
    <row r="34" spans="1:26" s="1190" customFormat="1" ht="18.75" thickBot="1">
      <c r="A34" s="298"/>
      <c r="B34" s="1309" t="s">
        <v>1665</v>
      </c>
      <c r="C34" s="262" t="e">
        <f ca="1">ROUND(C32*10000/'数据-汇总表'!D3,0)</f>
        <v>#REF!</v>
      </c>
      <c r="D34" s="1310" t="s">
        <v>1664</v>
      </c>
      <c r="E34" s="3685"/>
      <c r="F34" s="127" t="s">
        <v>340</v>
      </c>
      <c r="G34" s="297"/>
      <c r="H34" s="105"/>
      <c r="I34" s="309"/>
      <c r="J34" s="1882"/>
      <c r="K34" s="1197" t="e">
        <f>IF(K33="——","——","大写金额：人民币"&amp;NUMBERSTRING(INT(O41*10000),2)&amp;"元整")</f>
        <v>#VALUE!</v>
      </c>
      <c r="L34" s="1198"/>
      <c r="M34" s="1198"/>
      <c r="N34" s="1198"/>
      <c r="O34" s="1199"/>
      <c r="P34" s="1882"/>
      <c r="Q34" s="290"/>
      <c r="R34" s="290"/>
      <c r="S34" s="290"/>
      <c r="T34" s="290"/>
      <c r="U34" s="290"/>
      <c r="V34" s="1882"/>
      <c r="W34" s="290"/>
      <c r="X34" s="290"/>
      <c r="Y34" s="290"/>
      <c r="Z34" s="290"/>
    </row>
    <row r="35" spans="1:26" ht="15.75" thickBot="1">
      <c r="A35" s="282"/>
      <c r="B35" s="1311"/>
      <c r="C35" s="1312" t="e">
        <f ca="1">ROUND(C32/('数据-汇总表'!D3/666.67),0)</f>
        <v>#REF!</v>
      </c>
      <c r="D35" s="1313" t="s">
        <v>1666</v>
      </c>
      <c r="E35" s="3686"/>
      <c r="F35" s="299" t="s">
        <v>341</v>
      </c>
      <c r="G35" s="952"/>
      <c r="H35" s="951" t="s">
        <v>342</v>
      </c>
      <c r="I35" s="309"/>
      <c r="J35" s="1882"/>
      <c r="K35" s="3690" t="s">
        <v>349</v>
      </c>
      <c r="L35" s="3690" t="s">
        <v>350</v>
      </c>
      <c r="M35" s="1200" t="s">
        <v>351</v>
      </c>
      <c r="N35" s="3690" t="s">
        <v>352</v>
      </c>
      <c r="O35" s="3690" t="s">
        <v>353</v>
      </c>
      <c r="P35" s="1882"/>
      <c r="V35" s="1882"/>
    </row>
    <row r="36" spans="1:26" ht="16.5" customHeight="1">
      <c r="A36" s="301" t="s">
        <v>343</v>
      </c>
      <c r="B36" s="302" t="s">
        <v>332</v>
      </c>
      <c r="C36" s="303" t="s">
        <v>344</v>
      </c>
      <c r="D36" s="303" t="s">
        <v>345</v>
      </c>
      <c r="E36" s="304" t="s">
        <v>346</v>
      </c>
      <c r="F36" s="309"/>
      <c r="G36" s="309"/>
      <c r="H36" s="309"/>
      <c r="I36" s="309"/>
      <c r="J36" s="1884"/>
      <c r="K36" s="3691"/>
      <c r="L36" s="3691"/>
      <c r="M36" s="1202" t="s">
        <v>354</v>
      </c>
      <c r="N36" s="3691"/>
      <c r="O36" s="3691"/>
      <c r="P36" s="1882"/>
      <c r="V36" s="1882"/>
    </row>
    <row r="37" spans="1:26" ht="16.5" customHeight="1" thickBot="1">
      <c r="A37" s="1196" t="s">
        <v>347</v>
      </c>
      <c r="B37" s="305"/>
      <c r="C37" s="292"/>
      <c r="D37" s="292"/>
      <c r="E37" s="293"/>
      <c r="F37" s="309"/>
      <c r="G37" s="309"/>
      <c r="H37" s="309"/>
      <c r="I37" s="309"/>
      <c r="J37" s="1884"/>
      <c r="K37" s="3692"/>
      <c r="L37" s="3692"/>
      <c r="M37" s="1203"/>
      <c r="N37" s="3692"/>
      <c r="O37" s="3692"/>
      <c r="P37" s="1882"/>
      <c r="V37" s="1882"/>
    </row>
    <row r="38" spans="1:26" ht="16.5" customHeight="1" thickBot="1">
      <c r="A38" s="1196" t="s">
        <v>348</v>
      </c>
      <c r="B38" s="305"/>
      <c r="C38" s="292"/>
      <c r="D38" s="292"/>
      <c r="E38" s="293"/>
      <c r="F38" s="309"/>
      <c r="G38" s="309"/>
      <c r="H38" s="309"/>
      <c r="I38" s="309"/>
      <c r="J38" s="1884"/>
      <c r="K38" s="1204">
        <f>'数据-汇总表'!D3</f>
        <v>155413.54999999999</v>
      </c>
      <c r="L38" s="1205">
        <f>'数据-汇总表'!E3</f>
        <v>155413.54999999999</v>
      </c>
      <c r="M38" s="1205" t="e">
        <f ca="1">C34</f>
        <v>#REF!</v>
      </c>
      <c r="N38" s="1205" t="e">
        <f ca="1">C33</f>
        <v>#REF!</v>
      </c>
      <c r="O38" s="1206" t="e">
        <f ca="1">C32</f>
        <v>#REF!</v>
      </c>
      <c r="P38" s="1882"/>
      <c r="V38" s="1882"/>
    </row>
    <row r="39" spans="1:26" ht="16.5" customHeight="1" thickBot="1">
      <c r="A39" s="1201"/>
      <c r="B39" s="306"/>
      <c r="C39" s="307"/>
      <c r="D39" s="307"/>
      <c r="E39" s="308"/>
      <c r="F39" s="309"/>
      <c r="G39" s="309"/>
      <c r="H39" s="309"/>
      <c r="I39" s="309"/>
      <c r="J39" s="1884"/>
      <c r="K39" s="3703" t="str">
        <f>MID(A44,3,LEN(A44)-2)</f>
        <v/>
      </c>
      <c r="L39" s="3704"/>
      <c r="M39" s="3704"/>
      <c r="N39" s="3705"/>
      <c r="O39" s="1315" t="str">
        <f>C44</f>
        <v>——</v>
      </c>
      <c r="P39" s="1882"/>
      <c r="V39" s="1882"/>
    </row>
    <row r="40" spans="1:26" ht="19.5" thickBot="1">
      <c r="A40" s="104" t="s">
        <v>847</v>
      </c>
      <c r="B40" s="309"/>
      <c r="C40" s="309"/>
      <c r="D40" s="309"/>
      <c r="E40" s="309"/>
      <c r="F40" s="309"/>
      <c r="G40" s="309"/>
      <c r="H40" s="309"/>
      <c r="I40" s="309"/>
      <c r="J40" s="1884"/>
      <c r="K40" s="3703" t="str">
        <f t="shared" ref="K40:K41" si="0">MID(A45,3,LEN(A45)-2)</f>
        <v/>
      </c>
      <c r="L40" s="3704"/>
      <c r="M40" s="3704"/>
      <c r="N40" s="3705"/>
      <c r="O40" s="1315" t="str">
        <f>C45</f>
        <v>——</v>
      </c>
      <c r="P40" s="1882"/>
      <c r="V40" s="1882"/>
    </row>
    <row r="41" spans="1:26" ht="16.5" thickBot="1">
      <c r="A41" s="310" t="s">
        <v>355</v>
      </c>
      <c r="B41" s="311"/>
      <c r="C41" s="312" t="s">
        <v>356</v>
      </c>
      <c r="D41" s="313" t="s">
        <v>357</v>
      </c>
      <c r="E41" s="313" t="s">
        <v>358</v>
      </c>
      <c r="F41" s="314" t="s">
        <v>359</v>
      </c>
      <c r="G41" s="309"/>
      <c r="H41" s="309"/>
      <c r="I41" s="309"/>
      <c r="J41" s="1884"/>
      <c r="K41" s="3703" t="str">
        <f t="shared" si="0"/>
        <v/>
      </c>
      <c r="L41" s="3704"/>
      <c r="M41" s="3704"/>
      <c r="N41" s="3705"/>
      <c r="O41" s="1315" t="str">
        <f>C46</f>
        <v>——</v>
      </c>
      <c r="P41" s="1882"/>
      <c r="V41" s="1882"/>
    </row>
    <row r="42" spans="1:26" ht="29.25">
      <c r="A42" s="3732" t="s">
        <v>2032</v>
      </c>
      <c r="B42" s="3733"/>
      <c r="C42" s="262" t="e">
        <f ca="1">C32</f>
        <v>#REF!</v>
      </c>
      <c r="D42" s="315" t="e">
        <f ca="1">C33</f>
        <v>#REF!</v>
      </c>
      <c r="E42" s="315" t="e">
        <f ca="1">C34</f>
        <v>#REF!</v>
      </c>
      <c r="F42" s="316" t="e">
        <f ca="1">C35</f>
        <v>#REF!</v>
      </c>
      <c r="G42" s="309"/>
      <c r="H42" s="309"/>
      <c r="I42" s="317"/>
      <c r="J42" s="1884"/>
      <c r="K42" s="1207" t="s">
        <v>360</v>
      </c>
      <c r="L42" s="1901" t="s">
        <v>361</v>
      </c>
      <c r="M42" s="1208" t="s">
        <v>362</v>
      </c>
      <c r="N42" s="1902" t="s">
        <v>363</v>
      </c>
      <c r="O42" s="1903" t="s">
        <v>364</v>
      </c>
      <c r="P42" s="1882"/>
      <c r="V42" s="1882"/>
    </row>
    <row r="43" spans="1:26" ht="18">
      <c r="A43" s="3742" t="s">
        <v>2681</v>
      </c>
      <c r="B43" s="3743"/>
      <c r="C43" s="262">
        <f>IF(H33="正常操作",G33+G34+G35,G34+G35)</f>
        <v>0</v>
      </c>
      <c r="D43" s="315" t="s">
        <v>43</v>
      </c>
      <c r="E43" s="315" t="s">
        <v>44</v>
      </c>
      <c r="F43" s="316" t="s">
        <v>44</v>
      </c>
      <c r="G43" s="2550" t="s">
        <v>926</v>
      </c>
      <c r="H43" s="309"/>
      <c r="I43" s="317"/>
      <c r="J43" s="1884"/>
      <c r="K43" s="1209">
        <f>C4</f>
        <v>0</v>
      </c>
      <c r="L43" s="1210" t="e">
        <f ca="1">IF(L42="估价结果/万元",C19,C20)</f>
        <v>#REF!</v>
      </c>
      <c r="M43" s="1211" t="e">
        <f>C18</f>
        <v>#DIV/0!</v>
      </c>
      <c r="N43" s="1212" t="e">
        <f ca="1">IF(N42="测算结果/万元",G19,G20)</f>
        <v>#REF!</v>
      </c>
      <c r="O43" s="1213" t="e">
        <f ca="1">IF(O42="最终结果/万元",C32,C33)</f>
        <v>#REF!</v>
      </c>
      <c r="P43" s="1882"/>
      <c r="V43" s="1882"/>
    </row>
    <row r="44" spans="1:26" ht="18.75" thickBot="1">
      <c r="A44" s="3732" t="str">
        <f>IF(OR(项目基本情况!E8="抵押价格",项目基本情况!E8="已注销及未注销"),"3.抵押价格","——")</f>
        <v>——</v>
      </c>
      <c r="B44" s="3733"/>
      <c r="C44" s="262" t="str">
        <f>IF(A44="——","——",C42-C43)</f>
        <v>——</v>
      </c>
      <c r="D44" s="315" t="e">
        <f>ROUND(C44*10000/'数据-汇总表'!E3,0)</f>
        <v>#VALUE!</v>
      </c>
      <c r="E44" s="315" t="e">
        <f>ROUND(C44*10000/'数据-汇总表'!D3,0)</f>
        <v>#VALUE!</v>
      </c>
      <c r="F44" s="316" t="e">
        <f>ROUND(C44/('数据-汇总表'!D3/666.67),0)</f>
        <v>#VALUE!</v>
      </c>
      <c r="G44" s="309"/>
      <c r="H44" s="309"/>
      <c r="I44" s="317"/>
      <c r="J44" s="1884"/>
      <c r="K44" s="1214">
        <f>D4</f>
        <v>0</v>
      </c>
      <c r="L44" s="1215" t="e">
        <f ca="1">IF(L42="估价结果/万元",D19,D20)</f>
        <v>#REF!</v>
      </c>
      <c r="M44" s="1216" t="e">
        <f>D18</f>
        <v>#DIV/0!</v>
      </c>
      <c r="N44" s="1217"/>
      <c r="O44" s="1218"/>
      <c r="P44" s="1882"/>
      <c r="V44" s="1882"/>
    </row>
    <row r="45" spans="1:26" ht="15">
      <c r="A45" s="3737" t="str">
        <f>IF(项目基本情况!E8="已注销及未注销","4.抵押担保权已注销时的抵押价格",IF(项目基本情况!E8="已注销","3.抵押担保权已注销时的抵押价格","——"))</f>
        <v>——</v>
      </c>
      <c r="B45" s="3738"/>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734" t="str">
        <f>IF(项目基本情况!E9="抵押净值",IF(A45="——","4.抵押净值","5.抵押净值"),"——")</f>
        <v>——</v>
      </c>
      <c r="B46" s="3735"/>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5.75">
      <c r="A47" s="319" t="s">
        <v>365</v>
      </c>
      <c r="B47" s="1219"/>
      <c r="C47" s="320" t="s">
        <v>366</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367</v>
      </c>
      <c r="G53" s="335"/>
      <c r="H53" s="335"/>
      <c r="I53" s="336" t="s">
        <v>368</v>
      </c>
      <c r="J53" s="1885"/>
      <c r="K53" s="1882"/>
      <c r="L53" s="1882"/>
      <c r="M53" s="1882"/>
      <c r="N53" s="1882"/>
      <c r="O53" s="1882"/>
      <c r="P53" s="1882"/>
      <c r="Q53" s="1882"/>
      <c r="R53" s="1882"/>
      <c r="S53" s="1882"/>
      <c r="T53" s="1882"/>
      <c r="U53" s="1882"/>
      <c r="V53" s="1882"/>
    </row>
    <row r="54" spans="1:22" ht="12.75">
      <c r="A54" s="255"/>
      <c r="B54" s="337" t="s">
        <v>369</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370</v>
      </c>
      <c r="J56" s="1885"/>
      <c r="K56" s="1882"/>
      <c r="L56" s="1882"/>
      <c r="M56" s="1882"/>
      <c r="N56" s="1882"/>
      <c r="O56" s="1882"/>
      <c r="P56" s="1882"/>
      <c r="Q56" s="1882"/>
      <c r="R56" s="1882"/>
      <c r="S56" s="1882"/>
      <c r="T56" s="1882"/>
      <c r="U56" s="1882"/>
      <c r="V56" s="1882"/>
    </row>
    <row r="57" spans="1:22" ht="12.75">
      <c r="A57" s="255"/>
      <c r="B57" s="337" t="s">
        <v>371</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370</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372</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695" t="s">
        <v>373</v>
      </c>
      <c r="B63" s="3696"/>
      <c r="C63" s="3697"/>
      <c r="D63" s="339" t="e">
        <f ca="1">ROUND(C42*F63,0)</f>
        <v>#REF!</v>
      </c>
      <c r="E63" s="300" t="s">
        <v>374</v>
      </c>
      <c r="F63" s="340">
        <v>1</v>
      </c>
      <c r="G63" s="341" t="s">
        <v>375</v>
      </c>
      <c r="H63" s="309"/>
      <c r="I63" s="309"/>
      <c r="J63" s="1882"/>
      <c r="K63" s="1882"/>
      <c r="L63" s="1882"/>
      <c r="M63" s="1882"/>
      <c r="N63" s="1882"/>
      <c r="O63" s="1882"/>
      <c r="P63" s="1882"/>
      <c r="Q63" s="1882"/>
      <c r="R63" s="1882"/>
      <c r="S63" s="1882"/>
      <c r="T63" s="1882"/>
      <c r="U63" s="1882"/>
      <c r="V63" s="1882"/>
    </row>
    <row r="64" spans="1:22" ht="14.25" customHeight="1">
      <c r="A64" s="3739" t="s">
        <v>377</v>
      </c>
      <c r="B64" s="3740"/>
      <c r="C64" s="3740"/>
      <c r="D64" s="3740"/>
      <c r="E64" s="3740"/>
      <c r="F64" s="3740"/>
      <c r="G64" s="3741"/>
      <c r="H64" s="1224"/>
      <c r="I64" s="919"/>
      <c r="J64" s="1873"/>
      <c r="K64" s="1472" t="s">
        <v>376</v>
      </c>
      <c r="L64" s="11"/>
      <c r="M64" s="11"/>
      <c r="N64" s="11"/>
      <c r="O64" s="11"/>
      <c r="P64" s="309"/>
      <c r="Q64" s="1882"/>
      <c r="R64" s="1882"/>
      <c r="S64" s="1882"/>
      <c r="T64" s="1882"/>
      <c r="U64" s="1882"/>
      <c r="V64" s="1882"/>
    </row>
    <row r="65" spans="1:22" ht="12" customHeight="1">
      <c r="A65" s="342" t="s">
        <v>379</v>
      </c>
      <c r="B65" s="343"/>
      <c r="C65" s="344"/>
      <c r="D65" s="345" t="s">
        <v>380</v>
      </c>
      <c r="E65" s="53" t="s">
        <v>381</v>
      </c>
      <c r="F65" s="346" t="s">
        <v>382</v>
      </c>
      <c r="G65" s="347" t="s">
        <v>383</v>
      </c>
      <c r="H65" s="1224"/>
      <c r="I65" s="919"/>
      <c r="J65" s="1873"/>
      <c r="K65" s="1225"/>
      <c r="L65" s="1226"/>
      <c r="M65" s="1226"/>
      <c r="N65" s="1258" t="s">
        <v>378</v>
      </c>
      <c r="O65" s="1259"/>
      <c r="P65" s="1260"/>
      <c r="Q65" s="1882"/>
      <c r="R65" s="1882"/>
      <c r="S65" s="1882"/>
      <c r="T65" s="1882"/>
      <c r="U65" s="1882"/>
      <c r="V65" s="1882"/>
    </row>
    <row r="66" spans="1:22" ht="25.5">
      <c r="A66" s="3736" t="s">
        <v>385</v>
      </c>
      <c r="B66" s="3702"/>
      <c r="C66" s="370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386</v>
      </c>
      <c r="H66" s="189"/>
      <c r="I66" s="1224"/>
      <c r="J66" s="1888"/>
      <c r="K66" s="1227">
        <v>1</v>
      </c>
      <c r="L66" s="3663" t="s">
        <v>384</v>
      </c>
      <c r="M66" s="3664"/>
      <c r="N66" s="2282"/>
      <c r="O66" s="2283"/>
      <c r="P66" s="2284"/>
      <c r="Q66" s="1882"/>
      <c r="R66" s="1882"/>
      <c r="S66" s="1882"/>
      <c r="T66" s="1882"/>
      <c r="U66" s="1882"/>
      <c r="V66" s="1882"/>
    </row>
    <row r="67" spans="1:22" ht="25.5" customHeight="1">
      <c r="A67" s="350" t="s">
        <v>388</v>
      </c>
      <c r="B67" s="3714" t="s">
        <v>389</v>
      </c>
      <c r="C67" s="3714"/>
      <c r="D67" s="351">
        <v>0</v>
      </c>
      <c r="E67" s="41" t="s">
        <v>390</v>
      </c>
      <c r="F67" s="62" t="s">
        <v>21</v>
      </c>
      <c r="G67" s="3698"/>
      <c r="H67" s="2969" t="s">
        <v>2931</v>
      </c>
      <c r="I67" s="2971"/>
      <c r="J67" s="1889"/>
      <c r="K67" s="1861">
        <v>2</v>
      </c>
      <c r="L67" s="3668" t="s">
        <v>387</v>
      </c>
      <c r="M67" s="3668"/>
      <c r="N67" s="1261">
        <f>'数据-取费表'!B2</f>
        <v>44623</v>
      </c>
      <c r="O67" s="1261"/>
      <c r="P67" s="1261"/>
      <c r="Q67" s="1882"/>
      <c r="R67" s="1882"/>
      <c r="S67" s="1882"/>
      <c r="T67" s="1882"/>
      <c r="U67" s="1882"/>
      <c r="V67" s="1882"/>
    </row>
    <row r="68" spans="1:22" ht="25.5" customHeight="1">
      <c r="A68" s="352"/>
      <c r="B68" s="3714" t="s">
        <v>392</v>
      </c>
      <c r="C68" s="3714"/>
      <c r="D68" s="353"/>
      <c r="E68" s="77"/>
      <c r="F68" s="354"/>
      <c r="G68" s="3699"/>
      <c r="H68" s="2970" t="s">
        <v>2932</v>
      </c>
      <c r="I68" s="2971"/>
      <c r="J68" s="1889"/>
      <c r="K68" s="1861">
        <v>3</v>
      </c>
      <c r="L68" s="3668" t="s">
        <v>391</v>
      </c>
      <c r="M68" s="3668"/>
      <c r="N68" s="1229" t="e">
        <f ca="1">C42</f>
        <v>#REF!</v>
      </c>
      <c r="O68" s="1229"/>
      <c r="P68" s="1229"/>
      <c r="Q68" s="1882"/>
      <c r="R68" s="1882"/>
      <c r="S68" s="1882"/>
      <c r="T68" s="1882"/>
      <c r="U68" s="1882"/>
      <c r="V68" s="1882"/>
    </row>
    <row r="69" spans="1:22" ht="23.45" customHeight="1">
      <c r="A69" s="355"/>
      <c r="B69" s="3714" t="s">
        <v>393</v>
      </c>
      <c r="C69" s="3714"/>
      <c r="D69" s="356"/>
      <c r="E69" s="73"/>
      <c r="F69" s="354"/>
      <c r="G69" s="3700"/>
      <c r="H69" s="2970" t="s">
        <v>2933</v>
      </c>
      <c r="I69" s="2971"/>
      <c r="J69" s="1889"/>
      <c r="K69" s="1230">
        <v>4</v>
      </c>
      <c r="L69" s="3669" t="s">
        <v>2830</v>
      </c>
      <c r="M69" s="3670"/>
      <c r="N69" s="1231" t="str">
        <f>C44</f>
        <v>——</v>
      </c>
      <c r="O69" s="1231"/>
      <c r="P69" s="1231"/>
      <c r="Q69" s="1882"/>
      <c r="R69" s="1882"/>
      <c r="S69" s="1882"/>
      <c r="T69" s="1882"/>
      <c r="U69" s="1882"/>
      <c r="V69" s="1882"/>
    </row>
    <row r="70" spans="1:22" ht="24" customHeight="1">
      <c r="A70" s="357" t="s">
        <v>394</v>
      </c>
      <c r="B70" s="3714" t="s">
        <v>395</v>
      </c>
      <c r="C70" s="3714"/>
      <c r="D70" s="356" t="e">
        <f ca="1">ROUND(D63*'数据-取费表'!B41/(1+'数据-取费表'!C42),0)</f>
        <v>#REF!</v>
      </c>
      <c r="E70" s="17" t="s">
        <v>396</v>
      </c>
      <c r="F70" s="358">
        <f>'数据-取费表'!B41</f>
        <v>5.5000000000000007E-2</v>
      </c>
      <c r="G70" s="359"/>
      <c r="H70" s="309"/>
      <c r="I70" s="1228"/>
      <c r="J70" s="1889"/>
      <c r="K70" s="2729"/>
      <c r="L70" s="2730"/>
      <c r="M70" s="2730"/>
      <c r="N70" s="2731" t="s">
        <v>2834</v>
      </c>
      <c r="O70" s="2730"/>
      <c r="P70" s="2732"/>
      <c r="Q70" s="1882"/>
      <c r="R70" s="1882"/>
      <c r="S70" s="1882"/>
      <c r="T70" s="1882"/>
      <c r="U70" s="1882"/>
      <c r="V70" s="1882"/>
    </row>
    <row r="71" spans="1:22" ht="12" customHeight="1">
      <c r="A71" s="357" t="s">
        <v>402</v>
      </c>
      <c r="B71" s="3713" t="s">
        <v>2962</v>
      </c>
      <c r="C71" s="3730"/>
      <c r="D71" s="356" t="e">
        <f ca="1">ROUND(D63*'数据-取费表'!B41/(1+'数据-取费表'!C42),0)</f>
        <v>#REF!</v>
      </c>
      <c r="E71" s="17" t="s">
        <v>396</v>
      </c>
      <c r="F71" s="358">
        <f>'数据-取费表'!B41</f>
        <v>5.5000000000000007E-2</v>
      </c>
      <c r="G71" s="359"/>
      <c r="H71" s="309"/>
      <c r="I71" s="1228"/>
      <c r="J71" s="1889"/>
      <c r="K71" s="2728" t="s">
        <v>397</v>
      </c>
      <c r="L71" s="3671" t="s">
        <v>398</v>
      </c>
      <c r="M71" s="3671"/>
      <c r="N71" s="2728" t="s">
        <v>399</v>
      </c>
      <c r="O71" s="2728" t="s">
        <v>400</v>
      </c>
      <c r="P71" s="2728" t="s">
        <v>401</v>
      </c>
      <c r="Q71" s="1882"/>
      <c r="R71" s="1882"/>
      <c r="S71" s="1882"/>
      <c r="T71" s="1882"/>
      <c r="U71" s="1882"/>
      <c r="V71" s="1882"/>
    </row>
    <row r="72" spans="1:22" ht="12" customHeight="1">
      <c r="A72" s="357" t="s">
        <v>404</v>
      </c>
      <c r="B72" s="3713" t="s">
        <v>2963</v>
      </c>
      <c r="C72" s="3730"/>
      <c r="D72" s="356" t="e">
        <f ca="1">C86</f>
        <v>#REF!</v>
      </c>
      <c r="E72" s="73" t="s">
        <v>405</v>
      </c>
      <c r="F72" s="358">
        <f>'数据-取费表'!B41</f>
        <v>5.5000000000000007E-2</v>
      </c>
      <c r="G72" s="359"/>
      <c r="H72" s="1234"/>
      <c r="I72" s="1228"/>
      <c r="J72" s="1889"/>
      <c r="K72" s="1861">
        <v>1</v>
      </c>
      <c r="L72" s="3667" t="s">
        <v>403</v>
      </c>
      <c r="M72" s="3667"/>
      <c r="N72" s="1232" t="b">
        <f>D66</f>
        <v>0</v>
      </c>
      <c r="O72" s="1745" t="str">
        <f>E66</f>
        <v>销售额×税（费）率</v>
      </c>
      <c r="P72" s="1233">
        <f>F66</f>
        <v>5.5000000000000007E-2</v>
      </c>
      <c r="Q72" s="1882"/>
      <c r="R72" s="1882"/>
      <c r="S72" s="1882"/>
      <c r="T72" s="1882"/>
      <c r="U72" s="1882"/>
      <c r="V72" s="1882"/>
    </row>
    <row r="73" spans="1:22" ht="24" customHeight="1">
      <c r="A73" s="3701" t="s">
        <v>407</v>
      </c>
      <c r="B73" s="3702"/>
      <c r="C73" s="3702"/>
      <c r="D73" s="360" t="e">
        <f ca="1">IF(H73="个人住宅",0,ROUND(D63*I73,0))</f>
        <v>#REF!</v>
      </c>
      <c r="E73" s="17" t="s">
        <v>408</v>
      </c>
      <c r="F73" s="358" t="str">
        <f>IF(H73="正常",I73,"免征")</f>
        <v>免征</v>
      </c>
      <c r="G73" s="359"/>
      <c r="H73" s="189"/>
      <c r="I73" s="358">
        <f>'数据-取费表'!B49</f>
        <v>5.0000000000000001E-4</v>
      </c>
      <c r="J73" s="1889"/>
      <c r="K73" s="1861">
        <v>2</v>
      </c>
      <c r="L73" s="3667" t="s">
        <v>406</v>
      </c>
      <c r="M73" s="3667"/>
      <c r="N73" s="1232" t="e">
        <f t="shared" ref="N73:P74" ca="1" si="1">D73</f>
        <v>#REF!</v>
      </c>
      <c r="O73" s="1745" t="str">
        <f t="shared" si="1"/>
        <v>销售额×税（费）率</v>
      </c>
      <c r="P73" s="1233" t="str">
        <f t="shared" si="1"/>
        <v>免征</v>
      </c>
      <c r="Q73" s="1882"/>
      <c r="R73" s="1882"/>
      <c r="S73" s="1882"/>
      <c r="T73" s="1882"/>
      <c r="U73" s="1882"/>
      <c r="V73" s="1882"/>
    </row>
    <row r="74" spans="1:22" ht="24.75">
      <c r="A74" s="3701" t="s">
        <v>410</v>
      </c>
      <c r="B74" s="3702"/>
      <c r="C74" s="3702"/>
      <c r="D74" s="360" t="e">
        <f ca="1">IF(H74="个人住宅",D75,D76)</f>
        <v>#REF!</v>
      </c>
      <c r="E74" s="17" t="s">
        <v>411</v>
      </c>
      <c r="F74" s="358" t="str">
        <f>IF(H74="正常",F76,"免征")</f>
        <v>免征</v>
      </c>
      <c r="G74" s="953" t="s">
        <v>412</v>
      </c>
      <c r="H74" s="361"/>
      <c r="I74" s="42"/>
      <c r="J74" s="1889"/>
      <c r="K74" s="1861">
        <v>3</v>
      </c>
      <c r="L74" s="3667" t="s">
        <v>409</v>
      </c>
      <c r="M74" s="3667"/>
      <c r="N74" s="1232" t="e">
        <f t="shared" ca="1" si="1"/>
        <v>#REF!</v>
      </c>
      <c r="O74" s="1745" t="str">
        <f t="shared" si="1"/>
        <v>增值额×税（费）率</v>
      </c>
      <c r="P74" s="1235" t="str">
        <f t="shared" si="1"/>
        <v>免征</v>
      </c>
      <c r="Q74" s="1882"/>
      <c r="R74" s="1882"/>
      <c r="S74" s="1882"/>
      <c r="T74" s="1882"/>
      <c r="U74" s="1882"/>
      <c r="V74" s="1882"/>
    </row>
    <row r="75" spans="1:22" ht="12.75">
      <c r="A75" s="357" t="s">
        <v>413</v>
      </c>
      <c r="B75" s="3682" t="s">
        <v>414</v>
      </c>
      <c r="C75" s="3683"/>
      <c r="D75" s="362">
        <v>0</v>
      </c>
      <c r="E75" s="41" t="s">
        <v>415</v>
      </c>
      <c r="F75" s="363"/>
      <c r="G75" s="359"/>
      <c r="H75" s="42"/>
      <c r="I75" s="42"/>
      <c r="J75" s="1889"/>
      <c r="K75" s="2722">
        <f>IF(H77="非个人房产","",4)</f>
        <v>4</v>
      </c>
      <c r="L75" s="3667" t="str">
        <f>IF(H77="非个人房产","——","个人所得税")</f>
        <v>个人所得税</v>
      </c>
      <c r="M75" s="3667"/>
      <c r="N75" s="1236">
        <f>D77</f>
        <v>0</v>
      </c>
      <c r="O75" s="1758" t="str">
        <f>E77</f>
        <v>差额计税</v>
      </c>
      <c r="P75" s="1237">
        <f>F77</f>
        <v>0.01</v>
      </c>
      <c r="Q75" s="1882"/>
      <c r="R75" s="1882"/>
      <c r="S75" s="1882"/>
      <c r="T75" s="1882"/>
      <c r="U75" s="1882"/>
      <c r="V75" s="1882"/>
    </row>
    <row r="76" spans="1:22" ht="24.75">
      <c r="A76" s="357" t="s">
        <v>394</v>
      </c>
      <c r="B76" s="3682" t="s">
        <v>417</v>
      </c>
      <c r="C76" s="3724"/>
      <c r="D76" s="360" t="e">
        <f ca="1">IF(H76="转让取得",C99,C115)</f>
        <v>#REF!</v>
      </c>
      <c r="E76" s="17" t="s">
        <v>418</v>
      </c>
      <c r="F76" s="53" t="s">
        <v>21</v>
      </c>
      <c r="G76" s="359"/>
      <c r="H76" s="361"/>
      <c r="I76" s="42"/>
      <c r="J76" s="1889"/>
      <c r="K76" s="2722" t="str">
        <f>IF(项目基本情况!K6="上海银行",IF(K75="",4,K75+1),"")</f>
        <v/>
      </c>
      <c r="L76" s="3678" t="str">
        <f>IF(项目基本情况!K6="上海银行","其他处置费用","")</f>
        <v/>
      </c>
      <c r="M76" s="3679"/>
      <c r="N76" s="1232" t="str">
        <f>IF(项目基本情况!K6="上海银行",N89,"")</f>
        <v/>
      </c>
      <c r="O76" s="3680" t="str">
        <f>IF(项目基本情况!K6="上海银行","包含处置中涉及的律师、诉讼、拍卖、评估等费用","")</f>
        <v/>
      </c>
      <c r="P76" s="3681"/>
      <c r="Q76" s="1882"/>
      <c r="R76" s="1882"/>
      <c r="S76" s="1882"/>
      <c r="T76" s="1882"/>
      <c r="U76" s="1882"/>
      <c r="V76" s="1882"/>
    </row>
    <row r="77" spans="1:22" ht="24.75" thickBot="1">
      <c r="A77" s="3693" t="s">
        <v>420</v>
      </c>
      <c r="B77" s="3694"/>
      <c r="C77" s="3694"/>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412</v>
      </c>
      <c r="H77" s="2973"/>
      <c r="I77" s="2972" t="s">
        <v>2934</v>
      </c>
      <c r="J77" s="1889"/>
      <c r="K77" s="3689">
        <f>IF(AND(K75="",K76=""),4,IF(项目基本情况!K6="上海银行",K76+1,K75+1))</f>
        <v>5</v>
      </c>
      <c r="L77" s="3667" t="s">
        <v>2831</v>
      </c>
      <c r="M77" s="2727" t="s">
        <v>416</v>
      </c>
      <c r="N77" s="1238"/>
      <c r="O77" s="1239">
        <f ca="1">SUMIF(N72:N76,"&lt;9e307")</f>
        <v>0</v>
      </c>
      <c r="P77" s="1240"/>
      <c r="Q77" s="2725" t="e">
        <f ca="1">O77/N69</f>
        <v>#VALUE!</v>
      </c>
      <c r="R77" s="1882"/>
      <c r="S77" s="1882"/>
      <c r="T77" s="1882"/>
      <c r="U77" s="1882"/>
      <c r="V77" s="1882"/>
    </row>
    <row r="78" spans="1:22" ht="12" customHeight="1">
      <c r="A78" s="1241"/>
      <c r="B78" s="309"/>
      <c r="C78" s="309"/>
      <c r="D78" s="309"/>
      <c r="E78" s="42"/>
      <c r="F78" s="42"/>
      <c r="G78" s="42"/>
      <c r="H78" s="973"/>
      <c r="I78" s="309"/>
      <c r="J78" s="1889"/>
      <c r="K78" s="3689"/>
      <c r="L78" s="3667"/>
      <c r="M78" s="2727" t="s">
        <v>419</v>
      </c>
      <c r="N78" s="1238"/>
      <c r="O78" s="1239" t="str">
        <f ca="1">NUMBERSTRING(INT(O77*10000),2)&amp;"元整"</f>
        <v>零元整</v>
      </c>
      <c r="P78" s="1240"/>
      <c r="Q78" s="1882"/>
      <c r="R78" s="1882"/>
      <c r="S78" s="1882"/>
      <c r="T78" s="1882"/>
      <c r="U78" s="1882"/>
      <c r="V78" s="1882"/>
    </row>
    <row r="79" spans="1:22" ht="13.5" thickBot="1">
      <c r="A79" s="3744" t="s">
        <v>421</v>
      </c>
      <c r="B79" s="3744"/>
      <c r="C79" s="3744"/>
      <c r="D79" s="3744"/>
      <c r="E79" s="3744"/>
      <c r="F79" s="42"/>
      <c r="G79" s="42"/>
      <c r="H79" s="973"/>
      <c r="I79" s="309"/>
      <c r="J79" s="1889"/>
      <c r="K79" s="3665">
        <f>K77+1</f>
        <v>6</v>
      </c>
      <c r="L79" s="3667" t="s">
        <v>2832</v>
      </c>
      <c r="M79" s="2727" t="s">
        <v>416</v>
      </c>
      <c r="N79" s="1238"/>
      <c r="O79" s="1239" t="e">
        <f ca="1">N69-O77</f>
        <v>#VALUE!</v>
      </c>
      <c r="P79" s="1240"/>
      <c r="Q79" s="1882"/>
      <c r="R79" s="1882"/>
      <c r="S79" s="1882"/>
      <c r="T79" s="1882"/>
      <c r="U79" s="1882"/>
      <c r="V79" s="1882"/>
    </row>
    <row r="80" spans="1:22" ht="12.75">
      <c r="A80" s="3675" t="s">
        <v>422</v>
      </c>
      <c r="B80" s="3676"/>
      <c r="C80" s="964"/>
      <c r="D80" s="964" t="s">
        <v>423</v>
      </c>
      <c r="E80" s="364" t="s">
        <v>424</v>
      </c>
      <c r="F80" s="42"/>
      <c r="G80" s="42"/>
      <c r="H80" s="973"/>
      <c r="I80" s="309"/>
      <c r="J80" s="1882"/>
      <c r="K80" s="3666"/>
      <c r="L80" s="3667"/>
      <c r="M80" s="2727" t="s">
        <v>419</v>
      </c>
      <c r="N80" s="1238"/>
      <c r="O80" s="1239" t="e">
        <f ca="1">NUMBERSTRING(INT(O79*10000),2)&amp;"元整"</f>
        <v>#VALUE!</v>
      </c>
      <c r="P80" s="1240"/>
      <c r="Q80" s="1882"/>
      <c r="R80" s="1882"/>
      <c r="S80" s="1882"/>
      <c r="T80" s="1882"/>
      <c r="U80" s="1882"/>
      <c r="V80" s="1882"/>
    </row>
    <row r="81" spans="1:26" ht="13.5" thickBot="1">
      <c r="A81" s="375" t="s">
        <v>1796</v>
      </c>
      <c r="B81" s="365" t="s">
        <v>425</v>
      </c>
      <c r="C81" s="366" t="e">
        <f ca="1">ROUND((C82+C83)/(1+'数据-取费表'!C42),0)</f>
        <v>#REF!</v>
      </c>
      <c r="D81" s="367"/>
      <c r="E81" s="368"/>
      <c r="F81" s="42"/>
      <c r="G81" s="42"/>
      <c r="H81" s="973"/>
      <c r="I81" s="309"/>
      <c r="J81" s="1882"/>
      <c r="K81" s="2722">
        <f>K79+1</f>
        <v>7</v>
      </c>
      <c r="L81" s="3687" t="s">
        <v>2833</v>
      </c>
      <c r="M81" s="3688"/>
      <c r="N81" s="1242"/>
      <c r="O81" s="1243" t="e">
        <f ca="1">ROUND(O79*10000/'数据-汇总表'!E3,0)</f>
        <v>#VALUE!</v>
      </c>
      <c r="P81" s="1244"/>
      <c r="Q81" s="1882"/>
      <c r="R81" s="1882"/>
      <c r="S81" s="1882"/>
      <c r="T81" s="1882"/>
      <c r="U81" s="1882"/>
      <c r="V81" s="1882"/>
    </row>
    <row r="82" spans="1:26" ht="13.5" thickTop="1">
      <c r="A82" s="369" t="s">
        <v>1797</v>
      </c>
      <c r="B82" s="370" t="s">
        <v>426</v>
      </c>
      <c r="C82" s="371" t="e">
        <f ca="1">D63</f>
        <v>#REF!</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1798</v>
      </c>
      <c r="B83" s="370" t="s">
        <v>427</v>
      </c>
      <c r="C83" s="374"/>
      <c r="D83" s="372"/>
      <c r="E83" s="373"/>
      <c r="F83" s="42"/>
      <c r="G83" s="42"/>
      <c r="H83" s="973"/>
      <c r="I83" s="309"/>
      <c r="J83" s="1882"/>
      <c r="K83" s="3677" t="s">
        <v>2821</v>
      </c>
      <c r="L83" s="2733" t="s">
        <v>2822</v>
      </c>
      <c r="M83" s="2723" t="e">
        <f>IF(N69&gt;10000,N69*0.5%,IF(AND(N69&gt;1000,N69&lt;=10000),N69*1%,IF(AND(N69&gt;100,N69&lt;=1000),N69*3%,IF(AND(N69&gt;10,N69&lt;=100),N69*5%,N69*8%))))</f>
        <v>#VALUE!</v>
      </c>
      <c r="N83" s="53" t="e">
        <f>ROUND(M83,1)</f>
        <v>#VALUE!</v>
      </c>
      <c r="O83" s="2726"/>
      <c r="P83" s="1882"/>
      <c r="Q83" s="1882"/>
      <c r="R83" s="1882"/>
      <c r="S83" s="1882"/>
      <c r="T83" s="1882"/>
      <c r="U83" s="1882"/>
      <c r="V83" s="1882"/>
    </row>
    <row r="84" spans="1:26" ht="12.75">
      <c r="A84" s="375" t="s">
        <v>1799</v>
      </c>
      <c r="B84" s="376" t="s">
        <v>428</v>
      </c>
      <c r="C84" s="377"/>
      <c r="D84" s="378" t="s">
        <v>19</v>
      </c>
      <c r="E84" s="2751" t="s">
        <v>2876</v>
      </c>
      <c r="F84" s="42"/>
      <c r="G84" s="42"/>
      <c r="H84" s="973"/>
      <c r="I84" s="309"/>
      <c r="J84" s="1882"/>
      <c r="K84" s="3677"/>
      <c r="L84" s="2733" t="s">
        <v>2823</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2824</v>
      </c>
      <c r="P84" s="1882"/>
      <c r="Q84" s="1882"/>
      <c r="R84" s="1882"/>
      <c r="S84" s="1882"/>
      <c r="T84" s="1882"/>
      <c r="U84" s="1882"/>
      <c r="V84" s="1882"/>
    </row>
    <row r="85" spans="1:26" ht="12.75">
      <c r="A85" s="375" t="s">
        <v>1800</v>
      </c>
      <c r="B85" s="376" t="s">
        <v>429</v>
      </c>
      <c r="C85" s="379" t="e">
        <f ca="1">C81-C84</f>
        <v>#REF!</v>
      </c>
      <c r="D85" s="372" t="s">
        <v>19</v>
      </c>
      <c r="E85" s="373"/>
      <c r="F85" s="42"/>
      <c r="G85" s="42"/>
      <c r="H85" s="973"/>
      <c r="I85" s="309"/>
      <c r="J85" s="1882"/>
      <c r="K85" s="3677"/>
      <c r="L85" s="2733" t="s">
        <v>2825</v>
      </c>
      <c r="M85" s="2723" t="e">
        <f>IF(N69&gt;1000,N69*0.1%,IF(AND(N69&gt;500,N69&lt;=1000),N69*0.5%,IF(AND(N69&gt;50,N69&lt;=500),N69*1%,IF(AND(N69&gt;1,N69&lt;=50),N69*1.5%))))</f>
        <v>#VALUE!</v>
      </c>
      <c r="N85" s="53" t="e">
        <f t="shared" si="2"/>
        <v>#VALUE!</v>
      </c>
      <c r="O85" s="1882" t="s">
        <v>2824</v>
      </c>
      <c r="P85" s="1882"/>
      <c r="Q85" s="1882"/>
      <c r="R85" s="1882"/>
      <c r="S85" s="1882"/>
      <c r="T85" s="1882"/>
      <c r="U85" s="1882"/>
      <c r="V85" s="1882"/>
    </row>
    <row r="86" spans="1:26" ht="13.5" thickBot="1">
      <c r="A86" s="380" t="s">
        <v>1801</v>
      </c>
      <c r="B86" s="381" t="s">
        <v>430</v>
      </c>
      <c r="C86" s="382" t="e">
        <f ca="1">IF(C85&lt;=0,0,ROUND(C85*D86,0))</f>
        <v>#REF!</v>
      </c>
      <c r="D86" s="383">
        <f>'数据-取费表'!B41</f>
        <v>5.5000000000000007E-2</v>
      </c>
      <c r="E86" s="384"/>
      <c r="F86" s="42"/>
      <c r="G86" s="42"/>
      <c r="H86" s="973"/>
      <c r="I86" s="309"/>
      <c r="J86" s="1882"/>
      <c r="K86" s="3677"/>
      <c r="L86" s="2733" t="s">
        <v>2826</v>
      </c>
      <c r="M86" s="2723" t="e">
        <f>N69*0.5%</f>
        <v>#VALUE!</v>
      </c>
      <c r="N86" s="53" t="e">
        <f>IF(M86&gt;0.5,0.5,ROUND(M86,0))</f>
        <v>#VALUE!</v>
      </c>
      <c r="O86" s="1882" t="s">
        <v>2827</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677"/>
      <c r="L87" s="2733" t="s">
        <v>2828</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2"/>
      <c r="Q87" s="1882"/>
      <c r="R87" s="1882"/>
      <c r="S87" s="1882"/>
      <c r="T87" s="1882"/>
      <c r="U87" s="1882"/>
      <c r="V87" s="1882"/>
      <c r="W87" s="290"/>
      <c r="X87" s="290"/>
      <c r="Y87" s="290"/>
      <c r="Z87" s="290"/>
    </row>
    <row r="88" spans="1:26" s="1250" customFormat="1" ht="15" thickBot="1">
      <c r="A88" s="3716" t="s">
        <v>431</v>
      </c>
      <c r="B88" s="3717"/>
      <c r="C88" s="3717"/>
      <c r="D88" s="3717"/>
      <c r="E88" s="3717"/>
      <c r="F88" s="3717"/>
      <c r="G88" s="3717"/>
      <c r="H88" s="3717"/>
      <c r="I88" s="1251"/>
      <c r="J88" s="1890"/>
      <c r="K88" s="3677"/>
      <c r="L88" s="2733" t="s">
        <v>2829</v>
      </c>
      <c r="M88" s="2723" t="e">
        <f>IF(N69&gt;10000,N69*0.5%,IF(AND(N69&gt;5000,N69&lt;=10000),N69*1%,IF(AND(N69&gt;1000,N69&lt;=5000),N69*2%,IF(AND(N69&gt;200,N69&lt;=1000),N69*3%,N69*5%))))</f>
        <v>#VALUE!</v>
      </c>
      <c r="N88" s="53" t="e">
        <f>ROUND(M88,1)</f>
        <v>#VALUE!</v>
      </c>
      <c r="O88" s="2726"/>
      <c r="P88" s="1887"/>
      <c r="Q88" s="1887"/>
      <c r="R88" s="1887"/>
      <c r="S88" s="1887"/>
      <c r="T88" s="1887"/>
      <c r="U88" s="1887"/>
      <c r="V88" s="1887"/>
      <c r="W88" s="1891"/>
      <c r="X88" s="1891"/>
      <c r="Y88" s="1891"/>
      <c r="Z88" s="1891"/>
    </row>
    <row r="89" spans="1:26" s="1250" customFormat="1" ht="14.25">
      <c r="A89" s="3675" t="s">
        <v>422</v>
      </c>
      <c r="B89" s="3676"/>
      <c r="C89" s="964"/>
      <c r="D89" s="964" t="s">
        <v>423</v>
      </c>
      <c r="E89" s="385" t="s">
        <v>432</v>
      </c>
      <c r="F89" s="386"/>
      <c r="G89" s="386"/>
      <c r="H89" s="387"/>
      <c r="I89" s="1252"/>
      <c r="J89" s="1892"/>
      <c r="K89" s="3677"/>
      <c r="L89" s="2733" t="s">
        <v>27</v>
      </c>
      <c r="M89" s="2724"/>
      <c r="N89" s="53" t="e">
        <f>ROUND(SUM(N83:N88),0)</f>
        <v>#VALUE!</v>
      </c>
      <c r="O89" s="2734" t="e">
        <f>N89/N69</f>
        <v>#VALUE!</v>
      </c>
      <c r="P89" s="1887"/>
      <c r="Q89" s="1887"/>
      <c r="R89" s="1887"/>
      <c r="S89" s="1887"/>
      <c r="T89" s="1887"/>
      <c r="U89" s="1887"/>
      <c r="V89" s="1887"/>
      <c r="W89" s="1891"/>
      <c r="X89" s="1891"/>
      <c r="Y89" s="1891"/>
      <c r="Z89" s="1891"/>
    </row>
    <row r="90" spans="1:26" s="1250" customFormat="1" ht="14.25">
      <c r="A90" s="375" t="s">
        <v>1796</v>
      </c>
      <c r="B90" s="376" t="s">
        <v>433</v>
      </c>
      <c r="C90" s="379" t="e">
        <f ca="1">ROUND(D63/(1+'数据-取费表'!C42),0)</f>
        <v>#REF!</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1802</v>
      </c>
      <c r="B91" s="346" t="s">
        <v>434</v>
      </c>
      <c r="C91" s="379" t="e">
        <f ca="1">C92+C96</f>
        <v>#REF!</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1803</v>
      </c>
      <c r="B92" s="370" t="s">
        <v>435</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1804</v>
      </c>
      <c r="B93" s="370" t="s">
        <v>436</v>
      </c>
      <c r="C93" s="390"/>
      <c r="D93" s="372" t="s">
        <v>19</v>
      </c>
      <c r="E93" s="391" t="s">
        <v>437</v>
      </c>
      <c r="F93" s="392"/>
      <c r="G93" s="391" t="s">
        <v>438</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1805</v>
      </c>
      <c r="B94" s="394" t="s">
        <v>439</v>
      </c>
      <c r="C94" s="372">
        <f>IF(F93="购房发票",ROUND(C93*H93*5%,0),0)</f>
        <v>0</v>
      </c>
      <c r="D94" s="395">
        <v>0.05</v>
      </c>
      <c r="E94" s="3713" t="s">
        <v>440</v>
      </c>
      <c r="F94" s="3714"/>
      <c r="G94" s="3714"/>
      <c r="H94" s="3715"/>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1806</v>
      </c>
      <c r="B95" s="370" t="s">
        <v>441</v>
      </c>
      <c r="C95" s="372">
        <f>ROUND(IF(G95="个人买卖住房",0,IF(G95="2016年5月1日前购买",C93*D95,C93*D95/(1+'数据-取费表'!C42))),0)</f>
        <v>0</v>
      </c>
      <c r="D95" s="396">
        <f>'数据-取费表'!B48+'数据-取费表'!B49</f>
        <v>3.0499999999999999E-2</v>
      </c>
      <c r="E95" s="26" t="s">
        <v>442</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1807</v>
      </c>
      <c r="B96" s="370" t="s">
        <v>443</v>
      </c>
      <c r="C96" s="399" t="e">
        <f ca="1">ROUND(D63*D96/(1+'数据-取费表'!C42),0)</f>
        <v>#REF!</v>
      </c>
      <c r="D96" s="400">
        <f>'数据-取费表'!B43</f>
        <v>5.000000000000001E-3</v>
      </c>
      <c r="E96" s="3672" t="s">
        <v>2388</v>
      </c>
      <c r="F96" s="3673"/>
      <c r="G96" s="3673"/>
      <c r="H96" s="3674"/>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19" t="s">
        <v>1808</v>
      </c>
      <c r="B97" s="376" t="s">
        <v>444</v>
      </c>
      <c r="C97" s="379" t="e">
        <f ca="1">C90-C91</f>
        <v>#REF!</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19" t="s">
        <v>1809</v>
      </c>
      <c r="B98" s="376" t="s">
        <v>445</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20" t="s">
        <v>1810</v>
      </c>
      <c r="B99" s="381" t="s">
        <v>446</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716" t="s">
        <v>447</v>
      </c>
      <c r="B101" s="3717"/>
      <c r="C101" s="3717"/>
      <c r="D101" s="3717"/>
      <c r="E101" s="3717"/>
      <c r="F101" s="3717"/>
      <c r="G101" s="3717"/>
      <c r="H101" s="3717"/>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675" t="s">
        <v>422</v>
      </c>
      <c r="B102" s="3676"/>
      <c r="C102" s="964"/>
      <c r="D102" s="964" t="s">
        <v>423</v>
      </c>
      <c r="E102" s="385" t="s">
        <v>432</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1796</v>
      </c>
      <c r="B103" s="376" t="s">
        <v>433</v>
      </c>
      <c r="C103" s="379" t="e">
        <f ca="1">ROUND(D63/(1+'数据-取费表'!C42),0)</f>
        <v>#REF!</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1802</v>
      </c>
      <c r="B104" s="346" t="s">
        <v>434</v>
      </c>
      <c r="C104" s="379" t="e">
        <f ca="1">IF(H106="仅含出让金",C105+C108+C109+C110+C111+C112,C105+C109+C110+C111+C112)</f>
        <v>#REF!</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1803</v>
      </c>
      <c r="B105" s="370" t="s">
        <v>448</v>
      </c>
      <c r="C105" s="399">
        <f>C106+C107</f>
        <v>0</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1804</v>
      </c>
      <c r="B106" s="370" t="s">
        <v>449</v>
      </c>
      <c r="C106" s="410"/>
      <c r="D106" s="400"/>
      <c r="E106" s="411" t="s">
        <v>450</v>
      </c>
      <c r="F106" s="956"/>
      <c r="G106" s="412" t="s">
        <v>451</v>
      </c>
      <c r="H106" s="413"/>
      <c r="I106" s="11"/>
      <c r="J106" s="1887"/>
      <c r="K106" s="3206" t="s">
        <v>2955</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1805</v>
      </c>
      <c r="B107" s="370" t="s">
        <v>441</v>
      </c>
      <c r="C107" s="399">
        <f>ROUND(C106*D107,0)</f>
        <v>0</v>
      </c>
      <c r="D107" s="400">
        <f>'数据-取费表'!B48+'数据-取费表'!B49</f>
        <v>3.0499999999999999E-2</v>
      </c>
      <c r="E107" s="411" t="s">
        <v>452</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1807</v>
      </c>
      <c r="B108" s="370" t="s">
        <v>453</v>
      </c>
      <c r="C108" s="410"/>
      <c r="D108" s="400"/>
      <c r="E108" s="411" t="str">
        <f>IF(H106="-","土地取得成本中已包含该笔费用"," ")</f>
        <v xml:space="preserve"> </v>
      </c>
      <c r="F108" s="956"/>
      <c r="G108" s="3728" t="s">
        <v>2926</v>
      </c>
      <c r="H108" s="3729"/>
      <c r="I108" s="2823"/>
      <c r="J108" s="1887"/>
      <c r="K108" s="3206" t="s">
        <v>2956</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1" t="s">
        <v>1811</v>
      </c>
      <c r="B109" s="370" t="s">
        <v>454</v>
      </c>
      <c r="C109" s="399">
        <f>IF(H109="——",IF(F1="现房",剩余法商业!C18,0),I109)</f>
        <v>0</v>
      </c>
      <c r="D109" s="400"/>
      <c r="E109" s="3706" t="s">
        <v>455</v>
      </c>
      <c r="F109" s="3673"/>
      <c r="G109" s="3673"/>
      <c r="H109" s="1827" t="s">
        <v>926</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1" t="s">
        <v>1812</v>
      </c>
      <c r="B110" s="370" t="s">
        <v>456</v>
      </c>
      <c r="C110" s="399">
        <f>ROUND((C105+C108+C109)*D110,0)</f>
        <v>0</v>
      </c>
      <c r="D110" s="3237">
        <v>0</v>
      </c>
      <c r="E110" s="3706" t="s">
        <v>457</v>
      </c>
      <c r="F110" s="3673"/>
      <c r="G110" s="3673"/>
      <c r="H110" s="3674"/>
      <c r="I110" s="11"/>
      <c r="J110" s="1887"/>
      <c r="K110" s="3207" t="s">
        <v>2957</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1" t="s">
        <v>1813</v>
      </c>
      <c r="B111" s="370" t="s">
        <v>443</v>
      </c>
      <c r="C111" s="399" t="e">
        <f ca="1">ROUND(D63*D111/(1+'数据-取费表'!C42),0)</f>
        <v>#REF!</v>
      </c>
      <c r="D111" s="400">
        <f>'数据-取费表'!B43</f>
        <v>5.000000000000001E-3</v>
      </c>
      <c r="E111" s="3672" t="s">
        <v>2388</v>
      </c>
      <c r="F111" s="3673"/>
      <c r="G111" s="3673"/>
      <c r="H111" s="3674"/>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1" t="s">
        <v>1814</v>
      </c>
      <c r="B112" s="370" t="s">
        <v>458</v>
      </c>
      <c r="C112" s="399">
        <f>ROUND(C108*D112,0)</f>
        <v>0</v>
      </c>
      <c r="D112" s="400">
        <v>0.2</v>
      </c>
      <c r="E112" s="3706" t="s">
        <v>2406</v>
      </c>
      <c r="F112" s="3673"/>
      <c r="G112" s="3673"/>
      <c r="H112" s="3674"/>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19" t="s">
        <v>1808</v>
      </c>
      <c r="B113" s="376" t="s">
        <v>444</v>
      </c>
      <c r="C113" s="379" t="e">
        <f ca="1">ROUND(C103-C104,0)</f>
        <v>#REF!</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19" t="s">
        <v>1809</v>
      </c>
      <c r="B114" s="376" t="s">
        <v>445</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20" t="s">
        <v>1810</v>
      </c>
      <c r="B115" s="381" t="s">
        <v>446</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6" customWidth="1"/>
    <col min="2" max="2" width="10.75" style="1556" customWidth="1"/>
    <col min="3" max="4" width="11.625" style="1556" customWidth="1"/>
    <col min="5" max="5" width="6.625" style="1556" customWidth="1"/>
    <col min="6" max="16384" width="9" style="1556"/>
  </cols>
  <sheetData>
    <row r="36" spans="1:9">
      <c r="A36" s="1555" t="s">
        <v>1868</v>
      </c>
      <c r="B36" s="1555" t="s">
        <v>1869</v>
      </c>
    </row>
    <row r="37" spans="1:9" ht="28.5" customHeight="1">
      <c r="A37" s="1555"/>
      <c r="B37" s="3548" t="str">
        <f>项目基本情况!B1</f>
        <v>储备国有建设用地使用权预评估</v>
      </c>
      <c r="C37" s="3548"/>
      <c r="D37" s="3548"/>
      <c r="E37" s="3548"/>
      <c r="F37" s="3548"/>
      <c r="G37" s="3548"/>
      <c r="H37" s="3548"/>
      <c r="I37" s="3548"/>
    </row>
    <row r="38" spans="1:9">
      <c r="A38" s="1557"/>
      <c r="B38" s="1557"/>
    </row>
    <row r="39" spans="1:9">
      <c r="A39" s="1555" t="s">
        <v>1868</v>
      </c>
      <c r="B39" s="1555" t="s">
        <v>2011</v>
      </c>
    </row>
    <row r="40" spans="1:9">
      <c r="A40" s="1555"/>
      <c r="B40" s="1555">
        <f>项目基本情况!B5</f>
        <v>0</v>
      </c>
    </row>
    <row r="41" spans="1:9">
      <c r="A41" s="1555"/>
      <c r="B41" s="1555"/>
    </row>
    <row r="42" spans="1:9">
      <c r="A42" s="1555" t="s">
        <v>1868</v>
      </c>
      <c r="B42" s="1555" t="s">
        <v>2012</v>
      </c>
    </row>
    <row r="43" spans="1:9">
      <c r="A43" s="1555"/>
      <c r="B43" s="1555" t="s">
        <v>1870</v>
      </c>
    </row>
    <row r="44" spans="1:9">
      <c r="A44" s="1555"/>
      <c r="B44" s="1555"/>
    </row>
    <row r="45" spans="1:9">
      <c r="A45" s="1555" t="s">
        <v>1868</v>
      </c>
      <c r="B45" s="1555" t="s">
        <v>2010</v>
      </c>
    </row>
    <row r="46" spans="1:9" s="1555" customFormat="1" ht="12.75">
      <c r="B46" s="1555" t="str">
        <f>项目基本情况!K4</f>
        <v>土地估价师、土地估价师</v>
      </c>
    </row>
    <row r="47" spans="1:9">
      <c r="A47" s="1555"/>
      <c r="B47" s="1555"/>
    </row>
    <row r="48" spans="1:9">
      <c r="A48" s="1555" t="s">
        <v>1868</v>
      </c>
      <c r="B48" s="1555" t="s">
        <v>2013</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375" style="1977" customWidth="1"/>
    <col min="6" max="6" width="10.125" style="1967" customWidth="1"/>
    <col min="7" max="7" width="11.62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31" s="1895" customFormat="1" ht="20.25">
      <c r="A1" s="1956" t="s">
        <v>459</v>
      </c>
      <c r="B1" s="2493" t="s">
        <v>3140</v>
      </c>
      <c r="C1" s="1957"/>
      <c r="D1" s="1957"/>
      <c r="E1" s="1957"/>
      <c r="F1" s="1957"/>
      <c r="G1" s="1957"/>
      <c r="H1" s="1957"/>
      <c r="I1" s="1957"/>
      <c r="J1" s="1957"/>
      <c r="K1" s="416" t="e">
        <f>MATCH(B1,'数据-取费表'!A6:A16,0)+5</f>
        <v>#N/A</v>
      </c>
      <c r="L1" s="290"/>
      <c r="M1" s="290"/>
      <c r="N1" s="290"/>
      <c r="O1" s="290"/>
      <c r="P1" s="290"/>
      <c r="Q1" s="290"/>
      <c r="R1" s="290"/>
      <c r="S1" s="290"/>
      <c r="T1" s="290"/>
      <c r="U1" s="290"/>
      <c r="V1" s="290"/>
      <c r="W1" s="290"/>
      <c r="X1" s="290"/>
      <c r="Y1" s="290"/>
      <c r="Z1" s="290"/>
    </row>
    <row r="2" spans="1:31" s="1895" customFormat="1" ht="18" customHeight="1">
      <c r="A2" s="1954" t="s">
        <v>460</v>
      </c>
      <c r="B2" s="1958" t="e">
        <f ca="1">C36</f>
        <v>#N/A</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1657</v>
      </c>
      <c r="B3" s="1960" t="e">
        <f ca="1">ROUND(B2*10000/IF(B1="",'数据-汇总表'!E3,INDIRECT("'数据-取费表'!K"&amp;$K$1)),0)</f>
        <v>#N/A</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461</v>
      </c>
      <c r="B4" s="421" t="e">
        <f ca="1">ROUND(B2*10000/IF(B1="",'数据-汇总表'!D3,INDIRECT("'数据-取费表'!R"&amp;$K$1)),0)</f>
        <v>#N/A</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t="e">
        <f ca="1">ROUND(B2/(IF(B1="",'数据-汇总表'!D3,INDIRECT("'数据-取费表'!R"&amp;$K$1))/666.67),0)</f>
        <v>#N/A</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512" t="s">
        <v>1815</v>
      </c>
      <c r="B6" s="2513"/>
      <c r="C6" s="2514">
        <f ca="1">SUM(C10:K10)</f>
        <v>34579</v>
      </c>
      <c r="D6" s="2513"/>
      <c r="E6" s="2513"/>
      <c r="F6" s="2513"/>
      <c r="G6" s="2513"/>
      <c r="H6" s="2513"/>
      <c r="I6" s="2513"/>
      <c r="J6" s="2513"/>
      <c r="K6" s="2515"/>
      <c r="L6" s="3160"/>
      <c r="M6" s="3160"/>
      <c r="N6" s="3160"/>
      <c r="O6" s="3160"/>
      <c r="P6" s="3160"/>
      <c r="Q6" s="3160"/>
      <c r="R6" s="3160"/>
      <c r="S6" s="3160"/>
      <c r="T6" s="3160"/>
      <c r="U6" s="3160"/>
      <c r="V6" s="3160"/>
      <c r="W6" s="3160"/>
      <c r="X6" s="3160"/>
      <c r="Y6" s="3160"/>
      <c r="Z6" s="3160"/>
    </row>
    <row r="7" spans="1:31" s="1966" customFormat="1" ht="15">
      <c r="A7" s="2516" t="s">
        <v>463</v>
      </c>
      <c r="B7" s="2517" t="s">
        <v>464</v>
      </c>
      <c r="C7" s="430" t="s">
        <v>3140</v>
      </c>
      <c r="D7" s="430"/>
      <c r="E7" s="430"/>
      <c r="F7" s="430"/>
      <c r="G7" s="430"/>
      <c r="H7" s="430"/>
      <c r="I7" s="430"/>
      <c r="J7" s="430"/>
      <c r="K7" s="431"/>
      <c r="AA7" s="1965"/>
      <c r="AB7" s="1965"/>
      <c r="AC7" s="1965"/>
      <c r="AD7" s="1965"/>
      <c r="AE7" s="1965"/>
    </row>
    <row r="8" spans="1:31" s="1968" customFormat="1" ht="13.5" customHeight="1">
      <c r="A8" s="775" t="s">
        <v>1818</v>
      </c>
      <c r="B8" s="259" t="s">
        <v>465</v>
      </c>
      <c r="C8" s="2518"/>
      <c r="D8" s="2518"/>
      <c r="E8" s="2518"/>
      <c r="F8" s="2518"/>
      <c r="G8" s="2518"/>
      <c r="H8" s="2518"/>
      <c r="I8" s="2518"/>
      <c r="J8" s="2518"/>
      <c r="K8" s="2519"/>
      <c r="AA8" s="1967"/>
      <c r="AB8" s="1967"/>
      <c r="AC8" s="1967"/>
      <c r="AD8" s="1967"/>
      <c r="AE8" s="1967"/>
    </row>
    <row r="9" spans="1:31" s="1968" customFormat="1" ht="13.5" customHeight="1">
      <c r="A9" s="775" t="s">
        <v>1819</v>
      </c>
      <c r="B9" s="259" t="s">
        <v>466</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520" t="s">
        <v>1820</v>
      </c>
      <c r="B10" s="2506" t="s">
        <v>467</v>
      </c>
      <c r="C10" s="2708">
        <f ca="1">不动产收益法商业!C40</f>
        <v>34579</v>
      </c>
      <c r="D10" s="2708"/>
      <c r="E10" s="2708"/>
      <c r="F10" s="2521"/>
      <c r="G10" s="2521"/>
      <c r="H10" s="2521"/>
      <c r="I10" s="2521"/>
      <c r="J10" s="2521"/>
      <c r="K10" s="2522"/>
      <c r="AA10" s="1967"/>
      <c r="AB10" s="1967"/>
      <c r="AC10" s="1967"/>
      <c r="AD10" s="1967"/>
      <c r="AE10" s="1967"/>
    </row>
    <row r="11" spans="1:31" s="1964" customFormat="1" ht="16.5" customHeight="1">
      <c r="A11" s="2523" t="s">
        <v>1816</v>
      </c>
      <c r="B11" s="2513"/>
      <c r="C11" s="2513"/>
      <c r="D11" s="2513"/>
      <c r="E11" s="2513"/>
      <c r="F11" s="2513"/>
      <c r="G11" s="2513"/>
      <c r="H11" s="2513"/>
      <c r="I11" s="2513"/>
      <c r="J11" s="2513"/>
      <c r="K11" s="2515"/>
      <c r="L11" s="3160"/>
      <c r="M11" s="3160"/>
      <c r="N11" s="3160"/>
      <c r="O11" s="3160"/>
      <c r="P11" s="3160"/>
      <c r="Q11" s="3160"/>
      <c r="R11" s="3160"/>
      <c r="S11" s="3160"/>
      <c r="T11" s="3160"/>
      <c r="U11" s="3160"/>
      <c r="V11" s="3160"/>
      <c r="W11" s="3160"/>
      <c r="X11" s="3160"/>
      <c r="Y11" s="3160"/>
      <c r="Z11" s="3160"/>
    </row>
    <row r="12" spans="1:31" s="1938" customFormat="1" ht="13.5" customHeight="1">
      <c r="A12" s="2524" t="s">
        <v>463</v>
      </c>
      <c r="B12" s="2496" t="s">
        <v>464</v>
      </c>
      <c r="C12" s="2525" t="s">
        <v>468</v>
      </c>
      <c r="D12" s="2492" t="s">
        <v>469</v>
      </c>
      <c r="E12" s="2492" t="s">
        <v>470</v>
      </c>
      <c r="F12" s="2492" t="s">
        <v>471</v>
      </c>
      <c r="G12" s="2496"/>
      <c r="H12" s="2497"/>
      <c r="I12" s="2497"/>
      <c r="J12" s="2497"/>
      <c r="K12" s="2498"/>
      <c r="L12" s="3161"/>
      <c r="M12" s="3161"/>
      <c r="N12" s="3161"/>
      <c r="O12" s="3161"/>
      <c r="P12" s="3161"/>
      <c r="Q12" s="3161"/>
      <c r="R12" s="3161"/>
      <c r="S12" s="3161"/>
      <c r="T12" s="3161"/>
      <c r="U12" s="3161"/>
      <c r="V12" s="3161"/>
      <c r="W12" s="3161"/>
      <c r="X12" s="3161"/>
      <c r="Y12" s="3161"/>
      <c r="Z12" s="3161"/>
    </row>
    <row r="13" spans="1:31" s="1969" customFormat="1" ht="13.5" customHeight="1">
      <c r="A13" s="2526" t="s">
        <v>1821</v>
      </c>
      <c r="B13" s="2527" t="s">
        <v>472</v>
      </c>
      <c r="C13" s="443" t="e">
        <f ca="1">IF(B1="",'数据-取费表'!P16,INDIRECT("'数据-取费表'!p"&amp;$K$1)+INDIRECT("'数据-取费表'!t"&amp;$K$1))</f>
        <v>#N/A</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1822</v>
      </c>
      <c r="B14" s="2527" t="s">
        <v>473</v>
      </c>
      <c r="C14" s="53" t="e">
        <f ca="1">ROUND(C13*F14,0)</f>
        <v>#N/A</v>
      </c>
      <c r="D14" s="2528"/>
      <c r="E14" s="2529"/>
      <c r="F14" s="2531">
        <f>'数据-取费表'!B33</f>
        <v>0.03</v>
      </c>
      <c r="G14" s="2496" t="s">
        <v>474</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1823</v>
      </c>
      <c r="B15" s="2527" t="s">
        <v>475</v>
      </c>
      <c r="C15" s="53" t="e">
        <f ca="1">ROUND(IF(B1="",SUMIF('数据-取费表'!C:C,"住宅",'数据-取费表'!P:P)*F15,IF(INDIRECT("'数据-取费表'!c"&amp;$K$1)="住宅",INDIRECT("'数据-取费表'!P"&amp;$K$1)*F15,0)),0)</f>
        <v>#N/A</v>
      </c>
      <c r="D15" s="2528"/>
      <c r="E15" s="2529"/>
      <c r="F15" s="2531">
        <f>'数据-取费表'!B34</f>
        <v>0</v>
      </c>
      <c r="G15" s="2496" t="s">
        <v>476</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1824</v>
      </c>
      <c r="B16" s="2527" t="s">
        <v>477</v>
      </c>
      <c r="C16" s="53" t="e">
        <f ca="1">ROUND(D16*E16/10000,0)</f>
        <v>#N/A</v>
      </c>
      <c r="D16" s="2528" t="e">
        <f ca="1">IF(B1="",'数据-汇总表'!E3,INDIRECT("'数据-取费表'!K"&amp;$K$1)+INDIRECT("'数据-取费表'!S"&amp;$K$1))</f>
        <v>#N/A</v>
      </c>
      <c r="E16" s="53">
        <f>'数据-取费表'!B35</f>
        <v>200</v>
      </c>
      <c r="F16" s="2531"/>
      <c r="G16" s="2496"/>
      <c r="H16" s="2497"/>
      <c r="I16" s="2497"/>
      <c r="J16" s="2497"/>
      <c r="K16" s="2498"/>
      <c r="AA16" s="1969"/>
      <c r="AB16" s="1969"/>
      <c r="AC16" s="1969"/>
      <c r="AD16" s="1969"/>
      <c r="AE16" s="1969"/>
    </row>
    <row r="17" spans="1:26" s="1969" customFormat="1" ht="13.5" customHeight="1">
      <c r="A17" s="2526" t="s">
        <v>1825</v>
      </c>
      <c r="B17" s="2527" t="s">
        <v>478</v>
      </c>
      <c r="C17" s="2532" t="e">
        <f ca="1">ROUND(C13*F17,0)</f>
        <v>#N/A</v>
      </c>
      <c r="D17" s="468"/>
      <c r="E17" s="2532"/>
      <c r="F17" s="2533">
        <f>'数据-取费表'!B36</f>
        <v>1.4999999999999999E-2</v>
      </c>
      <c r="G17" s="259" t="s">
        <v>479</v>
      </c>
      <c r="H17" s="2499"/>
      <c r="I17" s="2499"/>
      <c r="J17" s="2499"/>
      <c r="K17" s="277"/>
      <c r="L17" s="1970"/>
      <c r="M17" s="1970"/>
      <c r="N17" s="1970"/>
      <c r="O17" s="1970"/>
      <c r="P17" s="1970"/>
      <c r="Q17" s="1970"/>
      <c r="R17" s="1970"/>
      <c r="S17" s="1970"/>
      <c r="T17" s="1970"/>
      <c r="U17" s="1970"/>
      <c r="V17" s="1970"/>
      <c r="W17" s="1970"/>
      <c r="X17" s="1970"/>
      <c r="Y17" s="1970"/>
      <c r="Z17" s="1970"/>
    </row>
    <row r="18" spans="1:26" s="1969" customFormat="1" ht="13.5" customHeight="1">
      <c r="A18" s="2534" t="s">
        <v>1826</v>
      </c>
      <c r="B18" s="2535" t="s">
        <v>480</v>
      </c>
      <c r="C18" s="2536" t="e">
        <f ca="1">SUM(C13:C17)</f>
        <v>#N/A</v>
      </c>
      <c r="D18" s="2537"/>
      <c r="E18" s="461"/>
      <c r="F18" s="461"/>
      <c r="G18" s="2500" t="s">
        <v>2389</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1827</v>
      </c>
      <c r="B19" s="2535" t="s">
        <v>481</v>
      </c>
      <c r="C19" s="2492" t="e">
        <f ca="1">ROUND(D19*E19/10000,0)</f>
        <v>#N/A</v>
      </c>
      <c r="D19" s="2538" t="e">
        <f ca="1">D16</f>
        <v>#N/A</v>
      </c>
      <c r="E19" s="2492">
        <f>'数据-取费表'!B32</f>
        <v>0</v>
      </c>
      <c r="F19" s="461"/>
      <c r="G19" s="2496" t="s">
        <v>482</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1828</v>
      </c>
      <c r="B20" s="2535" t="s">
        <v>483</v>
      </c>
      <c r="C20" s="2492" t="e">
        <f ca="1">C21+C22-IF(B1="",'数据-取费表'!B29,IF(G20="已全部缴纳",C21+C22,H20))</f>
        <v>#N/A</v>
      </c>
      <c r="D20" s="2538"/>
      <c r="E20" s="2492"/>
      <c r="F20" s="2539"/>
      <c r="G20" s="2740"/>
      <c r="H20" s="2494"/>
      <c r="I20" s="2495" t="s">
        <v>2602</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1829</v>
      </c>
      <c r="B21" s="2527" t="s">
        <v>484</v>
      </c>
      <c r="C21" s="53" t="e">
        <f ca="1">ROUND(D21*E21/10000,0)</f>
        <v>#N/A</v>
      </c>
      <c r="D21" s="2528" t="e">
        <f ca="1">IF(B1="",'数据-汇总表'!E5,IF(INDIRECT("'数据-取费表'!c"&amp;$K$1)="住宅",INDIRECT("'数据-取费表'!k"&amp;$K$1),0))</f>
        <v>#N/A</v>
      </c>
      <c r="E21" s="53">
        <f>'数据-取费表'!B27</f>
        <v>0</v>
      </c>
      <c r="F21" s="2531"/>
      <c r="G21" s="26"/>
      <c r="H21" s="51"/>
      <c r="I21" s="51"/>
      <c r="J21" s="51"/>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1830</v>
      </c>
      <c r="B22" s="2527" t="s">
        <v>485</v>
      </c>
      <c r="C22" s="53" t="e">
        <f ca="1">ROUND(D22*E22/10000,0)</f>
        <v>#N/A</v>
      </c>
      <c r="D22" s="2528" t="e">
        <f ca="1">IF(B1="",'数据-汇总表'!E6,IF(INDIRECT("'数据-取费表'!c"&amp;$K$1)="住宅",INDIRECT("'数据-取费表'!s"&amp;$K$1),INDIRECT("'数据-取费表'!k"&amp;$K$1)+INDIRECT("'数据-取费表'!s"&amp;$K$1)))</f>
        <v>#N/A</v>
      </c>
      <c r="E22" s="53">
        <f>'数据-取费表'!B28</f>
        <v>155</v>
      </c>
      <c r="F22" s="2531"/>
      <c r="G22" s="26"/>
      <c r="H22" s="51"/>
      <c r="I22" s="51"/>
      <c r="J22" s="51"/>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1831</v>
      </c>
      <c r="B23" s="2712" t="s">
        <v>2781</v>
      </c>
      <c r="C23" s="2536" t="e">
        <f ca="1">ROUND((C18+C19+C20)*F23,0)</f>
        <v>#N/A</v>
      </c>
      <c r="D23" s="461"/>
      <c r="E23" s="461"/>
      <c r="F23" s="2540">
        <f>'数据-取费表'!B37</f>
        <v>0.01</v>
      </c>
      <c r="G23" s="2496" t="s">
        <v>2390</v>
      </c>
      <c r="H23" s="2497"/>
      <c r="I23" s="2497"/>
      <c r="J23" s="2497"/>
      <c r="K23" s="2498"/>
      <c r="L23" s="3162"/>
      <c r="M23" s="3162"/>
      <c r="N23" s="3162"/>
      <c r="O23" s="1970"/>
      <c r="P23" s="1970"/>
      <c r="Q23" s="1970"/>
      <c r="R23" s="1970"/>
      <c r="S23" s="1970"/>
      <c r="T23" s="1970"/>
      <c r="U23" s="1970"/>
      <c r="V23" s="1970"/>
      <c r="W23" s="1970"/>
      <c r="X23" s="1970"/>
      <c r="Y23" s="1970"/>
      <c r="Z23" s="1970"/>
    </row>
    <row r="24" spans="1:26" s="1969" customFormat="1" ht="13.5" customHeight="1">
      <c r="A24" s="2534" t="s">
        <v>1832</v>
      </c>
      <c r="B24" s="2712" t="s">
        <v>2784</v>
      </c>
      <c r="C24" s="2536">
        <f ca="1">ROUND(C6*F24,0)</f>
        <v>346</v>
      </c>
      <c r="D24" s="468"/>
      <c r="E24" s="466"/>
      <c r="F24" s="2540">
        <f>'数据-取费表'!B38</f>
        <v>0.01</v>
      </c>
      <c r="G24" s="2505" t="s">
        <v>490</v>
      </c>
      <c r="H24" s="2499"/>
      <c r="I24" s="2499"/>
      <c r="J24" s="2499"/>
      <c r="K24" s="277"/>
      <c r="L24" s="3162"/>
      <c r="M24" s="3162"/>
      <c r="N24" s="3162"/>
      <c r="O24" s="1970"/>
      <c r="P24" s="1970"/>
      <c r="Q24" s="1970"/>
      <c r="R24" s="1970"/>
      <c r="S24" s="1970"/>
      <c r="T24" s="1970"/>
      <c r="U24" s="1970"/>
      <c r="V24" s="1970"/>
      <c r="W24" s="1970"/>
      <c r="X24" s="1970"/>
      <c r="Y24" s="1970"/>
      <c r="Z24" s="1970"/>
    </row>
    <row r="25" spans="1:26" s="1972" customFormat="1" ht="13.5" customHeight="1">
      <c r="A25" s="2534" t="s">
        <v>1833</v>
      </c>
      <c r="B25" s="2712" t="s">
        <v>2782</v>
      </c>
      <c r="C25" s="3238">
        <f>F25</f>
        <v>3.0499999999999999E-2</v>
      </c>
      <c r="D25" s="455" t="s">
        <v>2778</v>
      </c>
      <c r="E25" s="462"/>
      <c r="F25" s="2540">
        <f>'数据-取费表'!B48+'数据-取费表'!B49</f>
        <v>3.0499999999999999E-2</v>
      </c>
      <c r="G25" s="2504" t="s">
        <v>2253</v>
      </c>
      <c r="H25" s="2497"/>
      <c r="I25" s="2497"/>
      <c r="J25" s="2497"/>
      <c r="K25" s="2498"/>
      <c r="L25" s="3163"/>
      <c r="M25" s="3163"/>
      <c r="N25" s="3163"/>
      <c r="O25" s="3163"/>
      <c r="P25" s="3163"/>
      <c r="Q25" s="3163"/>
      <c r="R25" s="3163"/>
      <c r="S25" s="3163"/>
      <c r="T25" s="3163"/>
      <c r="U25" s="3163"/>
      <c r="V25" s="3163"/>
      <c r="W25" s="3163"/>
      <c r="X25" s="3163"/>
      <c r="Y25" s="3163"/>
      <c r="Z25" s="3163"/>
    </row>
    <row r="26" spans="1:26" s="1971" customFormat="1" ht="13.5" customHeight="1">
      <c r="A26" s="2534" t="s">
        <v>1834</v>
      </c>
      <c r="B26" s="2713" t="s">
        <v>2783</v>
      </c>
      <c r="C26" s="2541" t="e">
        <f ca="1">C28</f>
        <v>#N/A</v>
      </c>
      <c r="D26" s="460">
        <f ca="1">C27</f>
        <v>0.1002</v>
      </c>
      <c r="E26" s="462" t="s">
        <v>486</v>
      </c>
      <c r="F26" s="464">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2"/>
      <c r="M26" s="3162"/>
      <c r="N26" s="3162"/>
      <c r="O26" s="3162"/>
      <c r="P26" s="3162"/>
      <c r="Q26" s="3162"/>
      <c r="R26" s="3162"/>
      <c r="S26" s="3162"/>
      <c r="T26" s="3162"/>
      <c r="U26" s="3162"/>
      <c r="V26" s="3162"/>
      <c r="W26" s="3162"/>
      <c r="X26" s="3162"/>
      <c r="Y26" s="3162"/>
      <c r="Z26" s="3162"/>
    </row>
    <row r="27" spans="1:26" s="1973" customFormat="1" ht="13.5" customHeight="1">
      <c r="A27" s="775" t="s">
        <v>1829</v>
      </c>
      <c r="B27" s="2542" t="s">
        <v>487</v>
      </c>
      <c r="C27" s="2543">
        <f ca="1">ROUND(IF('数据-取费表'!B22&lt;=1,(1+C25)*F26*'数据-取费表'!B24,(1+C25)*(POWER((1+F26),'数据-取费表'!B24)-1)),4)</f>
        <v>0.1002</v>
      </c>
      <c r="D27" s="465"/>
      <c r="E27" s="466"/>
      <c r="F27" s="467"/>
      <c r="G27" s="2391" t="str">
        <f>IF('数据-取费表'!B22&lt;=1,"（1+取得税费率/(1+5%)）×年利率×建设期","（1+取得税费率）/(1+5%)×((1+年利率)^建设期-1)")</f>
        <v>（1+取得税费率）/(1+5%)×((1+年利率)^建设期-1)</v>
      </c>
      <c r="H27" s="2499"/>
      <c r="I27" s="2499"/>
      <c r="J27" s="2499"/>
      <c r="K27" s="277"/>
      <c r="L27" s="3164"/>
      <c r="M27" s="3164"/>
      <c r="N27" s="3164"/>
      <c r="O27" s="3164"/>
      <c r="P27" s="3164"/>
      <c r="Q27" s="3164"/>
      <c r="R27" s="3164"/>
      <c r="S27" s="3164"/>
      <c r="T27" s="3164"/>
      <c r="U27" s="3164"/>
      <c r="V27" s="3164"/>
      <c r="W27" s="3164"/>
      <c r="X27" s="3164"/>
      <c r="Y27" s="3164"/>
      <c r="Z27" s="3164"/>
    </row>
    <row r="28" spans="1:26" s="1973" customFormat="1" ht="13.5" customHeight="1">
      <c r="A28" s="775" t="s">
        <v>1830</v>
      </c>
      <c r="B28" s="2542" t="s">
        <v>2785</v>
      </c>
      <c r="C28" s="2544" t="e">
        <f ca="1">ROUND(IF('数据-取费表'!B22&lt;=1,(C18+C19+C20+C23+C24)*F26*'数据-取费表'!B24/2,(C18+C19+C20+C23+C24)*(POWER((1+F26),'数据-取费表'!B24/2)-1)),0)</f>
        <v>#N/A</v>
      </c>
      <c r="D28" s="465"/>
      <c r="E28" s="466"/>
      <c r="F28" s="467"/>
      <c r="G28" s="2391" t="str">
        <f>IF('数据-取费表'!B22&lt;=1,"（1）-（4）项×年利率×建设期÷2","（1）-（4）项×((1+年利率)^(建设期÷2)-1)")</f>
        <v>（1）-（4）项×((1+年利率)^(建设期÷2)-1)</v>
      </c>
      <c r="H28" s="2499"/>
      <c r="I28" s="2499"/>
      <c r="J28" s="2499"/>
      <c r="K28" s="277"/>
      <c r="L28" s="3164"/>
      <c r="M28" s="3164"/>
      <c r="N28" s="3164"/>
      <c r="O28" s="3164"/>
      <c r="P28" s="3164"/>
      <c r="Q28" s="3164"/>
      <c r="R28" s="3164"/>
      <c r="S28" s="3164"/>
      <c r="T28" s="3164"/>
      <c r="U28" s="3164"/>
      <c r="V28" s="3164"/>
      <c r="W28" s="3164"/>
      <c r="X28" s="3164"/>
      <c r="Y28" s="3164"/>
      <c r="Z28" s="3164"/>
    </row>
    <row r="29" spans="1:26" s="1973" customFormat="1" ht="13.5" customHeight="1">
      <c r="A29" s="2545" t="s">
        <v>1835</v>
      </c>
      <c r="B29" s="2535" t="s">
        <v>488</v>
      </c>
      <c r="C29" s="2536">
        <f ca="1">ROUND(C6*F29/(1+'数据-取费表'!C42),0)</f>
        <v>1811</v>
      </c>
      <c r="D29" s="461"/>
      <c r="E29" s="461"/>
      <c r="F29" s="2714">
        <f>'数据-取费表'!B41</f>
        <v>5.5000000000000007E-2</v>
      </c>
      <c r="G29" s="2505" t="s">
        <v>489</v>
      </c>
      <c r="H29" s="2497"/>
      <c r="I29" s="2497"/>
      <c r="J29" s="2497"/>
      <c r="K29" s="2498"/>
      <c r="L29" s="3164"/>
      <c r="M29" s="3164"/>
      <c r="N29" s="3164"/>
      <c r="O29" s="3164"/>
      <c r="P29" s="3164"/>
      <c r="Q29" s="3164"/>
      <c r="R29" s="3164"/>
      <c r="S29" s="3164"/>
      <c r="T29" s="3164"/>
      <c r="U29" s="3164"/>
      <c r="V29" s="3164"/>
      <c r="W29" s="3164"/>
      <c r="X29" s="3164"/>
      <c r="Y29" s="3164"/>
      <c r="Z29" s="3164"/>
    </row>
    <row r="30" spans="1:26" s="1974" customFormat="1" ht="13.5" customHeight="1">
      <c r="A30" s="1537" t="s">
        <v>1836</v>
      </c>
      <c r="B30" s="2546" t="s">
        <v>491</v>
      </c>
      <c r="C30" s="2541" t="e">
        <f ca="1">C31</f>
        <v>#N/A</v>
      </c>
      <c r="D30" s="470">
        <f ca="1">C32</f>
        <v>0.13070000000000001</v>
      </c>
      <c r="E30" s="462" t="s">
        <v>486</v>
      </c>
      <c r="F30" s="464"/>
      <c r="G30" s="2504" t="s">
        <v>2904</v>
      </c>
      <c r="H30" s="2497"/>
      <c r="I30" s="2497"/>
      <c r="J30" s="2497"/>
      <c r="K30" s="2498"/>
      <c r="L30" s="3165"/>
      <c r="M30" s="3165"/>
      <c r="N30" s="3165"/>
      <c r="O30" s="3165"/>
      <c r="P30" s="3165"/>
      <c r="Q30" s="3165"/>
      <c r="R30" s="3165"/>
      <c r="S30" s="3165"/>
      <c r="T30" s="3165"/>
      <c r="U30" s="3165"/>
      <c r="V30" s="3165"/>
      <c r="W30" s="3165"/>
      <c r="X30" s="3165"/>
      <c r="Y30" s="3165"/>
      <c r="Z30" s="3165"/>
    </row>
    <row r="31" spans="1:26" s="1973" customFormat="1" ht="13.5" customHeight="1">
      <c r="A31" s="775" t="s">
        <v>1829</v>
      </c>
      <c r="B31" s="2542"/>
      <c r="C31" s="443" t="e">
        <f ca="1">C18+C19+C20+C23+C24+C26+C29</f>
        <v>#N/A</v>
      </c>
      <c r="D31" s="465"/>
      <c r="E31" s="466"/>
      <c r="F31" s="467"/>
      <c r="G31" s="259"/>
      <c r="H31" s="2499"/>
      <c r="I31" s="2499"/>
      <c r="J31" s="2499"/>
      <c r="K31" s="277"/>
      <c r="L31" s="3164"/>
      <c r="M31" s="3164"/>
      <c r="N31" s="3164"/>
      <c r="O31" s="3164"/>
      <c r="P31" s="3164"/>
      <c r="Q31" s="3164"/>
      <c r="R31" s="3164"/>
      <c r="S31" s="3164"/>
      <c r="T31" s="3164"/>
      <c r="U31" s="3164"/>
      <c r="V31" s="3164"/>
      <c r="W31" s="3164"/>
      <c r="X31" s="3164"/>
      <c r="Y31" s="3164"/>
      <c r="Z31" s="3164"/>
    </row>
    <row r="32" spans="1:26" s="1973" customFormat="1" ht="13.5" customHeight="1">
      <c r="A32" s="775" t="s">
        <v>1830</v>
      </c>
      <c r="B32" s="2542"/>
      <c r="C32" s="53">
        <f ca="1">ROUND(C25+D26,4)</f>
        <v>0.13070000000000001</v>
      </c>
      <c r="D32" s="465"/>
      <c r="E32" s="466"/>
      <c r="F32" s="467"/>
      <c r="G32" s="259"/>
      <c r="H32" s="2499"/>
      <c r="I32" s="2499"/>
      <c r="J32" s="2499"/>
      <c r="K32" s="277"/>
      <c r="L32" s="3164"/>
      <c r="M32" s="3164"/>
      <c r="N32" s="3164"/>
      <c r="O32" s="3164"/>
      <c r="P32" s="3164"/>
      <c r="Q32" s="3164"/>
      <c r="R32" s="3164"/>
      <c r="S32" s="3164"/>
      <c r="T32" s="3164"/>
      <c r="U32" s="3164"/>
      <c r="V32" s="3164"/>
      <c r="W32" s="3164"/>
      <c r="X32" s="3164"/>
      <c r="Y32" s="3164"/>
      <c r="Z32" s="3164"/>
    </row>
    <row r="33" spans="1:26" s="1975" customFormat="1" ht="13.5" customHeight="1">
      <c r="A33" s="2711" t="s">
        <v>2780</v>
      </c>
      <c r="B33" s="2709" t="s">
        <v>2779</v>
      </c>
      <c r="C33" s="471" t="e">
        <f ca="1">C35</f>
        <v>#N/A</v>
      </c>
      <c r="D33" s="460" t="e">
        <f ca="1">C34</f>
        <v>#N/A</v>
      </c>
      <c r="E33" s="462" t="s">
        <v>486</v>
      </c>
      <c r="F33" s="472" t="e">
        <f ca="1">IF(B1="",'数据-取费表'!Q16,INDIRECT("'数据-取费表'!q"&amp;$K$1))</f>
        <v>#N/A</v>
      </c>
      <c r="G33" s="2500"/>
      <c r="H33" s="2501"/>
      <c r="I33" s="2501"/>
      <c r="J33" s="2501"/>
      <c r="K33" s="2502"/>
      <c r="L33" s="3166"/>
      <c r="M33" s="3166"/>
      <c r="N33" s="3166"/>
      <c r="O33" s="3166"/>
      <c r="P33" s="3166"/>
      <c r="Q33" s="3166"/>
      <c r="R33" s="3166"/>
      <c r="S33" s="3166"/>
      <c r="T33" s="3166"/>
      <c r="U33" s="3166"/>
      <c r="V33" s="3166"/>
      <c r="W33" s="3166"/>
      <c r="X33" s="3166"/>
      <c r="Y33" s="3166"/>
      <c r="Z33" s="3166"/>
    </row>
    <row r="34" spans="1:26" s="1976" customFormat="1" ht="13.5" customHeight="1">
      <c r="A34" s="369" t="s">
        <v>1829</v>
      </c>
      <c r="B34" s="2547" t="s">
        <v>492</v>
      </c>
      <c r="C34" s="465" t="e">
        <f ca="1">ROUND((1+C25)*F33,4)</f>
        <v>#N/A</v>
      </c>
      <c r="D34" s="465"/>
      <c r="E34" s="466"/>
      <c r="F34" s="473"/>
      <c r="G34" s="259" t="s">
        <v>2254</v>
      </c>
      <c r="H34" s="2499"/>
      <c r="I34" s="2499"/>
      <c r="J34" s="2499"/>
      <c r="K34" s="277"/>
      <c r="L34" s="3167"/>
      <c r="M34" s="3167"/>
      <c r="N34" s="3167"/>
      <c r="O34" s="3167"/>
      <c r="P34" s="3167"/>
      <c r="Q34" s="3167"/>
      <c r="R34" s="3167"/>
      <c r="S34" s="3167"/>
      <c r="T34" s="3167"/>
      <c r="U34" s="3167"/>
      <c r="V34" s="3167"/>
      <c r="W34" s="3167"/>
      <c r="X34" s="3167"/>
      <c r="Y34" s="3167"/>
      <c r="Z34" s="3167"/>
    </row>
    <row r="35" spans="1:26" s="1976" customFormat="1" ht="13.5" customHeight="1" thickBot="1">
      <c r="A35" s="1538" t="s">
        <v>1830</v>
      </c>
      <c r="B35" s="2710" t="s">
        <v>2786</v>
      </c>
      <c r="C35" s="1530" t="e">
        <f ca="1">ROUND((C18+C19+C20+C23+C24)*F33,0)</f>
        <v>#N/A</v>
      </c>
      <c r="D35" s="1531"/>
      <c r="E35" s="2548"/>
      <c r="F35" s="1532"/>
      <c r="G35" s="2506"/>
      <c r="H35" s="2507"/>
      <c r="I35" s="2507"/>
      <c r="J35" s="2507"/>
      <c r="K35" s="2508"/>
      <c r="L35" s="3167"/>
      <c r="M35" s="3167"/>
      <c r="N35" s="3167"/>
      <c r="O35" s="3167"/>
      <c r="P35" s="3167"/>
      <c r="Q35" s="3167"/>
      <c r="R35" s="3167"/>
      <c r="S35" s="3167"/>
      <c r="T35" s="3167"/>
      <c r="U35" s="3167"/>
      <c r="V35" s="3167"/>
      <c r="W35" s="3167"/>
      <c r="X35" s="3167"/>
      <c r="Y35" s="3167"/>
      <c r="Z35" s="3167"/>
    </row>
    <row r="36" spans="1:26" s="1938" customFormat="1" ht="13.5" customHeight="1" thickBot="1">
      <c r="A36" s="282" t="s">
        <v>1817</v>
      </c>
      <c r="B36" s="2510"/>
      <c r="C36" s="2549" t="e">
        <f ca="1">ROUND((C6-C30-C33)/(1+D30+D33),0)</f>
        <v>#N/A</v>
      </c>
      <c r="D36" s="2510"/>
      <c r="E36" s="2510"/>
      <c r="F36" s="2510"/>
      <c r="G36" s="2509" t="s">
        <v>2787</v>
      </c>
      <c r="H36" s="2510"/>
      <c r="I36" s="2510"/>
      <c r="J36" s="2510"/>
      <c r="K36" s="2511"/>
      <c r="L36" s="3161"/>
      <c r="M36" s="3161"/>
      <c r="N36" s="3161"/>
      <c r="O36" s="3161"/>
      <c r="P36" s="3161"/>
      <c r="Q36" s="3161"/>
      <c r="R36" s="3161"/>
      <c r="S36" s="3161"/>
      <c r="T36" s="3161"/>
      <c r="U36" s="3161"/>
      <c r="V36" s="3161"/>
      <c r="W36" s="3161"/>
      <c r="X36" s="3161"/>
      <c r="Y36" s="3161"/>
      <c r="Z36" s="3161"/>
    </row>
    <row r="37" spans="1:26" s="1968" customFormat="1">
      <c r="A37" s="3168"/>
      <c r="C37" s="3169"/>
      <c r="E37" s="3168"/>
    </row>
    <row r="38" spans="1:26" s="1968" customFormat="1" ht="12.75" customHeight="1">
      <c r="A38" s="3168"/>
      <c r="C38" s="3169"/>
      <c r="E38" s="3168"/>
    </row>
    <row r="39" spans="1:26" s="1968" customFormat="1">
      <c r="A39" s="3168"/>
      <c r="C39" s="3169"/>
      <c r="E39" s="3168"/>
    </row>
    <row r="40" spans="1:26" s="1968" customFormat="1">
      <c r="A40" s="3168"/>
      <c r="C40" s="3169"/>
      <c r="E40" s="3168"/>
    </row>
    <row r="41" spans="1:26" s="1968" customFormat="1">
      <c r="A41" s="3168"/>
      <c r="C41" s="3169"/>
      <c r="E41" s="3168"/>
    </row>
    <row r="42" spans="1:26" s="1968" customFormat="1">
      <c r="A42" s="3168"/>
      <c r="C42" s="3169"/>
      <c r="E42" s="3168"/>
    </row>
    <row r="43" spans="1:26" s="1968" customFormat="1">
      <c r="A43" s="3168"/>
      <c r="C43" s="3169"/>
      <c r="E43" s="3168"/>
    </row>
    <row r="44" spans="1:26" s="1968" customFormat="1">
      <c r="A44" s="3168"/>
      <c r="C44" s="3169"/>
      <c r="E44" s="3168"/>
    </row>
    <row r="45" spans="1:26" s="1968" customFormat="1">
      <c r="A45" s="3168"/>
      <c r="C45" s="3169"/>
      <c r="E45" s="3168"/>
    </row>
    <row r="46" spans="1:26" s="1968" customFormat="1">
      <c r="A46" s="3168"/>
      <c r="C46" s="3169"/>
      <c r="E46" s="3168"/>
    </row>
    <row r="47" spans="1:26" s="1968" customFormat="1">
      <c r="A47" s="3168"/>
      <c r="C47" s="3169"/>
      <c r="E47" s="3168"/>
    </row>
    <row r="48" spans="1:26"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row r="213" spans="1:5" s="1968" customFormat="1">
      <c r="A213" s="3168"/>
      <c r="C213" s="3169"/>
      <c r="E213" s="3168"/>
    </row>
    <row r="214" spans="1:5" s="1968" customFormat="1">
      <c r="A214" s="3168"/>
      <c r="C214" s="3169"/>
      <c r="E214" s="3168"/>
    </row>
    <row r="215" spans="1:5" s="1968" customFormat="1">
      <c r="A215" s="3168"/>
      <c r="C215" s="3169"/>
      <c r="E215" s="3168"/>
    </row>
    <row r="216" spans="1:5" s="1968" customFormat="1">
      <c r="A216" s="3168"/>
      <c r="C216" s="3169"/>
      <c r="E216" s="3168"/>
    </row>
    <row r="217" spans="1:5" s="1968" customFormat="1">
      <c r="A217" s="3168"/>
      <c r="C217" s="3169"/>
      <c r="E217" s="3168"/>
    </row>
    <row r="218" spans="1:5" s="1968" customFormat="1">
      <c r="A218" s="3168"/>
      <c r="C218" s="3169"/>
      <c r="E218" s="3168"/>
    </row>
    <row r="219" spans="1:5" s="1968" customFormat="1">
      <c r="A219" s="3168"/>
      <c r="C219" s="3169"/>
      <c r="E219" s="3168"/>
    </row>
    <row r="220" spans="1:5" s="1968" customFormat="1">
      <c r="A220" s="3168"/>
      <c r="C220" s="3169"/>
      <c r="E220" s="3168"/>
    </row>
    <row r="221" spans="1:5" s="1968" customFormat="1">
      <c r="A221" s="3168"/>
      <c r="C221" s="3169"/>
      <c r="E221" s="3168"/>
    </row>
    <row r="222" spans="1:5" s="1968" customFormat="1">
      <c r="A222" s="3168"/>
      <c r="C222" s="3169"/>
      <c r="E222" s="3168"/>
    </row>
    <row r="223" spans="1:5" s="1968" customFormat="1">
      <c r="A223" s="3168"/>
      <c r="C223" s="3169"/>
      <c r="E223" s="3168"/>
    </row>
    <row r="224" spans="1:5" s="1968" customFormat="1">
      <c r="A224" s="3168"/>
      <c r="C224" s="3169"/>
      <c r="E224" s="3168"/>
    </row>
    <row r="225" spans="1:5" s="1968" customFormat="1">
      <c r="A225" s="3168"/>
      <c r="C225" s="3169"/>
      <c r="E225" s="3168"/>
    </row>
    <row r="226" spans="1:5" s="1968" customFormat="1">
      <c r="A226" s="3168"/>
      <c r="C226" s="3169"/>
      <c r="E226" s="3168"/>
    </row>
    <row r="227" spans="1:5" s="1968" customFormat="1">
      <c r="A227" s="3168"/>
      <c r="C227" s="3169"/>
      <c r="E227" s="3168"/>
    </row>
    <row r="228" spans="1:5" s="1968" customFormat="1">
      <c r="A228" s="3168"/>
      <c r="C228" s="3169"/>
      <c r="E228" s="3168"/>
    </row>
    <row r="229" spans="1:5" s="1968" customFormat="1">
      <c r="A229" s="3168"/>
      <c r="C229" s="3169"/>
      <c r="E229" s="3168"/>
    </row>
    <row r="230" spans="1:5" s="1968" customFormat="1">
      <c r="A230" s="3168"/>
      <c r="C230" s="3169"/>
      <c r="E230" s="3168"/>
    </row>
    <row r="231" spans="1:5" s="1968" customFormat="1">
      <c r="A231" s="3168"/>
      <c r="C231" s="3169"/>
      <c r="E231" s="3168"/>
    </row>
    <row r="232" spans="1:5" s="1968" customFormat="1">
      <c r="A232" s="3168"/>
      <c r="C232" s="3169"/>
      <c r="E232" s="3168"/>
    </row>
    <row r="233" spans="1:5" s="1968" customFormat="1">
      <c r="A233" s="3168"/>
      <c r="C233" s="3169"/>
      <c r="E233" s="3168"/>
    </row>
    <row r="234" spans="1:5" s="1968" customFormat="1">
      <c r="A234" s="3168"/>
      <c r="C234" s="3169"/>
      <c r="E234" s="3168"/>
    </row>
    <row r="235" spans="1:5" s="1968" customFormat="1">
      <c r="A235" s="3168"/>
      <c r="C235" s="3169"/>
      <c r="E235" s="3168"/>
    </row>
    <row r="236" spans="1:5" s="1968" customFormat="1">
      <c r="A236" s="3168"/>
      <c r="C236" s="3169"/>
      <c r="E236" s="3168"/>
    </row>
    <row r="237" spans="1:5" s="1968" customFormat="1">
      <c r="A237" s="3168"/>
      <c r="C237" s="3169"/>
      <c r="E237" s="3168"/>
    </row>
    <row r="238" spans="1:5" s="1968" customFormat="1">
      <c r="A238" s="3168"/>
      <c r="C238" s="3169"/>
      <c r="E238" s="3168"/>
    </row>
    <row r="239" spans="1:5" s="1968" customFormat="1">
      <c r="A239" s="3168"/>
      <c r="C239" s="3169"/>
      <c r="E239" s="3168"/>
    </row>
    <row r="240" spans="1:5" s="1968" customFormat="1">
      <c r="A240" s="3168"/>
      <c r="C240" s="3169"/>
      <c r="E240" s="3168"/>
    </row>
    <row r="241" spans="1:5" s="1968" customFormat="1">
      <c r="A241" s="3168"/>
      <c r="C241" s="3169"/>
      <c r="E241" s="3168"/>
    </row>
    <row r="242" spans="1:5" s="1968" customFormat="1">
      <c r="A242" s="3168"/>
      <c r="C242" s="3169"/>
      <c r="E242" s="3168"/>
    </row>
    <row r="243" spans="1:5" s="1968" customFormat="1">
      <c r="A243" s="3168"/>
      <c r="C243" s="3169"/>
      <c r="E243" s="3168"/>
    </row>
    <row r="244" spans="1:5" s="1968" customFormat="1">
      <c r="A244" s="3168"/>
      <c r="C244" s="3169"/>
      <c r="E244" s="3168"/>
    </row>
    <row r="245" spans="1:5" s="1968" customFormat="1">
      <c r="A245" s="3168"/>
      <c r="C245" s="3169"/>
      <c r="E245" s="3168"/>
    </row>
    <row r="246" spans="1:5" s="1968" customFormat="1">
      <c r="A246" s="3168"/>
      <c r="C246" s="3169"/>
      <c r="E246" s="3168"/>
    </row>
    <row r="247" spans="1:5" s="1968" customFormat="1">
      <c r="A247" s="3168"/>
      <c r="C247" s="3169"/>
      <c r="E247" s="3168"/>
    </row>
    <row r="248" spans="1:5" s="1968" customFormat="1">
      <c r="A248" s="3168"/>
      <c r="C248" s="3169"/>
      <c r="E248" s="3168"/>
    </row>
    <row r="249" spans="1:5" s="1968" customFormat="1">
      <c r="A249" s="3168"/>
      <c r="C249" s="3169"/>
      <c r="E249" s="3168"/>
    </row>
    <row r="250" spans="1:5" s="1968" customFormat="1">
      <c r="A250" s="3168"/>
      <c r="C250" s="3169"/>
      <c r="E250" s="3168"/>
    </row>
    <row r="251" spans="1:5" s="1968" customFormat="1">
      <c r="A251" s="3168"/>
      <c r="C251" s="3169"/>
      <c r="E251" s="3168"/>
    </row>
    <row r="252" spans="1:5" s="1968" customFormat="1">
      <c r="A252" s="3168"/>
      <c r="C252" s="3169"/>
      <c r="E252" s="3168"/>
    </row>
    <row r="253" spans="1:5" s="1968" customFormat="1">
      <c r="A253" s="3168"/>
      <c r="C253" s="3169"/>
      <c r="E253" s="3168"/>
    </row>
    <row r="254" spans="1:5" s="1968" customFormat="1">
      <c r="A254" s="3168"/>
      <c r="C254" s="3169"/>
      <c r="E254" s="3168"/>
    </row>
    <row r="255" spans="1:5" s="1968" customFormat="1">
      <c r="A255" s="3168"/>
      <c r="C255" s="3169"/>
      <c r="E255" s="3168"/>
    </row>
    <row r="256" spans="1:5" s="1968" customFormat="1">
      <c r="A256" s="3168"/>
      <c r="C256" s="3169"/>
      <c r="E256" s="3168"/>
    </row>
    <row r="257" spans="1:5" s="1968" customFormat="1">
      <c r="A257" s="3168"/>
      <c r="C257" s="3169"/>
      <c r="E257" s="3168"/>
    </row>
    <row r="258" spans="1:5" s="1968" customFormat="1">
      <c r="A258" s="3168"/>
      <c r="C258" s="3169"/>
      <c r="E258" s="3168"/>
    </row>
    <row r="259" spans="1:5" s="1968" customFormat="1">
      <c r="A259" s="3168"/>
      <c r="C259" s="3169"/>
      <c r="E259" s="3168"/>
    </row>
    <row r="260" spans="1:5" s="1968" customFormat="1">
      <c r="A260" s="3168"/>
      <c r="C260" s="3169"/>
      <c r="E260" s="3168"/>
    </row>
    <row r="261" spans="1:5" s="1968" customFormat="1">
      <c r="A261" s="3168"/>
      <c r="C261" s="3169"/>
      <c r="E261" s="3168"/>
    </row>
    <row r="262" spans="1:5" s="1968" customFormat="1">
      <c r="A262" s="3168"/>
      <c r="C262" s="3169"/>
      <c r="E262" s="3168"/>
    </row>
    <row r="263" spans="1:5" s="1968" customFormat="1">
      <c r="A263" s="3168"/>
      <c r="C263" s="3169"/>
      <c r="E263" s="3168"/>
    </row>
    <row r="264" spans="1:5" s="1968" customFormat="1">
      <c r="A264" s="3168"/>
      <c r="C264" s="3169"/>
      <c r="E264" s="3168"/>
    </row>
    <row r="265" spans="1:5" s="1968" customFormat="1">
      <c r="A265" s="3168"/>
      <c r="C265" s="3169"/>
      <c r="E265" s="3168"/>
    </row>
    <row r="266" spans="1:5" s="1968" customFormat="1">
      <c r="A266" s="3168"/>
      <c r="C266" s="3169"/>
      <c r="E266" s="3168"/>
    </row>
    <row r="267" spans="1:5" s="1968" customFormat="1">
      <c r="A267" s="3168"/>
      <c r="C267" s="3169"/>
      <c r="E267" s="3168"/>
    </row>
    <row r="268" spans="1:5" s="1968" customFormat="1">
      <c r="A268" s="3168"/>
      <c r="C268" s="3169"/>
      <c r="E268" s="3168"/>
    </row>
    <row r="269" spans="1:5" s="1968" customFormat="1">
      <c r="A269" s="3168"/>
      <c r="C269" s="3169"/>
      <c r="E269" s="3168"/>
    </row>
    <row r="270" spans="1:5" s="1968" customFormat="1">
      <c r="A270" s="3168"/>
      <c r="C270" s="3169"/>
      <c r="E270" s="3168"/>
    </row>
    <row r="271" spans="1:5" s="1968" customFormat="1">
      <c r="A271" s="3168"/>
      <c r="C271" s="3169"/>
      <c r="E271" s="3168"/>
    </row>
    <row r="272" spans="1:5" s="1968" customFormat="1">
      <c r="A272" s="3168"/>
      <c r="C272" s="3169"/>
      <c r="E272" s="3168"/>
    </row>
    <row r="273" spans="1:5" s="1968" customFormat="1">
      <c r="A273" s="3168"/>
      <c r="C273" s="3169"/>
      <c r="E273" s="3168"/>
    </row>
    <row r="274" spans="1:5" s="1968" customFormat="1">
      <c r="A274" s="3168"/>
      <c r="C274" s="3169"/>
      <c r="E274" s="3168"/>
    </row>
    <row r="275" spans="1:5" s="1968" customFormat="1">
      <c r="A275" s="3168"/>
      <c r="C275" s="3169"/>
      <c r="E275" s="3168"/>
    </row>
    <row r="276" spans="1:5" s="1968" customFormat="1">
      <c r="A276" s="3168"/>
      <c r="C276" s="3169"/>
      <c r="E276" s="3168"/>
    </row>
    <row r="277" spans="1:5" s="1968" customFormat="1">
      <c r="A277" s="3168"/>
      <c r="C277" s="3169"/>
      <c r="E277" s="3168"/>
    </row>
    <row r="278" spans="1:5" s="1968" customFormat="1">
      <c r="A278" s="3168"/>
      <c r="C278" s="3169"/>
      <c r="E278" s="3168"/>
    </row>
    <row r="279" spans="1:5" s="1968" customFormat="1">
      <c r="A279" s="3168"/>
      <c r="C279" s="3169"/>
      <c r="E279" s="3168"/>
    </row>
    <row r="280" spans="1:5" s="1968" customFormat="1">
      <c r="A280" s="3168"/>
      <c r="C280" s="3169"/>
      <c r="E280" s="3168"/>
    </row>
    <row r="281" spans="1:5" s="1968" customFormat="1">
      <c r="A281" s="3168"/>
      <c r="C281" s="3169"/>
      <c r="E281" s="3168"/>
    </row>
    <row r="282" spans="1:5" s="1968" customFormat="1">
      <c r="A282" s="3168"/>
      <c r="C282" s="3169"/>
      <c r="E282" s="3168"/>
    </row>
    <row r="283" spans="1:5" s="1968" customFormat="1">
      <c r="A283" s="3168"/>
      <c r="C283" s="3169"/>
      <c r="E283" s="3168"/>
    </row>
    <row r="284" spans="1:5" s="1968" customFormat="1">
      <c r="A284" s="3168"/>
      <c r="C284" s="3169"/>
      <c r="E284" s="3168"/>
    </row>
    <row r="285" spans="1:5" s="1968" customFormat="1">
      <c r="A285" s="3168"/>
      <c r="C285" s="3169"/>
      <c r="E285" s="3168"/>
    </row>
    <row r="286" spans="1:5" s="1968" customFormat="1">
      <c r="A286" s="3168"/>
      <c r="C286" s="3169"/>
      <c r="E286" s="3168"/>
    </row>
    <row r="287" spans="1:5" s="1968" customFormat="1">
      <c r="A287" s="3168"/>
      <c r="C287" s="3169"/>
      <c r="E287" s="3168"/>
    </row>
    <row r="288" spans="1:5" s="1968" customFormat="1">
      <c r="A288" s="3168"/>
      <c r="C288" s="3169"/>
      <c r="E288" s="3168"/>
    </row>
    <row r="289" spans="1:5" s="1968" customFormat="1">
      <c r="A289" s="3168"/>
      <c r="C289" s="3169"/>
      <c r="E289" s="3168"/>
    </row>
    <row r="290" spans="1:5" s="1968" customFormat="1">
      <c r="A290" s="3168"/>
      <c r="C290" s="3169"/>
      <c r="E290" s="3168"/>
    </row>
    <row r="291" spans="1:5" s="1968" customFormat="1">
      <c r="A291" s="3168"/>
      <c r="C291" s="3169"/>
      <c r="E291" s="3168"/>
    </row>
    <row r="292" spans="1:5" s="1968" customFormat="1">
      <c r="A292" s="3168"/>
      <c r="C292" s="3169"/>
      <c r="E292" s="3168"/>
    </row>
    <row r="293" spans="1:5" s="1968" customFormat="1">
      <c r="A293" s="3168"/>
      <c r="C293" s="3169"/>
      <c r="E293" s="3168"/>
    </row>
    <row r="294" spans="1:5" s="1968" customFormat="1">
      <c r="A294" s="3168"/>
      <c r="C294" s="3169"/>
      <c r="E294" s="3168"/>
    </row>
    <row r="295" spans="1:5" s="1968" customFormat="1">
      <c r="A295" s="3168"/>
      <c r="C295" s="3169"/>
      <c r="E295" s="3168"/>
    </row>
    <row r="296" spans="1:5" s="1968" customFormat="1">
      <c r="A296" s="3168"/>
      <c r="C296" s="3169"/>
      <c r="E296" s="3168"/>
    </row>
    <row r="297" spans="1:5" s="1968" customFormat="1">
      <c r="A297" s="3168"/>
      <c r="C297" s="3169"/>
      <c r="E297" s="3168"/>
    </row>
    <row r="298" spans="1:5" s="1968" customFormat="1">
      <c r="A298" s="3168"/>
      <c r="C298" s="3169"/>
      <c r="E298" s="3168"/>
    </row>
    <row r="299" spans="1:5" s="1968" customFormat="1">
      <c r="A299" s="3168"/>
      <c r="C299" s="3169"/>
      <c r="E299" s="3168"/>
    </row>
    <row r="300" spans="1:5" s="1968" customFormat="1">
      <c r="A300" s="3168"/>
      <c r="C300" s="3169"/>
      <c r="E300" s="3168"/>
    </row>
    <row r="301" spans="1:5" s="1968" customFormat="1">
      <c r="A301" s="3168"/>
      <c r="C301" s="3169"/>
      <c r="E301" s="3168"/>
    </row>
    <row r="302" spans="1:5" s="1968" customFormat="1">
      <c r="A302" s="3168"/>
      <c r="C302" s="3169"/>
      <c r="E302" s="3168"/>
    </row>
    <row r="303" spans="1:5" s="1968" customFormat="1">
      <c r="A303" s="3168"/>
      <c r="C303" s="3169"/>
      <c r="E303" s="3168"/>
    </row>
    <row r="304" spans="1:5" s="1968" customFormat="1">
      <c r="A304" s="3168"/>
      <c r="C304" s="3169"/>
      <c r="E304" s="3168"/>
    </row>
    <row r="305" spans="1:5" s="1968" customFormat="1">
      <c r="A305" s="3168"/>
      <c r="C305" s="3169"/>
      <c r="E305" s="3168"/>
    </row>
    <row r="306" spans="1:5" s="1968" customFormat="1">
      <c r="A306" s="3168"/>
      <c r="C306" s="3169"/>
      <c r="E306" s="3168"/>
    </row>
    <row r="307" spans="1:5" s="1968" customFormat="1">
      <c r="A307" s="3168"/>
      <c r="C307" s="3169"/>
      <c r="E307" s="3168"/>
    </row>
    <row r="308" spans="1:5" s="1968" customFormat="1">
      <c r="A308" s="3168"/>
      <c r="C308" s="3169"/>
      <c r="E308" s="3168"/>
    </row>
    <row r="309" spans="1:5" s="1968" customFormat="1">
      <c r="A309" s="3168"/>
      <c r="C309" s="3169"/>
      <c r="E309" s="3168"/>
    </row>
    <row r="310" spans="1:5" s="1968" customFormat="1">
      <c r="A310" s="3168"/>
      <c r="C310" s="3169"/>
      <c r="E310" s="3168"/>
    </row>
    <row r="311" spans="1:5" s="1968" customFormat="1">
      <c r="A311" s="3168"/>
      <c r="C311" s="3169"/>
      <c r="E311" s="3168"/>
    </row>
    <row r="312" spans="1:5" s="1968" customFormat="1">
      <c r="A312" s="3168"/>
      <c r="C312" s="3169"/>
      <c r="E312" s="3168"/>
    </row>
    <row r="313" spans="1:5" s="1968" customFormat="1">
      <c r="A313" s="3168"/>
      <c r="C313" s="3169"/>
      <c r="E313" s="3168"/>
    </row>
    <row r="314" spans="1:5" s="1968" customFormat="1">
      <c r="A314" s="3168"/>
      <c r="C314" s="3169"/>
      <c r="E314" s="3168"/>
    </row>
    <row r="315" spans="1:5" s="1968" customFormat="1">
      <c r="A315" s="3168"/>
      <c r="C315" s="3169"/>
      <c r="E315" s="3168"/>
    </row>
    <row r="316" spans="1:5" s="1968" customFormat="1">
      <c r="A316" s="3168"/>
      <c r="C316" s="3169"/>
      <c r="E316" s="3168"/>
    </row>
    <row r="317" spans="1:5" s="1968" customFormat="1">
      <c r="A317" s="3168"/>
      <c r="C317" s="3169"/>
      <c r="E317" s="3168"/>
    </row>
    <row r="318" spans="1:5" s="1968" customFormat="1">
      <c r="A318" s="3168"/>
      <c r="C318" s="3169"/>
      <c r="E318" s="3168"/>
    </row>
    <row r="319" spans="1:5" s="1968" customFormat="1">
      <c r="A319" s="3168"/>
      <c r="C319" s="3169"/>
      <c r="E319" s="3168"/>
    </row>
    <row r="320" spans="1:5" s="1968" customFormat="1">
      <c r="A320" s="3168"/>
      <c r="C320" s="3169"/>
      <c r="E320" s="3168"/>
    </row>
    <row r="321" spans="1:5" s="1968" customFormat="1">
      <c r="A321" s="3168"/>
      <c r="C321" s="3169"/>
      <c r="E321" s="3168"/>
    </row>
    <row r="322" spans="1:5" s="1968" customFormat="1">
      <c r="A322" s="3168"/>
      <c r="C322" s="3169"/>
      <c r="E322" s="3168"/>
    </row>
    <row r="323" spans="1:5" s="1968" customFormat="1">
      <c r="A323" s="3168"/>
      <c r="C323" s="3169"/>
      <c r="E323" s="3168"/>
    </row>
    <row r="324" spans="1:5" s="1968" customFormat="1">
      <c r="A324" s="3168"/>
      <c r="C324" s="3169"/>
      <c r="E324" s="3168"/>
    </row>
    <row r="325" spans="1:5" s="1968" customFormat="1">
      <c r="A325" s="3168"/>
      <c r="C325" s="3169"/>
      <c r="E325" s="3168"/>
    </row>
    <row r="326" spans="1:5" s="1968" customFormat="1">
      <c r="A326" s="3168"/>
      <c r="C326" s="3169"/>
      <c r="E326" s="3168"/>
    </row>
    <row r="327" spans="1:5" s="1968" customFormat="1">
      <c r="A327" s="3168"/>
      <c r="C327" s="3169"/>
      <c r="E327" s="3168"/>
    </row>
    <row r="328" spans="1:5" s="1968" customFormat="1">
      <c r="A328" s="3168"/>
      <c r="C328" s="3169"/>
      <c r="E328" s="3168"/>
    </row>
    <row r="329" spans="1:5" s="1968" customFormat="1">
      <c r="A329" s="3168"/>
      <c r="C329" s="3169"/>
      <c r="E329" s="3168"/>
    </row>
    <row r="330" spans="1:5" s="1968" customFormat="1">
      <c r="A330" s="3168"/>
      <c r="C330" s="3169"/>
      <c r="E330" s="3168"/>
    </row>
    <row r="331" spans="1:5" s="1968" customFormat="1">
      <c r="A331" s="3168"/>
      <c r="C331" s="3169"/>
      <c r="E331" s="3168"/>
    </row>
    <row r="332" spans="1:5" s="1968" customFormat="1">
      <c r="A332" s="3168"/>
      <c r="C332" s="3169"/>
      <c r="E332" s="3168"/>
    </row>
    <row r="333" spans="1:5" s="1968" customFormat="1">
      <c r="A333" s="3168"/>
      <c r="C333" s="3169"/>
      <c r="E333" s="3168"/>
    </row>
    <row r="334" spans="1:5" s="1968" customFormat="1">
      <c r="A334" s="3168"/>
      <c r="C334" s="3169"/>
      <c r="E334" s="3168"/>
    </row>
    <row r="335" spans="1:5" s="1968" customFormat="1">
      <c r="A335" s="3168"/>
      <c r="C335" s="3169"/>
      <c r="E335" s="3168"/>
    </row>
    <row r="336" spans="1:5" s="1968" customFormat="1">
      <c r="A336" s="3168"/>
      <c r="C336" s="3169"/>
      <c r="E336" s="3168"/>
    </row>
    <row r="337" spans="1:5" s="1968" customFormat="1">
      <c r="A337" s="3168"/>
      <c r="C337" s="3169"/>
      <c r="E337" s="3168"/>
    </row>
    <row r="338" spans="1:5" s="1968" customFormat="1">
      <c r="A338" s="3168"/>
      <c r="C338" s="3169"/>
      <c r="E338" s="3168"/>
    </row>
    <row r="339" spans="1:5" s="1968" customFormat="1">
      <c r="A339" s="3168"/>
      <c r="C339" s="3169"/>
      <c r="E339" s="3168"/>
    </row>
    <row r="340" spans="1:5" s="1968" customFormat="1">
      <c r="A340" s="3168"/>
      <c r="C340" s="3169"/>
      <c r="E340" s="3168"/>
    </row>
    <row r="341" spans="1:5" s="1968" customFormat="1">
      <c r="A341" s="3168"/>
      <c r="C341" s="3169"/>
      <c r="E341" s="3168"/>
    </row>
    <row r="342" spans="1:5" s="1968" customFormat="1">
      <c r="A342" s="3168"/>
      <c r="C342" s="3169"/>
      <c r="E342" s="3168"/>
    </row>
    <row r="343" spans="1:5" s="1968" customFormat="1">
      <c r="A343" s="3168"/>
      <c r="C343" s="3169"/>
      <c r="E343" s="3168"/>
    </row>
    <row r="344" spans="1:5" s="1968" customFormat="1">
      <c r="A344" s="3168"/>
      <c r="C344" s="3169"/>
      <c r="E344" s="3168"/>
    </row>
    <row r="345" spans="1:5" s="1968" customFormat="1">
      <c r="A345" s="3168"/>
      <c r="C345" s="3169"/>
      <c r="E345" s="3168"/>
    </row>
    <row r="346" spans="1:5" s="1968" customFormat="1">
      <c r="A346" s="3168"/>
      <c r="C346" s="3169"/>
      <c r="E346" s="3168"/>
    </row>
    <row r="347" spans="1:5" s="1968" customFormat="1">
      <c r="A347" s="3168"/>
      <c r="C347" s="3169"/>
      <c r="E347" s="3168"/>
    </row>
    <row r="348" spans="1:5" s="1968" customFormat="1">
      <c r="A348" s="3168"/>
      <c r="C348" s="3169"/>
      <c r="E348" s="3168"/>
    </row>
    <row r="349" spans="1:5" s="1968" customFormat="1">
      <c r="A349" s="3168"/>
      <c r="C349" s="3169"/>
      <c r="E349" s="3168"/>
    </row>
    <row r="350" spans="1:5" s="1968" customFormat="1">
      <c r="A350" s="3168"/>
      <c r="C350" s="3169"/>
      <c r="E350" s="3168"/>
    </row>
    <row r="351" spans="1:5" s="1968" customFormat="1">
      <c r="A351" s="3168"/>
      <c r="C351" s="3169"/>
      <c r="E351" s="3168"/>
    </row>
    <row r="352" spans="1:5" s="1968" customFormat="1">
      <c r="A352" s="3168"/>
      <c r="C352" s="3169"/>
      <c r="E352" s="3168"/>
    </row>
    <row r="353" spans="1:5" s="1968" customFormat="1">
      <c r="A353" s="3168"/>
      <c r="C353" s="3169"/>
      <c r="E353" s="3168"/>
    </row>
    <row r="354" spans="1:5" s="1968" customFormat="1">
      <c r="A354" s="3168"/>
      <c r="C354" s="3169"/>
      <c r="E354" s="3168"/>
    </row>
    <row r="355" spans="1:5" s="1968" customFormat="1">
      <c r="A355" s="3168"/>
      <c r="C355" s="3169"/>
      <c r="E355" s="3168"/>
    </row>
    <row r="356" spans="1:5" s="1968" customFormat="1">
      <c r="A356" s="3168"/>
      <c r="C356" s="3169"/>
      <c r="E356" s="3168"/>
    </row>
    <row r="357" spans="1:5" s="1968" customFormat="1">
      <c r="A357" s="3168"/>
      <c r="C357" s="3169"/>
      <c r="E357" s="3168"/>
    </row>
    <row r="358" spans="1:5" s="1968" customFormat="1">
      <c r="A358" s="3168"/>
      <c r="C358" s="3169"/>
      <c r="E358" s="3168"/>
    </row>
    <row r="359" spans="1:5" s="1968" customFormat="1">
      <c r="A359" s="3168"/>
      <c r="C359" s="3169"/>
      <c r="E359" s="3168"/>
    </row>
    <row r="360" spans="1:5" s="1968" customFormat="1">
      <c r="A360" s="3168"/>
      <c r="C360" s="3169"/>
      <c r="E360" s="3168"/>
    </row>
    <row r="361" spans="1:5" s="1968" customFormat="1">
      <c r="A361" s="3168"/>
      <c r="C361" s="3169"/>
      <c r="E361" s="3168"/>
    </row>
    <row r="362" spans="1:5" s="1968" customFormat="1">
      <c r="A362" s="3168"/>
      <c r="C362" s="3169"/>
      <c r="E362" s="3168"/>
    </row>
    <row r="363" spans="1:5" s="1968" customFormat="1">
      <c r="A363" s="3168"/>
      <c r="C363" s="3169"/>
      <c r="E363" s="3168"/>
    </row>
    <row r="364" spans="1:5" s="1968" customFormat="1">
      <c r="A364" s="3168"/>
      <c r="C364" s="3169"/>
      <c r="E364" s="3168"/>
    </row>
    <row r="365" spans="1:5" s="1968" customFormat="1">
      <c r="A365" s="3168"/>
      <c r="C365" s="3169"/>
      <c r="E365" s="3168"/>
    </row>
    <row r="366" spans="1:5" s="1968" customFormat="1">
      <c r="A366" s="3168"/>
      <c r="C366" s="3169"/>
      <c r="E366" s="3168"/>
    </row>
    <row r="367" spans="1:5" s="1968" customFormat="1">
      <c r="A367" s="3168"/>
      <c r="C367" s="3169"/>
      <c r="E367" s="3168"/>
    </row>
    <row r="368" spans="1:5" s="1968" customFormat="1">
      <c r="A368" s="3168"/>
      <c r="C368" s="3169"/>
      <c r="E368" s="3168"/>
    </row>
    <row r="369" spans="1:5" s="1968" customFormat="1">
      <c r="A369" s="3168"/>
      <c r="C369" s="3169"/>
      <c r="E369" s="3168"/>
    </row>
    <row r="370" spans="1:5" s="1968" customFormat="1">
      <c r="A370" s="3168"/>
      <c r="C370" s="3169"/>
      <c r="E370" s="3168"/>
    </row>
    <row r="371" spans="1:5" s="1968" customFormat="1">
      <c r="A371" s="3168"/>
      <c r="C371" s="3169"/>
      <c r="E371" s="3168"/>
    </row>
    <row r="372" spans="1:5" s="1968" customFormat="1">
      <c r="A372" s="3168"/>
      <c r="C372" s="3169"/>
      <c r="E372" s="3168"/>
    </row>
    <row r="373" spans="1:5" s="1968" customFormat="1">
      <c r="A373" s="3168"/>
      <c r="C373" s="3169"/>
      <c r="E373" s="3168"/>
    </row>
    <row r="374" spans="1:5" s="1968" customFormat="1">
      <c r="A374" s="3168"/>
      <c r="C374" s="3169"/>
      <c r="E374" s="3168"/>
    </row>
    <row r="375" spans="1:5" s="1968" customFormat="1">
      <c r="A375" s="3168"/>
      <c r="C375" s="3169"/>
      <c r="E375" s="3168"/>
    </row>
    <row r="376" spans="1:5" s="1968" customFormat="1">
      <c r="A376" s="3168"/>
      <c r="C376" s="3169"/>
      <c r="E376" s="3168"/>
    </row>
    <row r="377" spans="1:5" s="1968" customFormat="1">
      <c r="A377" s="3168"/>
      <c r="C377" s="3169"/>
      <c r="E377" s="3168"/>
    </row>
    <row r="378" spans="1:5" s="1968" customFormat="1">
      <c r="A378" s="3168"/>
      <c r="C378" s="3169"/>
      <c r="E378" s="3168"/>
    </row>
    <row r="379" spans="1:5" s="1968" customFormat="1">
      <c r="A379" s="3168"/>
      <c r="C379" s="3169"/>
      <c r="E379" s="3168"/>
    </row>
    <row r="380" spans="1:5" s="1968" customFormat="1">
      <c r="A380" s="3168"/>
      <c r="C380" s="3169"/>
      <c r="E380" s="3168"/>
    </row>
    <row r="381" spans="1:5" s="1968" customFormat="1">
      <c r="A381" s="3168"/>
      <c r="C381" s="3169"/>
      <c r="E381" s="3168"/>
    </row>
    <row r="382" spans="1:5" s="1968" customFormat="1">
      <c r="A382" s="3168"/>
      <c r="C382" s="3169"/>
      <c r="E382" s="3168"/>
    </row>
    <row r="383" spans="1:5" s="1968" customFormat="1">
      <c r="A383" s="3168"/>
      <c r="C383" s="3169"/>
      <c r="E383" s="3168"/>
    </row>
    <row r="384" spans="1:5" s="1968" customFormat="1">
      <c r="A384" s="3168"/>
      <c r="C384" s="3169"/>
      <c r="E384" s="3168"/>
    </row>
    <row r="385" spans="1:5" s="1968" customFormat="1">
      <c r="A385" s="3168"/>
      <c r="C385" s="3169"/>
      <c r="E385" s="3168"/>
    </row>
    <row r="386" spans="1:5" s="1968" customFormat="1">
      <c r="A386" s="3168"/>
      <c r="C386" s="3169"/>
      <c r="E386" s="3168"/>
    </row>
    <row r="387" spans="1:5" s="1968" customFormat="1">
      <c r="A387" s="3168"/>
      <c r="C387" s="3169"/>
      <c r="E387" s="3168"/>
    </row>
    <row r="388" spans="1:5" s="1968" customFormat="1">
      <c r="A388" s="3168"/>
      <c r="C388" s="3169"/>
      <c r="E388" s="3168"/>
    </row>
    <row r="389" spans="1:5" s="1968" customFormat="1">
      <c r="A389" s="3168"/>
      <c r="C389" s="3169"/>
      <c r="E389" s="3168"/>
    </row>
    <row r="390" spans="1:5" s="1968" customFormat="1">
      <c r="A390" s="3168"/>
      <c r="C390" s="3169"/>
      <c r="E390" s="3168"/>
    </row>
    <row r="391" spans="1:5" s="1968" customFormat="1">
      <c r="A391" s="3168"/>
      <c r="C391" s="3169"/>
      <c r="E391" s="3168"/>
    </row>
    <row r="392" spans="1:5" s="1968" customFormat="1">
      <c r="A392" s="3168"/>
      <c r="C392" s="3169"/>
      <c r="E392" s="3168"/>
    </row>
    <row r="393" spans="1:5" s="1968" customFormat="1">
      <c r="A393" s="3168"/>
      <c r="C393" s="3169"/>
      <c r="E393" s="3168"/>
    </row>
    <row r="394" spans="1:5" s="1968" customFormat="1">
      <c r="A394" s="3168"/>
      <c r="C394" s="3169"/>
      <c r="E394" s="3168"/>
    </row>
    <row r="395" spans="1:5" s="1968" customFormat="1">
      <c r="A395" s="3168"/>
      <c r="C395" s="3169"/>
      <c r="E395" s="3168"/>
    </row>
    <row r="396" spans="1:5" s="1968" customFormat="1">
      <c r="A396" s="3168"/>
      <c r="C396" s="3169"/>
      <c r="E396" s="3168"/>
    </row>
    <row r="397" spans="1:5" s="1968" customFormat="1">
      <c r="A397" s="3168"/>
      <c r="C397" s="3169"/>
      <c r="E397" s="3168"/>
    </row>
    <row r="398" spans="1:5" s="1968" customFormat="1">
      <c r="A398" s="3168"/>
      <c r="C398" s="3169"/>
      <c r="E398" s="3168"/>
    </row>
    <row r="399" spans="1:5" s="1968" customFormat="1">
      <c r="A399" s="3168"/>
      <c r="C399" s="3169"/>
      <c r="E399" s="3168"/>
    </row>
    <row r="400" spans="1:5" s="1968" customFormat="1">
      <c r="A400" s="3168"/>
      <c r="C400" s="3169"/>
      <c r="E400" s="3168"/>
    </row>
    <row r="401" spans="1:5" s="1968" customFormat="1">
      <c r="A401" s="3168"/>
      <c r="C401" s="3169"/>
      <c r="E401" s="3168"/>
    </row>
    <row r="402" spans="1:5" s="1968" customFormat="1">
      <c r="A402" s="3168"/>
      <c r="C402" s="3169"/>
      <c r="E402" s="3168"/>
    </row>
    <row r="403" spans="1:5" s="1968" customFormat="1">
      <c r="A403" s="3168"/>
      <c r="C403" s="3169"/>
      <c r="E403" s="3168"/>
    </row>
    <row r="404" spans="1:5" s="1968" customFormat="1">
      <c r="A404" s="3168"/>
      <c r="C404" s="3169"/>
      <c r="E404" s="3168"/>
    </row>
    <row r="405" spans="1:5" s="1968" customFormat="1">
      <c r="A405" s="3168"/>
      <c r="C405" s="3169"/>
      <c r="E405" s="3168"/>
    </row>
    <row r="406" spans="1:5" s="1968" customFormat="1">
      <c r="A406" s="3168"/>
      <c r="C406" s="3169"/>
      <c r="E406" s="3168"/>
    </row>
    <row r="407" spans="1:5" s="1968" customFormat="1">
      <c r="A407" s="3168"/>
      <c r="C407" s="3169"/>
      <c r="E407" s="3168"/>
    </row>
    <row r="408" spans="1:5" s="1968" customFormat="1">
      <c r="A408" s="3168"/>
      <c r="C408" s="3169"/>
      <c r="E408" s="3168"/>
    </row>
    <row r="409" spans="1:5" s="1968" customFormat="1">
      <c r="A409" s="3168"/>
      <c r="C409" s="3169"/>
      <c r="E409" s="3168"/>
    </row>
    <row r="410" spans="1:5" s="1968" customFormat="1">
      <c r="A410" s="3168"/>
      <c r="C410" s="3169"/>
      <c r="E410" s="3168"/>
    </row>
    <row r="411" spans="1:5" s="1968" customFormat="1">
      <c r="A411" s="3168"/>
      <c r="C411" s="3169"/>
      <c r="E411" s="3168"/>
    </row>
    <row r="412" spans="1:5" s="1968" customFormat="1">
      <c r="A412" s="3168"/>
      <c r="C412" s="3169"/>
      <c r="E412" s="3168"/>
    </row>
    <row r="413" spans="1:5" s="1968" customFormat="1">
      <c r="A413" s="3168"/>
      <c r="C413" s="3169"/>
      <c r="E413" s="3168"/>
    </row>
    <row r="414" spans="1:5" s="1968" customFormat="1">
      <c r="A414" s="3168"/>
      <c r="C414" s="3169"/>
      <c r="E414" s="3168"/>
    </row>
    <row r="415" spans="1:5" s="1968" customFormat="1">
      <c r="A415" s="3168"/>
      <c r="C415" s="3169"/>
      <c r="E415" s="3168"/>
    </row>
    <row r="416" spans="1:5" s="1968" customFormat="1">
      <c r="A416" s="3168"/>
      <c r="C416" s="3169"/>
      <c r="E416" s="3168"/>
    </row>
    <row r="417" spans="1:5" s="1968" customFormat="1">
      <c r="A417" s="3168"/>
      <c r="C417" s="3169"/>
      <c r="E417" s="3168"/>
    </row>
    <row r="418" spans="1:5" s="1968" customFormat="1">
      <c r="A418" s="3168"/>
      <c r="C418" s="3169"/>
      <c r="E418" s="3168"/>
    </row>
    <row r="419" spans="1:5" s="1968" customFormat="1">
      <c r="A419" s="3168"/>
      <c r="C419" s="3169"/>
      <c r="E419" s="3168"/>
    </row>
    <row r="420" spans="1:5" s="1968" customFormat="1">
      <c r="A420" s="3168"/>
      <c r="C420" s="3169"/>
      <c r="E420" s="3168"/>
    </row>
    <row r="421" spans="1:5" s="1968" customFormat="1">
      <c r="A421" s="3168"/>
      <c r="C421" s="3169"/>
      <c r="E421" s="3168"/>
    </row>
    <row r="422" spans="1:5" s="1968" customFormat="1">
      <c r="A422" s="3168"/>
      <c r="C422" s="3169"/>
      <c r="E422" s="3168"/>
    </row>
    <row r="423" spans="1:5" s="1968" customFormat="1">
      <c r="A423" s="3168"/>
      <c r="C423" s="3169"/>
      <c r="E423" s="3168"/>
    </row>
    <row r="424" spans="1:5" s="1968" customFormat="1">
      <c r="A424" s="3168"/>
      <c r="C424" s="3169"/>
      <c r="E424" s="3168"/>
    </row>
    <row r="425" spans="1:5" s="1968" customFormat="1">
      <c r="A425" s="3168"/>
      <c r="C425" s="3169"/>
      <c r="E425" s="3168"/>
    </row>
    <row r="426" spans="1:5" s="1968" customFormat="1">
      <c r="A426" s="3168"/>
      <c r="C426" s="3169"/>
      <c r="E426" s="3168"/>
    </row>
    <row r="427" spans="1:5" s="1968" customFormat="1">
      <c r="A427" s="3168"/>
      <c r="C427" s="3169"/>
      <c r="E427" s="3168"/>
    </row>
    <row r="428" spans="1:5" s="1968" customFormat="1">
      <c r="A428" s="3168"/>
      <c r="C428" s="3169"/>
      <c r="E428" s="3168"/>
    </row>
    <row r="429" spans="1:5" s="1968" customFormat="1">
      <c r="A429" s="3168"/>
      <c r="C429" s="3169"/>
      <c r="E429" s="3168"/>
    </row>
    <row r="430" spans="1:5" s="1968" customFormat="1">
      <c r="A430" s="3168"/>
      <c r="C430" s="3169"/>
      <c r="E430" s="3168"/>
    </row>
    <row r="431" spans="1:5" s="1968" customFormat="1">
      <c r="A431" s="3168"/>
      <c r="C431" s="3169"/>
      <c r="E431" s="3168"/>
    </row>
    <row r="432" spans="1:5" s="1968" customFormat="1">
      <c r="A432" s="3168"/>
      <c r="C432" s="3169"/>
      <c r="E432" s="3168"/>
    </row>
    <row r="433" spans="1:5" s="1968" customFormat="1">
      <c r="A433" s="3168"/>
      <c r="C433" s="3169"/>
      <c r="E433" s="3168"/>
    </row>
    <row r="434" spans="1:5" s="1968" customFormat="1">
      <c r="A434" s="3168"/>
      <c r="C434" s="3169"/>
      <c r="E434" s="3168"/>
    </row>
    <row r="435" spans="1:5" s="1968" customFormat="1">
      <c r="A435" s="3168"/>
      <c r="C435" s="3169"/>
      <c r="E435" s="3168"/>
    </row>
    <row r="436" spans="1:5" s="1968" customFormat="1">
      <c r="A436" s="3168"/>
      <c r="C436" s="3169"/>
      <c r="E436" s="3168"/>
    </row>
    <row r="437" spans="1:5" s="1968" customFormat="1">
      <c r="A437" s="3168"/>
      <c r="C437" s="3169"/>
      <c r="E437" s="3168"/>
    </row>
    <row r="438" spans="1:5" s="1968" customFormat="1">
      <c r="A438" s="3168"/>
      <c r="C438" s="3169"/>
      <c r="E438" s="3168"/>
    </row>
    <row r="439" spans="1:5" s="1968" customFormat="1">
      <c r="A439" s="3168"/>
      <c r="C439" s="3169"/>
      <c r="E439" s="3168"/>
    </row>
    <row r="440" spans="1:5" s="1968" customFormat="1">
      <c r="A440" s="3168"/>
      <c r="C440" s="3169"/>
      <c r="E440" s="3168"/>
    </row>
    <row r="441" spans="1:5" s="1968" customFormat="1">
      <c r="A441" s="3168"/>
      <c r="C441" s="3169"/>
      <c r="E441" s="3168"/>
    </row>
    <row r="442" spans="1:5" s="1968" customFormat="1">
      <c r="A442" s="3168"/>
      <c r="C442" s="3169"/>
      <c r="E442" s="3168"/>
    </row>
    <row r="443" spans="1:5" s="1968" customFormat="1">
      <c r="A443" s="3168"/>
      <c r="C443" s="3169"/>
      <c r="E443" s="3168"/>
    </row>
    <row r="444" spans="1:5" s="1968" customFormat="1">
      <c r="A444" s="3168"/>
      <c r="C444" s="3169"/>
      <c r="E444" s="3168"/>
    </row>
    <row r="445" spans="1:5" s="1968" customFormat="1">
      <c r="A445" s="3168"/>
      <c r="C445" s="3169"/>
      <c r="E445" s="3168"/>
    </row>
    <row r="446" spans="1:5" s="1968" customFormat="1">
      <c r="A446" s="3168"/>
      <c r="C446" s="3169"/>
      <c r="E446" s="3168"/>
    </row>
    <row r="447" spans="1:5" s="1968" customFormat="1">
      <c r="A447" s="3168"/>
      <c r="C447" s="3169"/>
      <c r="E447" s="3168"/>
    </row>
    <row r="448" spans="1:5" s="1968" customFormat="1">
      <c r="A448" s="3168"/>
      <c r="C448" s="3169"/>
      <c r="E448" s="3168"/>
    </row>
    <row r="449" spans="1:5" s="1968" customFormat="1">
      <c r="A449" s="3168"/>
      <c r="C449" s="3169"/>
      <c r="E449" s="3168"/>
    </row>
    <row r="450" spans="1:5" s="1968" customFormat="1">
      <c r="A450" s="3168"/>
      <c r="C450" s="3169"/>
      <c r="E450" s="3168"/>
    </row>
    <row r="451" spans="1:5" s="1968" customFormat="1">
      <c r="A451" s="3168"/>
      <c r="C451" s="3169"/>
      <c r="E451" s="3168"/>
    </row>
    <row r="452" spans="1:5" s="1968" customFormat="1">
      <c r="A452" s="3168"/>
      <c r="C452" s="3169"/>
      <c r="E452" s="3168"/>
    </row>
    <row r="453" spans="1:5" s="1968" customFormat="1">
      <c r="A453" s="3168"/>
      <c r="C453" s="3169"/>
      <c r="E453" s="3168"/>
    </row>
    <row r="454" spans="1:5" s="1968" customFormat="1">
      <c r="A454" s="3168"/>
      <c r="C454" s="3169"/>
      <c r="E454" s="3168"/>
    </row>
    <row r="455" spans="1:5" s="1968" customFormat="1">
      <c r="A455" s="3168"/>
      <c r="C455" s="3169"/>
      <c r="E455" s="3168"/>
    </row>
    <row r="456" spans="1:5" s="1968" customFormat="1">
      <c r="A456" s="3168"/>
      <c r="C456" s="3169"/>
      <c r="E456" s="3168"/>
    </row>
    <row r="457" spans="1:5" s="1968" customFormat="1">
      <c r="A457" s="3168"/>
      <c r="C457" s="3169"/>
      <c r="E457" s="3168"/>
    </row>
    <row r="458" spans="1:5" s="1968" customFormat="1">
      <c r="A458" s="3168"/>
      <c r="C458" s="3169"/>
      <c r="E458" s="3168"/>
    </row>
    <row r="459" spans="1:5" s="1968" customFormat="1">
      <c r="A459" s="3168"/>
      <c r="C459" s="3169"/>
      <c r="E459" s="3168"/>
    </row>
    <row r="460" spans="1:5" s="1968" customFormat="1">
      <c r="A460" s="3168"/>
      <c r="C460" s="3169"/>
      <c r="E460" s="3168"/>
    </row>
    <row r="461" spans="1:5" s="1968" customFormat="1">
      <c r="A461" s="3168"/>
      <c r="C461" s="3169"/>
      <c r="E461" s="3168"/>
    </row>
    <row r="462" spans="1:5" s="1968" customFormat="1">
      <c r="A462" s="3168"/>
      <c r="C462" s="3169"/>
      <c r="E462" s="3168"/>
    </row>
    <row r="463" spans="1:5" s="1968" customFormat="1">
      <c r="A463" s="3168"/>
      <c r="C463" s="3169"/>
      <c r="E463" s="3168"/>
    </row>
    <row r="464" spans="1:5" s="1968" customFormat="1">
      <c r="A464" s="3168"/>
      <c r="C464" s="3169"/>
      <c r="E464" s="3168"/>
    </row>
    <row r="465" spans="1:5" s="1968" customFormat="1">
      <c r="A465" s="3168"/>
      <c r="C465" s="3169"/>
      <c r="E465" s="3168"/>
    </row>
    <row r="466" spans="1:5" s="1968" customFormat="1">
      <c r="A466" s="3168"/>
      <c r="C466" s="3169"/>
      <c r="E466" s="3168"/>
    </row>
    <row r="467" spans="1:5" s="1968" customFormat="1">
      <c r="A467" s="3168"/>
      <c r="C467" s="3169"/>
      <c r="E467" s="3168"/>
    </row>
    <row r="468" spans="1:5" s="1968" customFormat="1">
      <c r="A468" s="3168"/>
      <c r="C468" s="3169"/>
      <c r="E468" s="3168"/>
    </row>
    <row r="469" spans="1:5" s="1968" customFormat="1">
      <c r="A469" s="3168"/>
      <c r="C469" s="3169"/>
      <c r="E469" s="3168"/>
    </row>
    <row r="470" spans="1:5" s="1968" customFormat="1">
      <c r="A470" s="3168"/>
      <c r="C470" s="3169"/>
      <c r="E470" s="3168"/>
    </row>
    <row r="471" spans="1:5" s="1968" customFormat="1">
      <c r="A471" s="3168"/>
      <c r="C471" s="3169"/>
      <c r="E471" s="3168"/>
    </row>
    <row r="472" spans="1:5" s="1968" customFormat="1">
      <c r="A472" s="3168"/>
      <c r="C472" s="3169"/>
      <c r="E472" s="3168"/>
    </row>
    <row r="473" spans="1:5" s="1968" customFormat="1">
      <c r="A473" s="3168"/>
      <c r="C473" s="3169"/>
      <c r="E473" s="3168"/>
    </row>
    <row r="474" spans="1:5" s="1968" customFormat="1">
      <c r="A474" s="3168"/>
      <c r="C474" s="3169"/>
      <c r="E474" s="3168"/>
    </row>
    <row r="475" spans="1:5" s="1968" customFormat="1">
      <c r="A475" s="3168"/>
      <c r="C475" s="3169"/>
      <c r="E475" s="3168"/>
    </row>
    <row r="476" spans="1:5" s="1968" customFormat="1">
      <c r="A476" s="3168"/>
      <c r="C476" s="3169"/>
      <c r="E476" s="3168"/>
    </row>
    <row r="477" spans="1:5" s="1968" customFormat="1">
      <c r="A477" s="3168"/>
      <c r="C477" s="3169"/>
      <c r="E477" s="3168"/>
    </row>
    <row r="478" spans="1:5" s="1968" customFormat="1">
      <c r="A478" s="3168"/>
      <c r="C478" s="3169"/>
      <c r="E478" s="3168"/>
    </row>
    <row r="479" spans="1:5" s="1968" customFormat="1">
      <c r="A479" s="3168"/>
      <c r="C479" s="3169"/>
      <c r="E479" s="3168"/>
    </row>
    <row r="480" spans="1:5" s="1968" customFormat="1">
      <c r="A480" s="3168"/>
      <c r="C480" s="3169"/>
      <c r="E480" s="3168"/>
    </row>
    <row r="481" spans="1:5" s="1968" customFormat="1">
      <c r="A481" s="3168"/>
      <c r="C481" s="3169"/>
      <c r="E481" s="3168"/>
    </row>
    <row r="482" spans="1:5" s="1968" customFormat="1">
      <c r="A482" s="3168"/>
      <c r="C482" s="3169"/>
      <c r="E482" s="3168"/>
    </row>
    <row r="483" spans="1:5" s="1968" customFormat="1">
      <c r="A483" s="3168"/>
      <c r="C483" s="3169"/>
      <c r="E483" s="3168"/>
    </row>
    <row r="484" spans="1:5" s="1968" customFormat="1">
      <c r="A484" s="3168"/>
      <c r="C484" s="3169"/>
      <c r="E484" s="3168"/>
    </row>
    <row r="485" spans="1:5" s="1968" customFormat="1">
      <c r="A485" s="3168"/>
      <c r="C485" s="3169"/>
      <c r="E485" s="3168"/>
    </row>
    <row r="486" spans="1:5" s="1968" customFormat="1">
      <c r="A486" s="3168"/>
      <c r="C486" s="3169"/>
      <c r="E486" s="3168"/>
    </row>
    <row r="487" spans="1:5" s="1968" customFormat="1">
      <c r="A487" s="3168"/>
      <c r="C487" s="3169"/>
      <c r="E487" s="3168"/>
    </row>
    <row r="488" spans="1:5" s="1968" customFormat="1">
      <c r="A488" s="3168"/>
      <c r="C488" s="3169"/>
      <c r="E488" s="3168"/>
    </row>
    <row r="489" spans="1:5" s="1968" customFormat="1">
      <c r="A489" s="3168"/>
      <c r="C489" s="3169"/>
      <c r="E489" s="3168"/>
    </row>
    <row r="490" spans="1:5" s="1968"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topLeftCell="A3"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3122</v>
      </c>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460</v>
      </c>
      <c r="B2" s="418">
        <f ca="1">C27</f>
        <v>14791.363415817565</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3561</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3561</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237</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34579</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3122</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SUMIF('数据-汇总表'!$C19:$C33,剩余法商业!C7,'数据-汇总表'!$E19:$E33)</f>
        <v>41534</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不动产收益法商业!C40</f>
        <v>34579</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2976</v>
      </c>
      <c r="B13" s="442" t="s">
        <v>2977</v>
      </c>
      <c r="C13" s="443">
        <f ca="1">IF(B1="",'数据-取费表'!M16,INDIRECT("'数据-取费表'!M"&amp;$K$1)+INDIRECT("'数据-取费表'!t"&amp;$K$1))</f>
        <v>14537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436</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831</v>
      </c>
      <c r="D16" s="444">
        <f ca="1">IF(B1="",'数据-汇总表'!E3,INDIRECT("'数据-取费表'!K"&amp;$K$1)+INDIRECT("'数据-取费表'!S"&amp;$K$1))</f>
        <v>41534</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218</v>
      </c>
      <c r="D17" s="448"/>
      <c r="E17" s="447"/>
      <c r="F17" s="449">
        <f>'数据-取费表'!B36</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16022</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160</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769</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3236</v>
      </c>
      <c r="D21" s="3242"/>
      <c r="E21" s="455"/>
      <c r="F21" s="472">
        <f ca="1">IF(B1="",'数据-取费表'!Q16,INDIRECT("'数据-取费表'!q"&amp;$K$1))</f>
        <v>0.2</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14131</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1811</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346</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14791.363415817565</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2" zoomScale="80" zoomScaleNormal="60" zoomScaleSheetLayoutView="80" workbookViewId="0">
      <selection activeCell="C33" sqref="C33"/>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3122</v>
      </c>
      <c r="D1" s="2762" t="s">
        <v>926</v>
      </c>
      <c r="E1" s="2212" t="s">
        <v>2334</v>
      </c>
      <c r="F1" s="2213">
        <f ca="1">J53</f>
        <v>40</v>
      </c>
      <c r="G1" s="3221">
        <f>MATCH(C1,'数据-取费表'!A6:A16,0)+5</f>
        <v>7</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1699</v>
      </c>
      <c r="B2" s="747">
        <f ca="1">C40+J29+L46</f>
        <v>34579</v>
      </c>
      <c r="C2" s="3226"/>
      <c r="D2" s="3227"/>
      <c r="E2" s="3228"/>
      <c r="F2" s="3228"/>
      <c r="G2" s="3222"/>
      <c r="H2" s="1911"/>
      <c r="I2" s="1911"/>
      <c r="J2" s="1911"/>
      <c r="K2" s="1912"/>
      <c r="L2" s="1911"/>
      <c r="M2" s="1911"/>
    </row>
    <row r="3" spans="1:33" ht="18" customHeight="1" thickBot="1">
      <c r="A3" s="804" t="s">
        <v>1700</v>
      </c>
      <c r="B3" s="805">
        <f ca="1">IF(ISERROR(B2*10000/F43),0,ROUND(B2*10000/F43,0))</f>
        <v>8325</v>
      </c>
      <c r="C3" s="3226"/>
      <c r="D3" s="3227"/>
      <c r="E3" s="3228"/>
      <c r="F3" s="3228"/>
      <c r="G3" s="3222"/>
      <c r="H3" s="748" t="s">
        <v>672</v>
      </c>
      <c r="I3" s="1290"/>
      <c r="J3" s="1290"/>
      <c r="K3" s="1499"/>
      <c r="L3" s="1290"/>
      <c r="M3" s="1290"/>
    </row>
    <row r="4" spans="1:33" ht="18" customHeight="1">
      <c r="A4" s="749" t="s">
        <v>1701</v>
      </c>
      <c r="B4" s="750" t="s">
        <v>1702</v>
      </c>
      <c r="C4" s="750" t="s">
        <v>1703</v>
      </c>
      <c r="D4" s="750" t="s">
        <v>610</v>
      </c>
      <c r="E4" s="751" t="s">
        <v>1704</v>
      </c>
      <c r="F4" s="752"/>
      <c r="G4" s="1916"/>
      <c r="H4" s="749" t="s">
        <v>1705</v>
      </c>
      <c r="I4" s="750" t="s">
        <v>1706</v>
      </c>
      <c r="J4" s="750" t="s">
        <v>1707</v>
      </c>
      <c r="K4" s="750" t="s">
        <v>1708</v>
      </c>
      <c r="L4" s="751" t="s">
        <v>1709</v>
      </c>
      <c r="M4" s="752"/>
    </row>
    <row r="5" spans="1:33" ht="18" customHeight="1">
      <c r="A5" s="753">
        <v>1</v>
      </c>
      <c r="B5" s="754" t="s">
        <v>2410</v>
      </c>
      <c r="C5" s="55">
        <f ca="1">C6+C10+C12</f>
        <v>3225</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3221</v>
      </c>
      <c r="D6" s="2318" t="s">
        <v>2414</v>
      </c>
      <c r="E6" s="756" t="s">
        <v>1711</v>
      </c>
      <c r="F6" s="757">
        <f ca="1">INDIRECT("'数据-取费表'!u"&amp;$G$1)</f>
        <v>2.5</v>
      </c>
      <c r="G6" s="1916"/>
      <c r="H6" s="2325" t="s">
        <v>2420</v>
      </c>
      <c r="I6" s="3751" t="s">
        <v>2415</v>
      </c>
      <c r="J6" s="755">
        <f ca="1">ROUND(M6*M8*M7*(1-M9)/10000,0)</f>
        <v>0</v>
      </c>
      <c r="K6" s="339" t="s">
        <v>1710</v>
      </c>
      <c r="L6" s="756" t="s">
        <v>1711</v>
      </c>
      <c r="M6" s="757">
        <f ca="1">INDIRECT("'数据-取费表'!z"&amp;$G$1)</f>
        <v>0</v>
      </c>
    </row>
    <row r="7" spans="1:33" ht="18" customHeight="1">
      <c r="A7" s="2321"/>
      <c r="B7" s="3752"/>
      <c r="C7" s="760"/>
      <c r="D7" s="761"/>
      <c r="E7" s="756" t="s">
        <v>1712</v>
      </c>
      <c r="F7" s="757">
        <f ca="1">IF(INDIRECT("'数据-取费表'!ah"&amp;$G$1)="",INDIRECT("'数据-取费表'!k"&amp;$G$1),INDIRECT("'数据-取费表'!ah"&amp;$G$1))</f>
        <v>41534</v>
      </c>
      <c r="G7" s="1916"/>
      <c r="H7" s="2310"/>
      <c r="I7" s="3752"/>
      <c r="J7" s="760"/>
      <c r="K7" s="761"/>
      <c r="L7" s="756" t="s">
        <v>1712</v>
      </c>
      <c r="M7" s="757">
        <f ca="1">F7</f>
        <v>41534</v>
      </c>
    </row>
    <row r="8" spans="1:33" ht="18" customHeight="1">
      <c r="A8" s="2314"/>
      <c r="B8" s="3753"/>
      <c r="C8" s="760"/>
      <c r="D8" s="761"/>
      <c r="E8" s="756" t="s">
        <v>1713</v>
      </c>
      <c r="F8" s="757">
        <f ca="1">INDIRECT("'数据-取费表'!ai"&amp;$G$1)</f>
        <v>365</v>
      </c>
      <c r="G8" s="1916"/>
      <c r="H8" s="2310"/>
      <c r="I8" s="3753"/>
      <c r="J8" s="760"/>
      <c r="K8" s="761"/>
      <c r="L8" s="756" t="s">
        <v>1713</v>
      </c>
      <c r="M8" s="757">
        <f ca="1">INDIRECT("'数据-取费表'!ai"&amp;$G$1)</f>
        <v>365</v>
      </c>
    </row>
    <row r="9" spans="1:33" ht="18" customHeight="1">
      <c r="A9" s="758"/>
      <c r="B9" s="3754"/>
      <c r="C9" s="760"/>
      <c r="D9" s="761"/>
      <c r="E9" s="756" t="s">
        <v>1714</v>
      </c>
      <c r="F9" s="766">
        <f ca="1">INDIRECT("'数据-取费表'!w"&amp;$G$1)</f>
        <v>0.15</v>
      </c>
      <c r="G9" s="1916"/>
      <c r="H9" s="2326"/>
      <c r="I9" s="3753"/>
      <c r="J9" s="760"/>
      <c r="K9" s="761"/>
      <c r="L9" s="767" t="s">
        <v>1714</v>
      </c>
      <c r="M9" s="768">
        <f ca="1">INDIRECT("'数据-取费表'!ab"&amp;$G$1)</f>
        <v>0</v>
      </c>
    </row>
    <row r="10" spans="1:33" ht="18" customHeight="1">
      <c r="A10" s="1717" t="s">
        <v>2418</v>
      </c>
      <c r="B10" s="2315" t="s">
        <v>2411</v>
      </c>
      <c r="C10" s="771">
        <f ca="1">ROUND(IF(F10="押一",C6/12*F11,IF(F10="押二",C6/12*2*F11,IF(F10="押三",C6/12*3*F11,C11*F11))),0)</f>
        <v>4</v>
      </c>
      <c r="D10" s="2322" t="s">
        <v>2905</v>
      </c>
      <c r="E10" s="2319" t="s">
        <v>2416</v>
      </c>
      <c r="F10" s="2432" t="s">
        <v>3141</v>
      </c>
      <c r="G10" s="1916"/>
      <c r="H10" s="2382" t="s">
        <v>2421</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2417</v>
      </c>
      <c r="F11" s="768">
        <f ca="1">'数据-取费表'!B39</f>
        <v>1.4999999999999999E-2</v>
      </c>
      <c r="G11" s="1916"/>
      <c r="H11" s="2383"/>
      <c r="I11" s="2316" t="s">
        <v>2525</v>
      </c>
      <c r="J11" s="2320"/>
      <c r="K11" s="2384"/>
      <c r="L11" s="2319" t="s">
        <v>2417</v>
      </c>
      <c r="M11" s="2313">
        <f ca="1">'数据-取费表'!B39</f>
        <v>1.4999999999999999E-2</v>
      </c>
    </row>
    <row r="12" spans="1:33" ht="18" customHeight="1" thickBot="1">
      <c r="A12" s="2358" t="s">
        <v>2419</v>
      </c>
      <c r="B12" s="2359" t="s">
        <v>2412</v>
      </c>
      <c r="C12" s="2360"/>
      <c r="D12" s="2361"/>
      <c r="E12" s="2362"/>
      <c r="F12" s="2363"/>
      <c r="G12" s="1916"/>
      <c r="H12" s="2372" t="s">
        <v>2422</v>
      </c>
      <c r="I12" s="2385" t="s">
        <v>2412</v>
      </c>
      <c r="J12" s="2386"/>
      <c r="K12" s="2361"/>
      <c r="L12" s="2362"/>
      <c r="M12" s="2375"/>
    </row>
    <row r="13" spans="1:33" ht="18" customHeight="1" thickTop="1">
      <c r="A13" s="1716">
        <v>2</v>
      </c>
      <c r="B13" s="1714" t="s">
        <v>1715</v>
      </c>
      <c r="C13" s="764">
        <f ca="1">ROUND(C29*F13,0)</f>
        <v>15112</v>
      </c>
      <c r="D13" s="1721" t="s">
        <v>2260</v>
      </c>
      <c r="E13" s="1721" t="s">
        <v>1717</v>
      </c>
      <c r="F13" s="2357">
        <f ca="1">INDIRECT("'数据-取费表'!y"&amp;$G$1)</f>
        <v>0.7</v>
      </c>
      <c r="G13" s="1916"/>
      <c r="H13" s="1716">
        <v>2</v>
      </c>
      <c r="I13" s="1714" t="s">
        <v>1715</v>
      </c>
      <c r="J13" s="1706">
        <f ca="1">ROUND(J14*J15,0)</f>
        <v>0</v>
      </c>
      <c r="K13" s="1708" t="s">
        <v>1716</v>
      </c>
      <c r="L13" s="2373"/>
      <c r="M13" s="2374"/>
    </row>
    <row r="14" spans="1:33" ht="18" customHeight="1">
      <c r="A14" s="1549" t="s">
        <v>1851</v>
      </c>
      <c r="B14" s="756" t="s">
        <v>622</v>
      </c>
      <c r="C14" s="776">
        <f ca="1">INDIRECT("'数据-取费表'!m"&amp;$G$1)+INDIRECT("'数据-取费表'!t"&amp;$G$1)</f>
        <v>14537</v>
      </c>
      <c r="D14" s="1864" t="s">
        <v>1718</v>
      </c>
      <c r="E14" s="1865"/>
      <c r="F14" s="777"/>
      <c r="G14" s="1916"/>
      <c r="H14" s="1550" t="s">
        <v>1803</v>
      </c>
      <c r="I14" s="2081" t="s">
        <v>2776</v>
      </c>
      <c r="J14" s="53">
        <f ca="1">C29</f>
        <v>21588</v>
      </c>
      <c r="K14" s="26"/>
      <c r="L14" s="773"/>
      <c r="M14" s="774"/>
    </row>
    <row r="15" spans="1:33" s="1918" customFormat="1" ht="18" customHeight="1" thickBot="1">
      <c r="A15" s="1549" t="s">
        <v>1852</v>
      </c>
      <c r="B15" s="756" t="s">
        <v>624</v>
      </c>
      <c r="C15" s="53">
        <f ca="1">ROUND(C14*F15,0)</f>
        <v>436</v>
      </c>
      <c r="D15" s="778" t="s">
        <v>1719</v>
      </c>
      <c r="E15" s="778" t="s">
        <v>1720</v>
      </c>
      <c r="F15" s="779">
        <f>'数据-取费表'!B33</f>
        <v>0.03</v>
      </c>
      <c r="G15" s="3223"/>
      <c r="H15" s="2372" t="s">
        <v>1856</v>
      </c>
      <c r="I15" s="2367" t="s">
        <v>1717</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1853</v>
      </c>
      <c r="B16" s="756" t="s">
        <v>627</v>
      </c>
      <c r="C16" s="53">
        <f ca="1">ROUND(INDIRECT("'数据-取费表'!m"&amp;$G$1)*F16,0)</f>
        <v>0</v>
      </c>
      <c r="D16" s="756" t="s">
        <v>1719</v>
      </c>
      <c r="E16" s="756" t="s">
        <v>1720</v>
      </c>
      <c r="F16" s="781">
        <f ca="1">IF(INDIRECT("'数据-取费表'!c"&amp;$G$1)="住宅",'数据-取费表'!B34,0)</f>
        <v>0</v>
      </c>
      <c r="G16" s="1916"/>
      <c r="H16" s="1716" t="s">
        <v>1721</v>
      </c>
      <c r="I16" s="1714" t="s">
        <v>1722</v>
      </c>
      <c r="J16" s="764">
        <f ca="1">ROUND(J17+J22+J23+J24,0)</f>
        <v>2251</v>
      </c>
      <c r="K16" s="1708" t="s">
        <v>1723</v>
      </c>
      <c r="L16" s="2307"/>
      <c r="M16" s="2312"/>
    </row>
    <row r="17" spans="1:33" s="1918" customFormat="1" ht="18" customHeight="1">
      <c r="A17" s="1549" t="s">
        <v>1854</v>
      </c>
      <c r="B17" s="756" t="s">
        <v>630</v>
      </c>
      <c r="C17" s="53">
        <f ca="1">ROUND(F17*(F43+INDIRECT("'数据-取费表'!S"&amp;$G$1))/10000,0)</f>
        <v>831</v>
      </c>
      <c r="D17" s="756" t="s">
        <v>1724</v>
      </c>
      <c r="E17" s="756" t="s">
        <v>1725</v>
      </c>
      <c r="F17" s="56">
        <f>'数据-取费表'!B35</f>
        <v>200</v>
      </c>
      <c r="G17" s="3223"/>
      <c r="H17" s="1550" t="s">
        <v>1803</v>
      </c>
      <c r="I17" s="756" t="s">
        <v>633</v>
      </c>
      <c r="J17" s="2982">
        <f ca="1">ROUND(IF(AND(项目基本情况!B11="自然人",项目基本情况!B10="北京市"),J6*M17/(1+'数据-取费表'!C42),J18+J19+J20),0)</f>
        <v>1819</v>
      </c>
      <c r="K17" s="2306" t="s">
        <v>1726</v>
      </c>
      <c r="L17" s="2305" t="s">
        <v>1727</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218</v>
      </c>
      <c r="D18" s="756" t="s">
        <v>1719</v>
      </c>
      <c r="E18" s="756" t="s">
        <v>1720</v>
      </c>
      <c r="F18" s="781">
        <f>'数据-取费表'!B36</f>
        <v>1.4999999999999999E-2</v>
      </c>
      <c r="G18" s="3223"/>
      <c r="H18" s="1549" t="s">
        <v>1851</v>
      </c>
      <c r="I18" s="756" t="s">
        <v>1728</v>
      </c>
      <c r="J18" s="53">
        <f ca="1">ROUND(J6*M18/(1+'数据-取费表'!C42),1)</f>
        <v>0</v>
      </c>
      <c r="K18" s="2305" t="s">
        <v>1729</v>
      </c>
      <c r="L18" s="756" t="s">
        <v>1720</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1803</v>
      </c>
      <c r="B19" s="756" t="s">
        <v>639</v>
      </c>
      <c r="C19" s="53">
        <f ca="1">SUM(C14:C18)</f>
        <v>16022</v>
      </c>
      <c r="D19" s="259" t="s">
        <v>1730</v>
      </c>
      <c r="E19" s="1867"/>
      <c r="F19" s="56"/>
      <c r="G19" s="1916"/>
      <c r="H19" s="1549" t="s">
        <v>1852</v>
      </c>
      <c r="I19" s="756" t="s">
        <v>1731</v>
      </c>
      <c r="J19" s="53">
        <f ca="1">IF(K19="按租金收入计税",ROUND(J6*M19/(1+'数据-取费表'!C42),1),ROUND(C29*F33*0.7,1))</f>
        <v>1813.4</v>
      </c>
      <c r="K19" s="782" t="s">
        <v>642</v>
      </c>
      <c r="L19" s="756" t="s">
        <v>1720</v>
      </c>
      <c r="M19" s="781">
        <f>IF(K19="按租金收入计税",'数据-取费表'!B51,'数据-取费表'!B50)</f>
        <v>1.2E-2</v>
      </c>
    </row>
    <row r="20" spans="1:33" s="1918" customFormat="1" ht="18" customHeight="1">
      <c r="A20" s="1550" t="s">
        <v>1856</v>
      </c>
      <c r="B20" s="756" t="s">
        <v>643</v>
      </c>
      <c r="C20" s="53">
        <f ca="1">ROUND(C19*F20,0)</f>
        <v>160</v>
      </c>
      <c r="D20" s="783" t="s">
        <v>1732</v>
      </c>
      <c r="E20" s="756" t="s">
        <v>1720</v>
      </c>
      <c r="F20" s="781">
        <f>'数据-取费表'!B37</f>
        <v>0.01</v>
      </c>
      <c r="G20" s="3223"/>
      <c r="H20" s="1552" t="s">
        <v>1847</v>
      </c>
      <c r="I20" s="339" t="s">
        <v>1733</v>
      </c>
      <c r="J20" s="54">
        <f ca="1">ROUND(M20*M21/10000,0)</f>
        <v>6</v>
      </c>
      <c r="K20" s="785" t="s">
        <v>1734</v>
      </c>
      <c r="L20" s="756" t="s">
        <v>1735</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1736</v>
      </c>
      <c r="C21" s="53" t="s">
        <v>1737</v>
      </c>
      <c r="D21" s="783" t="s">
        <v>2261</v>
      </c>
      <c r="E21" s="756" t="s">
        <v>1738</v>
      </c>
      <c r="F21" s="781">
        <f>'数据-取费表'!B38</f>
        <v>0.01</v>
      </c>
      <c r="G21" s="3223"/>
      <c r="H21" s="2327"/>
      <c r="I21" s="765"/>
      <c r="J21" s="69"/>
      <c r="K21" s="787"/>
      <c r="L21" s="756" t="s">
        <v>1739</v>
      </c>
      <c r="M21" s="757">
        <f ca="1">INDIRECT("'数据-取费表'!r"&amp;$G$1)</f>
        <v>41534</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1740</v>
      </c>
      <c r="C22" s="53"/>
      <c r="D22" s="2391" t="str">
        <f>IF(F23&lt;=1,"单利计息。","复利计息。")&amp;"建造成本、管理费用、销售费用产生的利息。"</f>
        <v>复利计息。建造成本、管理费用、销售费用产生的利息。</v>
      </c>
      <c r="E22" s="1867"/>
      <c r="F22" s="56"/>
      <c r="G22" s="1916"/>
      <c r="H22" s="1550" t="s">
        <v>1856</v>
      </c>
      <c r="I22" s="756" t="s">
        <v>1741</v>
      </c>
      <c r="J22" s="53">
        <f ca="1">ROUND(J14*M22,0)</f>
        <v>432</v>
      </c>
      <c r="K22" s="2305" t="s">
        <v>1742</v>
      </c>
      <c r="L22" s="756" t="s">
        <v>1720</v>
      </c>
      <c r="M22" s="788">
        <f ca="1">INDIRECT("'数据-取费表'!Ak"&amp;$G$1)</f>
        <v>0.02</v>
      </c>
    </row>
    <row r="23" spans="1:33" s="1918" customFormat="1" ht="18" customHeight="1">
      <c r="A23" s="1549" t="s">
        <v>1804</v>
      </c>
      <c r="B23" s="756" t="s">
        <v>2487</v>
      </c>
      <c r="C23" s="53">
        <f ca="1">ROUND(IF('数据-取费表'!B22&lt;=1,(C19+C20)*F24*F23/2,(C19+C20)*(POWER((1+F24),F23/2)-1)),0)</f>
        <v>769</v>
      </c>
      <c r="D23" s="2390" t="str">
        <f>IF(F23&lt;=1,"(建造成本+管理费用)×利率×(建设周期÷2)","(建造成本+管理费用)×((1+利率)^(建设周期÷2)-1)")</f>
        <v>(建造成本+管理费用)×((1+利率)^(建设周期÷2)-1)</v>
      </c>
      <c r="E23" s="756" t="s">
        <v>1743</v>
      </c>
      <c r="F23" s="614">
        <f>'数据-取费表'!B20</f>
        <v>2</v>
      </c>
      <c r="G23" s="3223"/>
      <c r="H23" s="1550" t="s">
        <v>1857</v>
      </c>
      <c r="I23" s="756" t="s">
        <v>656</v>
      </c>
      <c r="J23" s="53">
        <f ca="1">ROUND(J13*M23,0)</f>
        <v>0</v>
      </c>
      <c r="K23" s="2305" t="s">
        <v>1744</v>
      </c>
      <c r="L23" s="756" t="s">
        <v>1720</v>
      </c>
      <c r="M23" s="789">
        <f ca="1">INDIRECT("'数据-取费表'!Al"&amp;$G$1)</f>
        <v>2E-3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1745</v>
      </c>
      <c r="C24" s="53">
        <f ca="1">ROUND(IF('数据-取费表'!B22&lt;=1,F21*F24*F23/2,F21*(POWER((1+F24),F23/2)-1)),4)</f>
        <v>5.0000000000000001E-4</v>
      </c>
      <c r="D24" s="2390" t="str">
        <f>IF(F23&lt;=1,"销售费用×利率×(建设周期÷2)","销售费用×((1+利率)^(建设周期÷2)-1)")</f>
        <v>销售费用×((1+利率)^(建设周期÷2)-1)</v>
      </c>
      <c r="E24" s="756" t="s">
        <v>1746</v>
      </c>
      <c r="F24" s="790">
        <f ca="1">'数据-取费表'!B40</f>
        <v>4.7500000000000001E-2</v>
      </c>
      <c r="G24" s="3223"/>
      <c r="H24" s="2372" t="s">
        <v>1858</v>
      </c>
      <c r="I24" s="2367" t="s">
        <v>643</v>
      </c>
      <c r="J24" s="2365">
        <f ca="1">ROUND(J5*M24,0)</f>
        <v>0</v>
      </c>
      <c r="K24" s="2366" t="s">
        <v>1747</v>
      </c>
      <c r="L24" s="2367" t="s">
        <v>1720</v>
      </c>
      <c r="M24" s="2363">
        <f ca="1">INDIRECT("'数据-取费表'!Am"&amp;$G$1)</f>
        <v>0.02</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1748</v>
      </c>
      <c r="E25" s="1867"/>
      <c r="F25" s="56"/>
      <c r="G25" s="1916"/>
      <c r="H25" s="1716" t="s">
        <v>1749</v>
      </c>
      <c r="I25" s="2690" t="s">
        <v>2772</v>
      </c>
      <c r="J25" s="764">
        <f ca="1">J5-J16</f>
        <v>-2251</v>
      </c>
      <c r="K25" s="2369" t="s">
        <v>1750</v>
      </c>
      <c r="L25" s="2370"/>
      <c r="M25" s="2371"/>
    </row>
    <row r="26" spans="1:33" ht="18" customHeight="1">
      <c r="A26" s="1549" t="s">
        <v>1804</v>
      </c>
      <c r="B26" s="756" t="s">
        <v>2392</v>
      </c>
      <c r="C26" s="53">
        <f ca="1">ROUND((C19+C20)*F26,0)</f>
        <v>3236</v>
      </c>
      <c r="D26" s="783" t="s">
        <v>1751</v>
      </c>
      <c r="E26" s="767" t="s">
        <v>1752</v>
      </c>
      <c r="F26" s="766">
        <f ca="1">INDIRECT("'数据-取费表'!q"&amp;$G$1)</f>
        <v>0.2</v>
      </c>
      <c r="G26" s="1916"/>
      <c r="H26" s="2323" t="s">
        <v>1753</v>
      </c>
      <c r="I26" s="2082" t="s">
        <v>2777</v>
      </c>
      <c r="J26" s="755">
        <f ca="1">IF(J5&lt;&gt;0,ROUND(J25*(1-((1+M28)/(1+M26))^M27)/(M26-M28),0),0)</f>
        <v>0</v>
      </c>
      <c r="K26" s="785" t="s">
        <v>1754</v>
      </c>
      <c r="L26" s="756" t="s">
        <v>2379</v>
      </c>
      <c r="M26" s="766">
        <f ca="1">INDIRECT("'数据-取费表'!I"&amp;$G$1)</f>
        <v>5.5E-2</v>
      </c>
    </row>
    <row r="27" spans="1:33" ht="18" customHeight="1">
      <c r="A27" s="1549" t="s">
        <v>1805</v>
      </c>
      <c r="B27" s="756" t="s">
        <v>663</v>
      </c>
      <c r="C27" s="53">
        <f ca="1">ROUND(F21*F26,4)</f>
        <v>2E-3</v>
      </c>
      <c r="D27" s="783" t="s">
        <v>1755</v>
      </c>
      <c r="E27" s="778"/>
      <c r="F27" s="779"/>
      <c r="G27" s="1916"/>
      <c r="H27" s="2324"/>
      <c r="I27" s="759"/>
      <c r="J27" s="760"/>
      <c r="K27" s="792" t="s">
        <v>1756</v>
      </c>
      <c r="L27" s="756" t="s">
        <v>1757</v>
      </c>
      <c r="M27" s="793">
        <f ca="1">INDIRECT("'数据-取费表'!ag"&amp;$G$1)</f>
        <v>0</v>
      </c>
    </row>
    <row r="28" spans="1:33" s="1918" customFormat="1" ht="18" customHeight="1">
      <c r="A28" s="1551" t="s">
        <v>1814</v>
      </c>
      <c r="B28" s="756" t="s">
        <v>664</v>
      </c>
      <c r="C28" s="53">
        <f>ROUND(F28/(1+'数据-取费表'!C42),4)</f>
        <v>5.2400000000000002E-2</v>
      </c>
      <c r="D28" s="783" t="s">
        <v>2262</v>
      </c>
      <c r="E28" s="756" t="s">
        <v>1758</v>
      </c>
      <c r="F28" s="781">
        <f>'数据-取费表'!B41</f>
        <v>5.5000000000000007E-2</v>
      </c>
      <c r="G28" s="3223"/>
      <c r="H28" s="1716"/>
      <c r="I28" s="763"/>
      <c r="J28" s="764"/>
      <c r="K28" s="787"/>
      <c r="L28" s="756" t="s">
        <v>1759</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21588</v>
      </c>
      <c r="D29" s="2366"/>
      <c r="E29" s="2367"/>
      <c r="F29" s="2368"/>
      <c r="G29" s="3223"/>
      <c r="H29" s="794" t="s">
        <v>1760</v>
      </c>
      <c r="I29" s="795" t="s">
        <v>1761</v>
      </c>
      <c r="J29" s="796">
        <f ca="1">ROUND(J26/(1+F40)^F41,0)</f>
        <v>0</v>
      </c>
      <c r="K29" s="797" t="s">
        <v>1762</v>
      </c>
      <c r="L29" s="798"/>
      <c r="M29" s="799">
        <f ca="1">INDIRECT("'数据-取费表'!k"&amp;$G$1)</f>
        <v>41534</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1860</v>
      </c>
      <c r="B30" s="1714" t="s">
        <v>1763</v>
      </c>
      <c r="C30" s="764">
        <f ca="1">ROUND(C31+C36+C37+C38,0)</f>
        <v>1070</v>
      </c>
      <c r="D30" s="1708" t="s">
        <v>1764</v>
      </c>
      <c r="E30" s="2307"/>
      <c r="F30" s="2312"/>
      <c r="G30" s="1916"/>
      <c r="H30" s="1919"/>
      <c r="I30" s="1920"/>
      <c r="J30" s="1921"/>
      <c r="K30" s="1922"/>
      <c r="L30" s="1923"/>
      <c r="M30" s="1924"/>
    </row>
    <row r="31" spans="1:33" ht="18" customHeight="1">
      <c r="A31" s="1550" t="s">
        <v>1803</v>
      </c>
      <c r="B31" s="756" t="s">
        <v>633</v>
      </c>
      <c r="C31" s="2982">
        <f ca="1">ROUND(IF(AND(项目基本情况!B11="自然人",项目基本情况!B10="北京市"),C6*F31/(1+'数据-取费表'!C42),C32+C33+C34),0)</f>
        <v>543</v>
      </c>
      <c r="D31" s="1864" t="s">
        <v>1765</v>
      </c>
      <c r="E31" s="1862" t="s">
        <v>1766</v>
      </c>
      <c r="F31" s="2981">
        <f ca="1">IF(项目基本情况!B11="企业","——",IF('数据-取费表'!B10="住宅",IF(F6*F7*F8/12/(1+'数据-取费表'!F30)&gt;100000,4%,2.5%),IF(F6*F7*F8/12/(1+'数据-取费表'!F30)&gt;100000,12%,7%)))</f>
        <v>0.12</v>
      </c>
      <c r="G31" s="1916"/>
      <c r="H31" s="3220" t="s">
        <v>2960</v>
      </c>
      <c r="I31" s="1920"/>
      <c r="J31" s="1921"/>
      <c r="K31" s="1922"/>
      <c r="L31" s="1923"/>
      <c r="M31" s="1924"/>
    </row>
    <row r="32" spans="1:33" ht="18" customHeight="1">
      <c r="A32" s="1549" t="s">
        <v>1804</v>
      </c>
      <c r="B32" s="756" t="s">
        <v>1767</v>
      </c>
      <c r="C32" s="53">
        <f ca="1">ROUND(C6*F32/(1+'数据-取费表'!C42),1)</f>
        <v>168.7</v>
      </c>
      <c r="D32" s="1862" t="s">
        <v>1768</v>
      </c>
      <c r="E32" s="756" t="s">
        <v>1769</v>
      </c>
      <c r="F32" s="781">
        <f>'数据-取费表'!B41</f>
        <v>5.5000000000000007E-2</v>
      </c>
      <c r="G32" s="1916"/>
      <c r="H32" s="1925"/>
      <c r="I32" s="1926"/>
      <c r="J32" s="1927"/>
      <c r="K32" s="1928"/>
      <c r="L32" s="1929"/>
      <c r="M32" s="1930"/>
    </row>
    <row r="33" spans="1:18" ht="18" customHeight="1">
      <c r="A33" s="1549" t="s">
        <v>1805</v>
      </c>
      <c r="B33" s="756" t="s">
        <v>1770</v>
      </c>
      <c r="C33" s="53">
        <f ca="1">IF(D33="按租金收入计税",ROUND(C6*F33/(1+'数据-取费表'!C42),1),IF(D33="按房产原值计税",ROUND(C29*F33*0.7,1),INDIRECT("'数据-取费表'!Aj"&amp;$G$1)))</f>
        <v>368.1</v>
      </c>
      <c r="D33" s="782" t="s">
        <v>3142</v>
      </c>
      <c r="E33" s="756" t="s">
        <v>1769</v>
      </c>
      <c r="F33" s="781">
        <f>IF(D33="按租金收入计税",'数据-取费表'!B51,'数据-取费表'!B50)</f>
        <v>0.12</v>
      </c>
      <c r="G33" s="1916"/>
      <c r="H33" s="1931"/>
      <c r="I33" s="1931"/>
      <c r="J33" s="1931"/>
      <c r="K33" s="1932"/>
      <c r="L33" s="1931"/>
      <c r="M33" s="1931"/>
    </row>
    <row r="34" spans="1:18" ht="18" customHeight="1">
      <c r="A34" s="1552" t="s">
        <v>1806</v>
      </c>
      <c r="B34" s="339" t="s">
        <v>1771</v>
      </c>
      <c r="C34" s="54">
        <f ca="1">ROUND(F34*F35/10000,1)</f>
        <v>6.2</v>
      </c>
      <c r="D34" s="785" t="s">
        <v>1772</v>
      </c>
      <c r="E34" s="756" t="s">
        <v>1773</v>
      </c>
      <c r="F34" s="614">
        <f>'数据-取费表'!B52</f>
        <v>1.5</v>
      </c>
      <c r="G34" s="1916"/>
      <c r="H34" s="1919"/>
      <c r="I34" s="806" t="s">
        <v>1786</v>
      </c>
      <c r="J34" s="807"/>
      <c r="K34" s="1934"/>
      <c r="L34" s="1933"/>
      <c r="M34" s="1933"/>
    </row>
    <row r="35" spans="1:18" ht="18" customHeight="1">
      <c r="A35" s="786"/>
      <c r="B35" s="765"/>
      <c r="C35" s="69"/>
      <c r="D35" s="787"/>
      <c r="E35" s="756" t="s">
        <v>1774</v>
      </c>
      <c r="F35" s="757">
        <f ca="1">INDIRECT("'数据-取费表'!r"&amp;$G$1)</f>
        <v>41534</v>
      </c>
      <c r="G35" s="1916"/>
      <c r="H35" s="1919"/>
      <c r="I35" s="808" t="s">
        <v>1787</v>
      </c>
      <c r="J35" s="809">
        <f ca="1">ROUND(C13*J36,0)</f>
        <v>0</v>
      </c>
      <c r="K35" s="1932"/>
      <c r="L35" s="1931"/>
      <c r="M35" s="1931"/>
    </row>
    <row r="36" spans="1:18" ht="18" customHeight="1">
      <c r="A36" s="1550" t="s">
        <v>1856</v>
      </c>
      <c r="B36" s="756" t="s">
        <v>1775</v>
      </c>
      <c r="C36" s="53">
        <f ca="1">ROUND(C29*F36,1)</f>
        <v>431.8</v>
      </c>
      <c r="D36" s="1862" t="s">
        <v>1776</v>
      </c>
      <c r="E36" s="756" t="s">
        <v>1769</v>
      </c>
      <c r="F36" s="788">
        <f ca="1">INDIRECT("'数据-取费表'!Ak"&amp;$G$1)</f>
        <v>0.02</v>
      </c>
      <c r="G36" s="1916"/>
      <c r="H36" s="1931"/>
      <c r="I36" s="810" t="s">
        <v>1788</v>
      </c>
      <c r="J36" s="811">
        <f ca="1">INDIRECT("'数据-取费表'!j"&amp;$G$1)</f>
        <v>0</v>
      </c>
      <c r="K36" s="1935"/>
      <c r="L36" s="1931"/>
      <c r="M36" s="1931"/>
    </row>
    <row r="37" spans="1:18" ht="18" customHeight="1">
      <c r="A37" s="1550" t="s">
        <v>1857</v>
      </c>
      <c r="B37" s="756" t="s">
        <v>656</v>
      </c>
      <c r="C37" s="53">
        <f ca="1">ROUND(C13*F37,1)</f>
        <v>30.2</v>
      </c>
      <c r="D37" s="1862" t="s">
        <v>1777</v>
      </c>
      <c r="E37" s="756" t="s">
        <v>1769</v>
      </c>
      <c r="F37" s="789">
        <f ca="1">INDIRECT("'数据-取费表'!Al"&amp;$G$1)</f>
        <v>2E-3</v>
      </c>
      <c r="G37" s="1916"/>
      <c r="H37" s="1931"/>
      <c r="I37" s="812" t="s">
        <v>1789</v>
      </c>
      <c r="J37" s="813"/>
      <c r="K37" s="1935"/>
      <c r="L37" s="1931"/>
      <c r="M37" s="1931"/>
    </row>
    <row r="38" spans="1:18" ht="18" customHeight="1" thickBot="1">
      <c r="A38" s="2372" t="s">
        <v>1858</v>
      </c>
      <c r="B38" s="2367" t="s">
        <v>643</v>
      </c>
      <c r="C38" s="2365">
        <f ca="1">ROUND(C5*F38,1)</f>
        <v>64.5</v>
      </c>
      <c r="D38" s="2366" t="s">
        <v>1778</v>
      </c>
      <c r="E38" s="2367" t="s">
        <v>1769</v>
      </c>
      <c r="F38" s="2363">
        <f ca="1">INDIRECT("'数据-取费表'!Am"&amp;$G$1)</f>
        <v>0.02</v>
      </c>
      <c r="G38" s="1916"/>
      <c r="H38" s="1931"/>
      <c r="I38" s="814" t="s">
        <v>1790</v>
      </c>
      <c r="J38" s="815"/>
      <c r="K38" s="1936"/>
      <c r="L38" s="1931"/>
      <c r="M38" s="1931"/>
    </row>
    <row r="39" spans="1:18" ht="24.6" customHeight="1" thickTop="1">
      <c r="A39" s="1716" t="s">
        <v>1861</v>
      </c>
      <c r="B39" s="2690" t="s">
        <v>2772</v>
      </c>
      <c r="C39" s="764">
        <f ca="1">C5-C30</f>
        <v>2155</v>
      </c>
      <c r="D39" s="2369" t="s">
        <v>1779</v>
      </c>
      <c r="E39" s="2370"/>
      <c r="F39" s="2371"/>
      <c r="G39" s="1916"/>
      <c r="H39" s="1931"/>
      <c r="I39" s="808" t="s">
        <v>1791</v>
      </c>
      <c r="J39" s="816">
        <f ca="1">ROUND(J35/C39,3)</f>
        <v>0</v>
      </c>
      <c r="K39" s="1936"/>
      <c r="L39" s="1931"/>
      <c r="M39" s="1931"/>
    </row>
    <row r="40" spans="1:18" ht="18" customHeight="1">
      <c r="A40" s="753" t="s">
        <v>1862</v>
      </c>
      <c r="B40" s="2082" t="s">
        <v>2264</v>
      </c>
      <c r="C40" s="755">
        <f ca="1">ROUND(C39*(1-((1+F42)/(1+F40))^F41)/(F40-F42),0)</f>
        <v>34579</v>
      </c>
      <c r="D40" s="785" t="s">
        <v>1780</v>
      </c>
      <c r="E40" s="756" t="s">
        <v>2379</v>
      </c>
      <c r="F40" s="766">
        <f ca="1">INDIRECT("'数据-取费表'!I"&amp;$G$1)</f>
        <v>5.5E-2</v>
      </c>
      <c r="G40" s="1916"/>
      <c r="H40" s="1916"/>
      <c r="I40" s="808" t="s">
        <v>1792</v>
      </c>
      <c r="J40" s="816">
        <f ca="1">1-J39</f>
        <v>1</v>
      </c>
      <c r="K40" s="1936"/>
      <c r="L40" s="1916"/>
      <c r="M40" s="1916"/>
    </row>
    <row r="41" spans="1:18" ht="18" customHeight="1">
      <c r="A41" s="758"/>
      <c r="B41" s="759"/>
      <c r="C41" s="760"/>
      <c r="D41" s="792" t="s">
        <v>1781</v>
      </c>
      <c r="E41" s="756" t="s">
        <v>2897</v>
      </c>
      <c r="F41" s="793">
        <f ca="1">IF(INDIRECT("'数据-取费表'!af"&amp;$G$1)=0,INDIRECT("'数据-取费表'!ae"&amp;$G$1),INDIRECT("'数据-取费表'!af"&amp;$G$1))</f>
        <v>40</v>
      </c>
      <c r="G41" s="1916"/>
      <c r="H41" s="1871"/>
      <c r="I41" s="814" t="s">
        <v>1793</v>
      </c>
      <c r="J41" s="817"/>
      <c r="K41" s="1935"/>
      <c r="L41" s="1871"/>
      <c r="M41" s="1871"/>
    </row>
    <row r="42" spans="1:18" ht="18" customHeight="1">
      <c r="A42" s="762"/>
      <c r="B42" s="763"/>
      <c r="C42" s="764"/>
      <c r="D42" s="787"/>
      <c r="E42" s="756" t="s">
        <v>1782</v>
      </c>
      <c r="F42" s="766">
        <f ca="1">INDIRECT("'数据-取费表'!v"&amp;$G$1)</f>
        <v>0</v>
      </c>
      <c r="G42" s="1916"/>
      <c r="H42" s="1871"/>
      <c r="I42" s="818" t="s">
        <v>1794</v>
      </c>
      <c r="J42" s="816">
        <f ca="1">ROUND(C13/C40,3)</f>
        <v>0.437</v>
      </c>
      <c r="K42" s="1935"/>
      <c r="L42" s="1871"/>
      <c r="M42" s="1871"/>
    </row>
    <row r="43" spans="1:18" ht="18" customHeight="1" thickBot="1">
      <c r="A43" s="794" t="s">
        <v>1760</v>
      </c>
      <c r="B43" s="795" t="s">
        <v>1783</v>
      </c>
      <c r="C43" s="796">
        <f ca="1">ROUND(C40*10000/F43,0)</f>
        <v>8325</v>
      </c>
      <c r="D43" s="797" t="s">
        <v>1784</v>
      </c>
      <c r="E43" s="798" t="s">
        <v>1785</v>
      </c>
      <c r="F43" s="799">
        <f ca="1">INDIRECT("'数据-取费表'!k"&amp;$G$1)</f>
        <v>41534</v>
      </c>
      <c r="G43" s="1916"/>
      <c r="H43" s="1871"/>
      <c r="I43" s="818" t="s">
        <v>1795</v>
      </c>
      <c r="J43" s="819">
        <f ca="1">1-J42</f>
        <v>0.56299999999999994</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-42089</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40</v>
      </c>
      <c r="M47" s="1508" t="str">
        <f>IF(ISNUMBER(FIND("住宅",C1)),"住宅","非住宅")</f>
        <v>非住宅</v>
      </c>
      <c r="O47" s="2220" t="s">
        <v>2335</v>
      </c>
      <c r="P47" s="2221" t="s">
        <v>2336</v>
      </c>
      <c r="Q47" s="2222" t="s">
        <v>2337</v>
      </c>
      <c r="R47" s="2221" t="s">
        <v>2338</v>
      </c>
    </row>
    <row r="48" spans="1:18" s="1913" customFormat="1" ht="18" customHeight="1" thickBot="1">
      <c r="A48" s="2451" t="s">
        <v>2489</v>
      </c>
      <c r="B48" s="2452" t="s">
        <v>2490</v>
      </c>
      <c r="C48" s="2199">
        <f ca="1">ROUND(F48*F50*F49*(1-F51)/10000,0)</f>
        <v>0</v>
      </c>
      <c r="D48" s="2200" t="s">
        <v>613</v>
      </c>
      <c r="E48" s="2201" t="s">
        <v>2259</v>
      </c>
      <c r="F48" s="2202"/>
      <c r="G48" s="1943"/>
      <c r="I48" s="2763" t="s">
        <v>2305</v>
      </c>
      <c r="J48" s="2207" t="s">
        <v>2328</v>
      </c>
      <c r="K48" s="2773" t="s">
        <v>2311</v>
      </c>
      <c r="L48" s="1794">
        <f ca="1">INDIRECT("'数据-取费表'!f"&amp;$G$1)</f>
        <v>40</v>
      </c>
      <c r="M48" s="3225"/>
      <c r="O48" s="2223" t="s">
        <v>2339</v>
      </c>
      <c r="P48" s="2224" t="s">
        <v>2365</v>
      </c>
      <c r="Q48" s="2225">
        <f ca="1">C40+J29</f>
        <v>34579</v>
      </c>
      <c r="R48" s="2224" t="s">
        <v>2340</v>
      </c>
    </row>
    <row r="49" spans="1:18" s="1913" customFormat="1" ht="18" customHeight="1" thickBot="1">
      <c r="A49" s="758"/>
      <c r="B49" s="759"/>
      <c r="C49" s="760"/>
      <c r="D49" s="761"/>
      <c r="E49" s="756" t="s">
        <v>1712</v>
      </c>
      <c r="F49" s="757">
        <f ca="1">F7</f>
        <v>41534</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1713</v>
      </c>
      <c r="F50" s="757">
        <f ca="1">F8</f>
        <v>365</v>
      </c>
      <c r="G50" s="1948"/>
      <c r="H50" s="1946"/>
      <c r="I50" s="2763" t="s">
        <v>2307</v>
      </c>
      <c r="J50" s="2770">
        <f>SUMPRODUCT((I63:I65=J47)*(J62:L62=J48)*(J63:L65))</f>
        <v>50</v>
      </c>
      <c r="K50" s="2774" t="s">
        <v>2313</v>
      </c>
      <c r="L50" s="2209"/>
      <c r="M50" s="3225"/>
      <c r="O50" s="2226" t="s">
        <v>2343</v>
      </c>
      <c r="P50" s="2224" t="s">
        <v>2367</v>
      </c>
      <c r="Q50" s="2225">
        <f ca="1">C29</f>
        <v>21588</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107750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2906</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40</v>
      </c>
      <c r="K53" s="3749" t="s">
        <v>2899</v>
      </c>
      <c r="L53" s="3750"/>
      <c r="M53" s="3225"/>
      <c r="O53" s="2226" t="s">
        <v>2348</v>
      </c>
      <c r="P53" s="2224" t="s">
        <v>2349</v>
      </c>
      <c r="Q53" s="2225">
        <f ca="1">J53</f>
        <v>40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9"/>
      <c r="M54" s="3225"/>
      <c r="O54" s="2223" t="s">
        <v>2351</v>
      </c>
      <c r="P54" s="2224" t="s">
        <v>2368</v>
      </c>
      <c r="Q54" s="2225">
        <f ca="1">Q48+Q49</f>
        <v>34579</v>
      </c>
      <c r="R54" s="2228" t="s">
        <v>2352</v>
      </c>
    </row>
    <row r="55" spans="1:18" s="1913" customFormat="1" ht="18" customHeight="1" thickTop="1" thickBot="1">
      <c r="A55" s="769">
        <v>2</v>
      </c>
      <c r="B55" s="770" t="s">
        <v>621</v>
      </c>
      <c r="C55" s="771">
        <f ca="1">C13</f>
        <v>15112</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2265</v>
      </c>
      <c r="C56" s="53">
        <f ca="1">C29</f>
        <v>21588</v>
      </c>
      <c r="D56" s="2448"/>
      <c r="E56" s="756"/>
      <c r="F56" s="781"/>
      <c r="I56" s="2782" t="s">
        <v>2317</v>
      </c>
      <c r="J56" s="2792" t="s">
        <v>1651</v>
      </c>
      <c r="K56" s="2763" t="s">
        <v>2322</v>
      </c>
      <c r="L56" s="1794" t="str">
        <f ca="1">IF(L48&lt;J51,"——",L48-J51)</f>
        <v>——</v>
      </c>
      <c r="M56" s="3225"/>
      <c r="O56" s="2220" t="s">
        <v>2335</v>
      </c>
      <c r="P56" s="2221" t="s">
        <v>2336</v>
      </c>
      <c r="Q56" s="2222" t="s">
        <v>2337</v>
      </c>
      <c r="R56" s="2221" t="s">
        <v>2338</v>
      </c>
    </row>
    <row r="57" spans="1:18" s="1913" customFormat="1" ht="28.5" customHeight="1" thickBot="1">
      <c r="A57" s="769" t="s">
        <v>1721</v>
      </c>
      <c r="B57" s="770" t="s">
        <v>628</v>
      </c>
      <c r="C57" s="771">
        <f ca="1">ROUND(C58+C63+C64+C65,0)</f>
        <v>468</v>
      </c>
      <c r="D57" s="26" t="s">
        <v>1723</v>
      </c>
      <c r="E57" s="2449"/>
      <c r="F57" s="56"/>
      <c r="I57" s="2783" t="s">
        <v>2318</v>
      </c>
      <c r="J57" s="2784" t="str">
        <f ca="1">IF(OR(M47="住宅",J51&lt;L48,J56="是"),"——",J51-L48)</f>
        <v>——</v>
      </c>
      <c r="K57" s="2763" t="s">
        <v>2323</v>
      </c>
      <c r="L57" s="1794" t="str">
        <f ca="1">IF(L48&lt;J51,"——",IF(L55="比较法",L49,IF(L55="基准地价",L50,L51)))</f>
        <v>——</v>
      </c>
      <c r="M57" s="3225"/>
      <c r="O57" s="2223" t="s">
        <v>2339</v>
      </c>
      <c r="P57" s="2224" t="s">
        <v>2369</v>
      </c>
      <c r="Q57" s="2225">
        <f ca="1">C40+J29</f>
        <v>34579</v>
      </c>
      <c r="R57" s="2224" t="s">
        <v>2340</v>
      </c>
    </row>
    <row r="58" spans="1:18" s="1913" customFormat="1" ht="28.5" customHeight="1" thickBot="1">
      <c r="A58" s="1550" t="s">
        <v>1797</v>
      </c>
      <c r="B58" s="756" t="s">
        <v>633</v>
      </c>
      <c r="C58" s="2982">
        <f ca="1">ROUND(IF(AND(项目基本情况!B11="自然人",项目基本情况!B10="北京市"),C48*F58/(1+'数据-取费表'!C42),C59+C60+C61),0)</f>
        <v>6</v>
      </c>
      <c r="D58" s="2447" t="s">
        <v>634</v>
      </c>
      <c r="E58" s="2448"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f ca="1">L60</f>
        <v>0</v>
      </c>
      <c r="R58" s="2228" t="s">
        <v>2374</v>
      </c>
    </row>
    <row r="59" spans="1:18" s="1913" customFormat="1" ht="28.5" customHeight="1" thickBot="1">
      <c r="A59" s="1549" t="s">
        <v>1804</v>
      </c>
      <c r="B59" s="756" t="s">
        <v>637</v>
      </c>
      <c r="C59" s="53">
        <f ca="1">ROUND(C47*F59/1.05,1)</f>
        <v>0</v>
      </c>
      <c r="D59" s="2448" t="s">
        <v>1729</v>
      </c>
      <c r="E59" s="756" t="s">
        <v>1720</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1731</v>
      </c>
      <c r="C60" s="53">
        <f ca="1">IF(D60="按租金收入计税",ROUND(C48*F60/(1+'数据-取费表'!C42),1),IF(D60="按房产原值计税",ROUND(C56*F60*0.7,1),INDIRECT("'数据-取费表'!Aj"&amp;$G$1)))</f>
        <v>0</v>
      </c>
      <c r="D60" s="2448" t="str">
        <f>D33</f>
        <v>按租金收入计税</v>
      </c>
      <c r="E60" s="756" t="s">
        <v>1720</v>
      </c>
      <c r="F60" s="781">
        <f t="shared" si="0"/>
        <v>0.12</v>
      </c>
      <c r="I60" s="2785" t="s">
        <v>2321</v>
      </c>
      <c r="J60" s="2786" t="str">
        <f ca="1">IF(OR(M47="住宅",J51&lt;L48,J56="是"),"0",ROUND(J59/(1+J52)^J53,0))</f>
        <v>0</v>
      </c>
      <c r="K60" s="2787" t="s">
        <v>2326</v>
      </c>
      <c r="L60" s="2786">
        <f ca="1">IF(OR(M47="住宅",L48&lt;J51),0,ROUND(L57*(L58/L59-1),0))</f>
        <v>0</v>
      </c>
      <c r="M60" s="3225"/>
      <c r="O60" s="2226" t="s">
        <v>2344</v>
      </c>
      <c r="P60" s="2224" t="s">
        <v>2353</v>
      </c>
      <c r="Q60" s="2227">
        <f>L52</f>
        <v>0</v>
      </c>
      <c r="R60" s="2228"/>
    </row>
    <row r="61" spans="1:18" s="1913" customFormat="1" ht="18" customHeight="1" thickBot="1">
      <c r="A61" s="1552" t="s">
        <v>1806</v>
      </c>
      <c r="B61" s="339" t="s">
        <v>645</v>
      </c>
      <c r="C61" s="54">
        <f ca="1">ROUND(F61*F62/10000,1)</f>
        <v>6.2</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41534</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431.8</v>
      </c>
      <c r="D63" s="2448" t="s">
        <v>1776</v>
      </c>
      <c r="E63" s="756" t="s">
        <v>1720</v>
      </c>
      <c r="F63" s="788">
        <f t="shared" ca="1" si="0"/>
        <v>0.02</v>
      </c>
      <c r="I63" s="2788" t="s">
        <v>2330</v>
      </c>
      <c r="J63" s="2789">
        <v>70</v>
      </c>
      <c r="K63" s="2789">
        <v>50</v>
      </c>
      <c r="L63" s="2789">
        <v>80</v>
      </c>
      <c r="M63" s="2791">
        <v>0.02</v>
      </c>
      <c r="O63" s="2223" t="s">
        <v>2351</v>
      </c>
      <c r="P63" s="2224" t="s">
        <v>2368</v>
      </c>
      <c r="Q63" s="2225">
        <f ca="1">Q57+Q58</f>
        <v>34579</v>
      </c>
      <c r="R63" s="2228" t="s">
        <v>2352</v>
      </c>
    </row>
    <row r="64" spans="1:18" s="1913" customFormat="1" ht="16.5" thickBot="1">
      <c r="A64" s="1550" t="s">
        <v>1857</v>
      </c>
      <c r="B64" s="756" t="s">
        <v>656</v>
      </c>
      <c r="C64" s="53">
        <f ca="1">ROUND(C55*F64,1)</f>
        <v>30.2</v>
      </c>
      <c r="D64" s="2448" t="s">
        <v>657</v>
      </c>
      <c r="E64" s="756" t="s">
        <v>1720</v>
      </c>
      <c r="F64" s="789">
        <f t="shared" ca="1" si="0"/>
        <v>2E-3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2448" t="s">
        <v>660</v>
      </c>
      <c r="E65" s="756" t="s">
        <v>1720</v>
      </c>
      <c r="F65" s="766">
        <f t="shared" ca="1" si="0"/>
        <v>0.02</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-468</v>
      </c>
      <c r="D66" s="2447" t="s">
        <v>677</v>
      </c>
      <c r="E66" s="2446"/>
      <c r="F66" s="791"/>
      <c r="K66" s="1939"/>
      <c r="O66" s="2223" t="s">
        <v>2339</v>
      </c>
      <c r="P66" s="2224" t="s">
        <v>2369</v>
      </c>
      <c r="Q66" s="2225">
        <f ca="1">C40+J29</f>
        <v>34579</v>
      </c>
      <c r="R66" s="2224" t="s">
        <v>2340</v>
      </c>
    </row>
    <row r="67" spans="1:18" s="1913" customFormat="1" ht="20.25" thickBot="1">
      <c r="A67" s="753" t="s">
        <v>1753</v>
      </c>
      <c r="B67" s="2082" t="s">
        <v>2264</v>
      </c>
      <c r="C67" s="755">
        <f ca="1">ROUND(C66*(1-((1+F69)/(1+F67))^F68)/(F67-F69),0)</f>
        <v>-7510</v>
      </c>
      <c r="D67" s="785" t="s">
        <v>681</v>
      </c>
      <c r="E67" s="756" t="s">
        <v>682</v>
      </c>
      <c r="F67" s="766">
        <f ca="1">F40</f>
        <v>5.5E-2</v>
      </c>
      <c r="K67" s="1939"/>
      <c r="O67" s="2223" t="s">
        <v>2341</v>
      </c>
      <c r="P67" s="2224" t="s">
        <v>2372</v>
      </c>
      <c r="Q67" s="2225">
        <f ca="1">L60</f>
        <v>0</v>
      </c>
      <c r="R67" s="2228" t="s">
        <v>2374</v>
      </c>
    </row>
    <row r="68" spans="1:18" ht="21.75" thickBot="1">
      <c r="A68" s="758"/>
      <c r="B68" s="759"/>
      <c r="C68" s="760"/>
      <c r="D68" s="792" t="s">
        <v>1781</v>
      </c>
      <c r="E68" s="756" t="s">
        <v>1757</v>
      </c>
      <c r="F68" s="793">
        <f ca="1">F41</f>
        <v>40</v>
      </c>
      <c r="O68" s="2226" t="s">
        <v>2343</v>
      </c>
      <c r="P68" s="2224" t="s">
        <v>2373</v>
      </c>
      <c r="Q68" s="2230">
        <f ca="1">L51</f>
        <v>107750</v>
      </c>
      <c r="R68" s="2231" t="s">
        <v>2376</v>
      </c>
    </row>
    <row r="69" spans="1:18" ht="20.25" thickBot="1">
      <c r="A69" s="762"/>
      <c r="B69" s="763"/>
      <c r="C69" s="764"/>
      <c r="D69" s="787"/>
      <c r="E69" s="756" t="s">
        <v>687</v>
      </c>
      <c r="F69" s="2196"/>
      <c r="O69" s="2226" t="s">
        <v>2344</v>
      </c>
      <c r="P69" s="2232" t="s">
        <v>2358</v>
      </c>
      <c r="Q69" s="2225">
        <f ca="1">ROUND(Q70-Q71*Q72,0)</f>
        <v>2155</v>
      </c>
      <c r="R69" s="2228"/>
    </row>
    <row r="70" spans="1:18" ht="15.75" thickBot="1">
      <c r="A70" s="794" t="s">
        <v>1760</v>
      </c>
      <c r="B70" s="795" t="s">
        <v>1783</v>
      </c>
      <c r="C70" s="796">
        <f ca="1">ROUND(C67*10000/F70,0)</f>
        <v>-1808</v>
      </c>
      <c r="D70" s="797" t="s">
        <v>1784</v>
      </c>
      <c r="E70" s="798" t="s">
        <v>1785</v>
      </c>
      <c r="F70" s="799">
        <f ca="1">F43</f>
        <v>41534</v>
      </c>
      <c r="O70" s="2226" t="s">
        <v>2359</v>
      </c>
      <c r="P70" s="2232" t="s">
        <v>2360</v>
      </c>
      <c r="Q70" s="2225">
        <f ca="1">C39</f>
        <v>2155</v>
      </c>
      <c r="R70" s="2224" t="s">
        <v>2340</v>
      </c>
    </row>
    <row r="71" spans="1:18" ht="15.75" thickBot="1">
      <c r="O71" s="2226" t="s">
        <v>2361</v>
      </c>
      <c r="P71" s="2232" t="s">
        <v>2362</v>
      </c>
      <c r="Q71" s="2225">
        <f ca="1">C13</f>
        <v>15112</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f ca="1">Q66+Q67</f>
        <v>34579</v>
      </c>
      <c r="R76" s="2228"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3303</v>
      </c>
      <c r="C1" s="1957"/>
      <c r="D1" s="1957"/>
      <c r="E1" s="1957"/>
      <c r="F1" s="1957"/>
      <c r="G1" s="1957"/>
      <c r="H1" s="1957"/>
      <c r="I1" s="1957"/>
      <c r="J1" s="1957"/>
      <c r="K1" s="416">
        <f>MATCH(B1,'数据-取费表'!A6:A16,0)+5</f>
        <v>8</v>
      </c>
      <c r="L1" s="290"/>
      <c r="M1" s="290"/>
      <c r="N1" s="290"/>
      <c r="O1" s="290"/>
      <c r="P1" s="290"/>
      <c r="Q1" s="290"/>
      <c r="R1" s="290"/>
      <c r="S1" s="290"/>
      <c r="T1" s="290"/>
      <c r="U1" s="290"/>
      <c r="V1" s="290"/>
      <c r="W1" s="290"/>
      <c r="X1" s="290"/>
      <c r="Y1" s="290"/>
      <c r="Z1" s="290"/>
    </row>
    <row r="2" spans="1:41" s="1895" customFormat="1" ht="18" customHeight="1">
      <c r="A2" s="417" t="s">
        <v>460</v>
      </c>
      <c r="B2" s="418">
        <f ca="1">C27</f>
        <v>4535.577917009472</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3982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3982</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265</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9164</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3303</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SUMIF('数据-汇总表'!$C19:$C33,剩余法办公!C7,'数据-汇总表'!$E19:$E33)</f>
        <v>11389.58</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不动产收益法办公!C40</f>
        <v>9164</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1804</v>
      </c>
      <c r="B13" s="442" t="s">
        <v>2977</v>
      </c>
      <c r="C13" s="443">
        <f ca="1">IF(B1="",'数据-取费表'!M16,INDIRECT("'数据-取费表'!M"&amp;$K$1)+INDIRECT("'数据-取费表'!t"&amp;$K$1))</f>
        <v>3417</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103</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228</v>
      </c>
      <c r="D16" s="444">
        <f ca="1">IF(B1="",'数据-汇总表'!E3,INDIRECT("'数据-取费表'!K"&amp;$K$1)+INDIRECT("'数据-取费表'!S"&amp;$K$1))</f>
        <v>11389.58</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51</v>
      </c>
      <c r="D17" s="448"/>
      <c r="E17" s="447"/>
      <c r="F17" s="449">
        <f>剩余法商业!F17</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3799</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38</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182</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576</v>
      </c>
      <c r="D21" s="3242"/>
      <c r="E21" s="455"/>
      <c r="F21" s="472">
        <f ca="1">IF(B1="",'数据-取费表'!Q16,INDIRECT("'数据-取费表'!q"&amp;$K$1))</f>
        <v>0.15</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3217</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480</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92</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4535.577917009472</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 zoomScale="80" zoomScaleNormal="60" zoomScaleSheetLayoutView="80" workbookViewId="0">
      <selection activeCell="E22" sqref="E22"/>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3303</v>
      </c>
      <c r="D1" s="2762" t="s">
        <v>926</v>
      </c>
      <c r="E1" s="2212" t="s">
        <v>845</v>
      </c>
      <c r="F1" s="2213">
        <f ca="1">J53</f>
        <v>50</v>
      </c>
      <c r="G1" s="3221">
        <f>MATCH(C1,'数据-取费表'!A6:A16,0)+5</f>
        <v>8</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460</v>
      </c>
      <c r="B2" s="747">
        <f ca="1">C40+J29+L46</f>
        <v>9164</v>
      </c>
      <c r="C2" s="3226"/>
      <c r="D2" s="3227"/>
      <c r="E2" s="3228"/>
      <c r="F2" s="3228"/>
      <c r="G2" s="3222"/>
      <c r="H2" s="1911"/>
      <c r="I2" s="1911"/>
      <c r="J2" s="1911"/>
      <c r="K2" s="1912"/>
      <c r="L2" s="1911"/>
      <c r="M2" s="1911"/>
    </row>
    <row r="3" spans="1:33" ht="18" customHeight="1" thickBot="1">
      <c r="A3" s="804" t="s">
        <v>496</v>
      </c>
      <c r="B3" s="805">
        <f ca="1">IF(ISERROR(B2*10000/F43),0,ROUND(B2*10000/F43,0))</f>
        <v>8046</v>
      </c>
      <c r="C3" s="3226"/>
      <c r="D3" s="3227"/>
      <c r="E3" s="3228"/>
      <c r="F3" s="3228"/>
      <c r="G3" s="3222"/>
      <c r="H3" s="748" t="s">
        <v>672</v>
      </c>
      <c r="I3" s="1290"/>
      <c r="J3" s="1290"/>
      <c r="K3" s="1499"/>
      <c r="L3" s="1290"/>
      <c r="M3" s="1290"/>
    </row>
    <row r="4" spans="1:33" ht="18" customHeight="1">
      <c r="A4" s="749" t="s">
        <v>607</v>
      </c>
      <c r="B4" s="750" t="s">
        <v>608</v>
      </c>
      <c r="C4" s="750" t="s">
        <v>609</v>
      </c>
      <c r="D4" s="750" t="s">
        <v>610</v>
      </c>
      <c r="E4" s="751" t="s">
        <v>611</v>
      </c>
      <c r="F4" s="752"/>
      <c r="G4" s="1916"/>
      <c r="H4" s="749" t="s">
        <v>607</v>
      </c>
      <c r="I4" s="750" t="s">
        <v>608</v>
      </c>
      <c r="J4" s="750" t="s">
        <v>609</v>
      </c>
      <c r="K4" s="750" t="s">
        <v>610</v>
      </c>
      <c r="L4" s="751" t="s">
        <v>611</v>
      </c>
      <c r="M4" s="752"/>
    </row>
    <row r="5" spans="1:33" ht="18" customHeight="1">
      <c r="A5" s="753">
        <v>1</v>
      </c>
      <c r="B5" s="754" t="s">
        <v>2410</v>
      </c>
      <c r="C5" s="55">
        <f ca="1">C6+C10+C12</f>
        <v>708</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707</v>
      </c>
      <c r="D6" s="2318" t="s">
        <v>2414</v>
      </c>
      <c r="E6" s="756" t="s">
        <v>614</v>
      </c>
      <c r="F6" s="757">
        <f ca="1">INDIRECT("'数据-取费表'!u"&amp;$G$1)</f>
        <v>2</v>
      </c>
      <c r="G6" s="1916"/>
      <c r="H6" s="2325" t="s">
        <v>1797</v>
      </c>
      <c r="I6" s="3751" t="s">
        <v>2415</v>
      </c>
      <c r="J6" s="755">
        <f ca="1">ROUND(M6*M8*M7*(1-M9)/10000,0)</f>
        <v>0</v>
      </c>
      <c r="K6" s="339" t="s">
        <v>613</v>
      </c>
      <c r="L6" s="756" t="s">
        <v>614</v>
      </c>
      <c r="M6" s="757">
        <f ca="1">INDIRECT("'数据-取费表'!z"&amp;$G$1)</f>
        <v>0</v>
      </c>
    </row>
    <row r="7" spans="1:33" ht="18" customHeight="1">
      <c r="A7" s="2321"/>
      <c r="B7" s="3752"/>
      <c r="C7" s="760"/>
      <c r="D7" s="761"/>
      <c r="E7" s="756" t="s">
        <v>615</v>
      </c>
      <c r="F7" s="757">
        <f ca="1">IF(INDIRECT("'数据-取费表'!ah"&amp;$G$1)="",INDIRECT("'数据-取费表'!k"&amp;$G$1),INDIRECT("'数据-取费表'!ah"&amp;$G$1))</f>
        <v>11389.58</v>
      </c>
      <c r="G7" s="1916"/>
      <c r="H7" s="2310"/>
      <c r="I7" s="3752"/>
      <c r="J7" s="760"/>
      <c r="K7" s="761"/>
      <c r="L7" s="756" t="s">
        <v>615</v>
      </c>
      <c r="M7" s="757">
        <f ca="1">F7</f>
        <v>11389.58</v>
      </c>
    </row>
    <row r="8" spans="1:33" ht="18" customHeight="1">
      <c r="A8" s="2314"/>
      <c r="B8" s="3753"/>
      <c r="C8" s="760"/>
      <c r="D8" s="761"/>
      <c r="E8" s="756" t="s">
        <v>616</v>
      </c>
      <c r="F8" s="757">
        <f ca="1">INDIRECT("'数据-取费表'!ai"&amp;$G$1)</f>
        <v>365</v>
      </c>
      <c r="G8" s="1916"/>
      <c r="H8" s="2310"/>
      <c r="I8" s="3753"/>
      <c r="J8" s="760"/>
      <c r="K8" s="761"/>
      <c r="L8" s="756" t="s">
        <v>616</v>
      </c>
      <c r="M8" s="757">
        <f ca="1">INDIRECT("'数据-取费表'!ai"&amp;$G$1)</f>
        <v>365</v>
      </c>
    </row>
    <row r="9" spans="1:33" ht="18" customHeight="1">
      <c r="A9" s="758"/>
      <c r="B9" s="3754"/>
      <c r="C9" s="760"/>
      <c r="D9" s="761"/>
      <c r="E9" s="756" t="s">
        <v>617</v>
      </c>
      <c r="F9" s="766">
        <f ca="1">INDIRECT("'数据-取费表'!w"&amp;$G$1)</f>
        <v>0.15</v>
      </c>
      <c r="G9" s="1916"/>
      <c r="H9" s="2326"/>
      <c r="I9" s="3753"/>
      <c r="J9" s="760"/>
      <c r="K9" s="761"/>
      <c r="L9" s="767" t="s">
        <v>617</v>
      </c>
      <c r="M9" s="768">
        <f ca="1">INDIRECT("'数据-取费表'!ab"&amp;$G$1)</f>
        <v>0</v>
      </c>
    </row>
    <row r="10" spans="1:33" ht="18" customHeight="1">
      <c r="A10" s="1717" t="s">
        <v>1798</v>
      </c>
      <c r="B10" s="2315" t="s">
        <v>2411</v>
      </c>
      <c r="C10" s="771">
        <f ca="1">ROUND(IF(F10="押一",C6/12*F11,IF(F10="押二",C6/12*2*F11,IF(F10="押三",C6/12*3*F11,C11*F11))),0)</f>
        <v>1</v>
      </c>
      <c r="D10" s="2322" t="s">
        <v>2905</v>
      </c>
      <c r="E10" s="2319" t="s">
        <v>2416</v>
      </c>
      <c r="F10" s="2432" t="s">
        <v>3141</v>
      </c>
      <c r="G10" s="1916"/>
      <c r="H10" s="2382" t="s">
        <v>1798</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2408</v>
      </c>
      <c r="F11" s="768">
        <f ca="1">'数据-取费表'!B39</f>
        <v>1.4999999999999999E-2</v>
      </c>
      <c r="G11" s="1916"/>
      <c r="H11" s="2383"/>
      <c r="I11" s="2316" t="s">
        <v>2525</v>
      </c>
      <c r="J11" s="2320"/>
      <c r="K11" s="2384"/>
      <c r="L11" s="2319" t="s">
        <v>2408</v>
      </c>
      <c r="M11" s="2313">
        <f ca="1">'数据-取费表'!B39</f>
        <v>1.4999999999999999E-2</v>
      </c>
    </row>
    <row r="12" spans="1:33" ht="18" customHeight="1" thickBot="1">
      <c r="A12" s="2358" t="s">
        <v>2419</v>
      </c>
      <c r="B12" s="2359" t="s">
        <v>2412</v>
      </c>
      <c r="C12" s="2360"/>
      <c r="D12" s="2361"/>
      <c r="E12" s="2362"/>
      <c r="F12" s="2363"/>
      <c r="G12" s="1916"/>
      <c r="H12" s="2372" t="s">
        <v>2419</v>
      </c>
      <c r="I12" s="2385" t="s">
        <v>2412</v>
      </c>
      <c r="J12" s="2386"/>
      <c r="K12" s="2361"/>
      <c r="L12" s="2362"/>
      <c r="M12" s="2375"/>
    </row>
    <row r="13" spans="1:33" ht="18" customHeight="1" thickTop="1">
      <c r="A13" s="1716">
        <v>2</v>
      </c>
      <c r="B13" s="1714" t="s">
        <v>621</v>
      </c>
      <c r="C13" s="764">
        <f ca="1">ROUND(C29*F13,0)</f>
        <v>3438</v>
      </c>
      <c r="D13" s="1721" t="s">
        <v>2260</v>
      </c>
      <c r="E13" s="1721" t="s">
        <v>620</v>
      </c>
      <c r="F13" s="2357">
        <f ca="1">INDIRECT("'数据-取费表'!y"&amp;$G$1)</f>
        <v>0.7</v>
      </c>
      <c r="G13" s="1916"/>
      <c r="H13" s="1716">
        <v>2</v>
      </c>
      <c r="I13" s="1714" t="s">
        <v>621</v>
      </c>
      <c r="J13" s="1706">
        <f ca="1">ROUND(J14*J15,0)</f>
        <v>0</v>
      </c>
      <c r="K13" s="1708" t="s">
        <v>619</v>
      </c>
      <c r="L13" s="2373"/>
      <c r="M13" s="2374"/>
    </row>
    <row r="14" spans="1:33" ht="18" customHeight="1">
      <c r="A14" s="1549" t="s">
        <v>1804</v>
      </c>
      <c r="B14" s="756" t="s">
        <v>622</v>
      </c>
      <c r="C14" s="776">
        <f ca="1">INDIRECT("'数据-取费表'!m"&amp;$G$1)+INDIRECT("'数据-取费表'!t"&amp;$G$1)</f>
        <v>3417</v>
      </c>
      <c r="D14" s="3441" t="s">
        <v>623</v>
      </c>
      <c r="E14" s="3442"/>
      <c r="F14" s="777"/>
      <c r="G14" s="1916"/>
      <c r="H14" s="1550" t="s">
        <v>1797</v>
      </c>
      <c r="I14" s="2081" t="s">
        <v>2775</v>
      </c>
      <c r="J14" s="53">
        <f ca="1">C29</f>
        <v>4911</v>
      </c>
      <c r="K14" s="26"/>
      <c r="L14" s="773"/>
      <c r="M14" s="774"/>
    </row>
    <row r="15" spans="1:33" s="1918" customFormat="1" ht="18" customHeight="1" thickBot="1">
      <c r="A15" s="1549" t="s">
        <v>1805</v>
      </c>
      <c r="B15" s="756" t="s">
        <v>624</v>
      </c>
      <c r="C15" s="53">
        <f ca="1">ROUND(C14*F15,0)</f>
        <v>103</v>
      </c>
      <c r="D15" s="778" t="s">
        <v>625</v>
      </c>
      <c r="E15" s="778" t="s">
        <v>626</v>
      </c>
      <c r="F15" s="779">
        <f>'数据-取费表'!B33</f>
        <v>0.03</v>
      </c>
      <c r="G15" s="3223"/>
      <c r="H15" s="2372" t="s">
        <v>1856</v>
      </c>
      <c r="I15" s="2367" t="s">
        <v>620</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1806</v>
      </c>
      <c r="B16" s="756" t="s">
        <v>627</v>
      </c>
      <c r="C16" s="53">
        <f ca="1">ROUND(INDIRECT("'数据-取费表'!m"&amp;$G$1)*F16,0)</f>
        <v>0</v>
      </c>
      <c r="D16" s="756" t="s">
        <v>625</v>
      </c>
      <c r="E16" s="756" t="s">
        <v>626</v>
      </c>
      <c r="F16" s="781">
        <f ca="1">IF(INDIRECT("'数据-取费表'!c"&amp;$G$1)="住宅",'数据-取费表'!B34,0)</f>
        <v>0</v>
      </c>
      <c r="G16" s="1916"/>
      <c r="H16" s="1716" t="s">
        <v>7</v>
      </c>
      <c r="I16" s="1714" t="s">
        <v>628</v>
      </c>
      <c r="J16" s="764">
        <f ca="1">ROUND(J17+J22+J23+J24,0)</f>
        <v>489</v>
      </c>
      <c r="K16" s="1708" t="s">
        <v>629</v>
      </c>
      <c r="L16" s="3443"/>
      <c r="M16" s="2312"/>
    </row>
    <row r="17" spans="1:33" s="1918" customFormat="1" ht="18" customHeight="1">
      <c r="A17" s="1549" t="s">
        <v>1854</v>
      </c>
      <c r="B17" s="756" t="s">
        <v>630</v>
      </c>
      <c r="C17" s="53">
        <f ca="1">ROUND(F17*(F43+INDIRECT("'数据-取费表'!S"&amp;$G$1))/10000,0)</f>
        <v>228</v>
      </c>
      <c r="D17" s="756" t="s">
        <v>631</v>
      </c>
      <c r="E17" s="756" t="s">
        <v>632</v>
      </c>
      <c r="F17" s="56">
        <f>'数据-取费表'!B35</f>
        <v>200</v>
      </c>
      <c r="G17" s="3223"/>
      <c r="H17" s="1550" t="s">
        <v>1797</v>
      </c>
      <c r="I17" s="756" t="s">
        <v>633</v>
      </c>
      <c r="J17" s="2982">
        <f ca="1">ROUND(IF(AND(项目基本情况!B11="自然人",项目基本情况!B10="北京市"),J6*M17/(1+'数据-取费表'!C42),J18+J19+J20),0)</f>
        <v>415</v>
      </c>
      <c r="K17" s="3441" t="s">
        <v>634</v>
      </c>
      <c r="L17" s="3440" t="s">
        <v>635</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51</v>
      </c>
      <c r="D18" s="756" t="s">
        <v>625</v>
      </c>
      <c r="E18" s="756" t="s">
        <v>626</v>
      </c>
      <c r="F18" s="781">
        <f>'数据-取费表'!B36</f>
        <v>1.4999999999999999E-2</v>
      </c>
      <c r="G18" s="3223"/>
      <c r="H18" s="1549" t="s">
        <v>1804</v>
      </c>
      <c r="I18" s="756" t="s">
        <v>637</v>
      </c>
      <c r="J18" s="53">
        <f ca="1">ROUND(J6*M18/(1+'数据-取费表'!C42),1)</f>
        <v>0</v>
      </c>
      <c r="K18" s="3440" t="s">
        <v>638</v>
      </c>
      <c r="L18" s="756" t="s">
        <v>626</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1797</v>
      </c>
      <c r="B19" s="756" t="s">
        <v>639</v>
      </c>
      <c r="C19" s="53">
        <f ca="1">SUM(C14:C18)</f>
        <v>3799</v>
      </c>
      <c r="D19" s="259" t="s">
        <v>640</v>
      </c>
      <c r="E19" s="3449"/>
      <c r="F19" s="56"/>
      <c r="G19" s="1916"/>
      <c r="H19" s="1549" t="s">
        <v>1805</v>
      </c>
      <c r="I19" s="756" t="s">
        <v>641</v>
      </c>
      <c r="J19" s="53">
        <f ca="1">IF(K19="按租金收入计税",ROUND(J6*M19/(1+'数据-取费表'!C42),1),ROUND(C29*F33*0.7,1))</f>
        <v>412.5</v>
      </c>
      <c r="K19" s="782" t="s">
        <v>642</v>
      </c>
      <c r="L19" s="756" t="s">
        <v>626</v>
      </c>
      <c r="M19" s="781">
        <f>IF(K19="按租金收入计税",'数据-取费表'!B51,'数据-取费表'!B50)</f>
        <v>1.2E-2</v>
      </c>
    </row>
    <row r="20" spans="1:33" s="1918" customFormat="1" ht="18" customHeight="1">
      <c r="A20" s="1550" t="s">
        <v>1856</v>
      </c>
      <c r="B20" s="756" t="s">
        <v>643</v>
      </c>
      <c r="C20" s="53">
        <f ca="1">ROUND(C19*F20,0)</f>
        <v>38</v>
      </c>
      <c r="D20" s="783" t="s">
        <v>644</v>
      </c>
      <c r="E20" s="756" t="s">
        <v>626</v>
      </c>
      <c r="F20" s="781">
        <f>'数据-取费表'!B37</f>
        <v>0.01</v>
      </c>
      <c r="G20" s="3223"/>
      <c r="H20" s="1552" t="s">
        <v>1806</v>
      </c>
      <c r="I20" s="339" t="s">
        <v>645</v>
      </c>
      <c r="J20" s="54">
        <f ca="1">ROUND(M20*M21/10000,0)</f>
        <v>2</v>
      </c>
      <c r="K20" s="785" t="s">
        <v>646</v>
      </c>
      <c r="L20" s="756" t="s">
        <v>647</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648</v>
      </c>
      <c r="C21" s="53" t="s">
        <v>1</v>
      </c>
      <c r="D21" s="783" t="s">
        <v>2261</v>
      </c>
      <c r="E21" s="756" t="s">
        <v>650</v>
      </c>
      <c r="F21" s="781">
        <f>'数据-取费表'!B38</f>
        <v>0.01</v>
      </c>
      <c r="G21" s="3223"/>
      <c r="H21" s="2327"/>
      <c r="I21" s="765"/>
      <c r="J21" s="69"/>
      <c r="K21" s="787"/>
      <c r="L21" s="756" t="s">
        <v>651</v>
      </c>
      <c r="M21" s="757">
        <f ca="1">INDIRECT("'数据-取费表'!r"&amp;$G$1)</f>
        <v>11389.58</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652</v>
      </c>
      <c r="C22" s="53"/>
      <c r="D22" s="2391" t="str">
        <f>IF(F23&lt;=1,"单利计息。","复利计息。")&amp;"建造成本、管理费用、销售费用产生的利息。"</f>
        <v>复利计息。建造成本、管理费用、销售费用产生的利息。</v>
      </c>
      <c r="E22" s="3449"/>
      <c r="F22" s="56"/>
      <c r="G22" s="1916"/>
      <c r="H22" s="1550" t="s">
        <v>1856</v>
      </c>
      <c r="I22" s="756" t="s">
        <v>653</v>
      </c>
      <c r="J22" s="53">
        <f ca="1">ROUND(J14*M22,0)</f>
        <v>74</v>
      </c>
      <c r="K22" s="3440" t="s">
        <v>654</v>
      </c>
      <c r="L22" s="756" t="s">
        <v>626</v>
      </c>
      <c r="M22" s="788">
        <f ca="1">INDIRECT("'数据-取费表'!Ak"&amp;$G$1)</f>
        <v>1.4999999999999999E-2</v>
      </c>
    </row>
    <row r="23" spans="1:33" s="1918" customFormat="1" ht="18" customHeight="1">
      <c r="A23" s="1549" t="s">
        <v>1804</v>
      </c>
      <c r="B23" s="756" t="s">
        <v>2391</v>
      </c>
      <c r="C23" s="53">
        <f ca="1">ROUND(IF('数据-取费表'!B22&lt;=1,(C19+C20)*F24*F23/2,(C19+C20)*(POWER((1+F24),F23/2)-1)),0)</f>
        <v>182</v>
      </c>
      <c r="D23" s="2390" t="str">
        <f>IF(F23&lt;=1,"(建造成本+管理费用)×利率×(建设周期÷2)","(建造成本+管理费用)×((1+利率)^(建设周期÷2)-1)")</f>
        <v>(建造成本+管理费用)×((1+利率)^(建设周期÷2)-1)</v>
      </c>
      <c r="E23" s="756" t="s">
        <v>655</v>
      </c>
      <c r="F23" s="614">
        <f>'数据-取费表'!B20</f>
        <v>2</v>
      </c>
      <c r="G23" s="3223"/>
      <c r="H23" s="1550" t="s">
        <v>1857</v>
      </c>
      <c r="I23" s="756" t="s">
        <v>656</v>
      </c>
      <c r="J23" s="53">
        <f ca="1">ROUND(J13*M23,0)</f>
        <v>0</v>
      </c>
      <c r="K23" s="3440" t="s">
        <v>657</v>
      </c>
      <c r="L23" s="756" t="s">
        <v>626</v>
      </c>
      <c r="M23" s="789">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658</v>
      </c>
      <c r="C24" s="53">
        <f ca="1">ROUND(IF('数据-取费表'!B22&lt;=1,F21*F24*F23/2,F21*(POWER((1+F24),F23/2)-1)),4)</f>
        <v>5.0000000000000001E-4</v>
      </c>
      <c r="D24" s="2390" t="str">
        <f>IF(F23&lt;=1,"销售费用×利率×(建设周期÷2)","销售费用×((1+利率)^(建设周期÷2)-1)")</f>
        <v>销售费用×((1+利率)^(建设周期÷2)-1)</v>
      </c>
      <c r="E24" s="756" t="s">
        <v>659</v>
      </c>
      <c r="F24" s="790">
        <f ca="1">'数据-取费表'!B40</f>
        <v>4.7500000000000001E-2</v>
      </c>
      <c r="G24" s="3223"/>
      <c r="H24" s="2372" t="s">
        <v>1858</v>
      </c>
      <c r="I24" s="2367" t="s">
        <v>643</v>
      </c>
      <c r="J24" s="2365">
        <f ca="1">ROUND(J5*M24,0)</f>
        <v>0</v>
      </c>
      <c r="K24" s="2366" t="s">
        <v>660</v>
      </c>
      <c r="L24" s="2367" t="s">
        <v>626</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662</v>
      </c>
      <c r="E25" s="3449"/>
      <c r="F25" s="56"/>
      <c r="G25" s="1916"/>
      <c r="H25" s="1716" t="s">
        <v>1749</v>
      </c>
      <c r="I25" s="2690" t="s">
        <v>2772</v>
      </c>
      <c r="J25" s="764">
        <f ca="1">J5-J16</f>
        <v>-489</v>
      </c>
      <c r="K25" s="2369" t="s">
        <v>677</v>
      </c>
      <c r="L25" s="2370"/>
      <c r="M25" s="2371"/>
    </row>
    <row r="26" spans="1:33" ht="18" customHeight="1">
      <c r="A26" s="1549" t="s">
        <v>1804</v>
      </c>
      <c r="B26" s="756" t="s">
        <v>2392</v>
      </c>
      <c r="C26" s="53">
        <f ca="1">ROUND((C19+C20)*F26,0)</f>
        <v>576</v>
      </c>
      <c r="D26" s="783" t="s">
        <v>678</v>
      </c>
      <c r="E26" s="767" t="s">
        <v>679</v>
      </c>
      <c r="F26" s="766">
        <f ca="1">INDIRECT("'数据-取费表'!q"&amp;$G$1)</f>
        <v>0.15</v>
      </c>
      <c r="G26" s="1916"/>
      <c r="H26" s="2323" t="s">
        <v>1753</v>
      </c>
      <c r="I26" s="2082" t="s">
        <v>2777</v>
      </c>
      <c r="J26" s="755">
        <f ca="1">IF(J5&lt;&gt;0,ROUND(J25*(1-((1+M28)/(1+M26))^M27)/(M26-M28),0),0)</f>
        <v>0</v>
      </c>
      <c r="K26" s="785" t="s">
        <v>681</v>
      </c>
      <c r="L26" s="756" t="s">
        <v>2379</v>
      </c>
      <c r="M26" s="766">
        <f ca="1">INDIRECT("'数据-取费表'!I"&amp;$G$1)</f>
        <v>0.05</v>
      </c>
    </row>
    <row r="27" spans="1:33" ht="18" customHeight="1">
      <c r="A27" s="1549" t="s">
        <v>1805</v>
      </c>
      <c r="B27" s="756" t="s">
        <v>663</v>
      </c>
      <c r="C27" s="53">
        <f ca="1">ROUND(F21*F26,4)</f>
        <v>1.5E-3</v>
      </c>
      <c r="D27" s="783" t="s">
        <v>683</v>
      </c>
      <c r="E27" s="778"/>
      <c r="F27" s="779"/>
      <c r="G27" s="1916"/>
      <c r="H27" s="2324"/>
      <c r="I27" s="759"/>
      <c r="J27" s="760"/>
      <c r="K27" s="792" t="s">
        <v>684</v>
      </c>
      <c r="L27" s="756" t="s">
        <v>685</v>
      </c>
      <c r="M27" s="793">
        <f ca="1">INDIRECT("'数据-取费表'!ag"&amp;$G$1)</f>
        <v>0</v>
      </c>
    </row>
    <row r="28" spans="1:33" s="1918" customFormat="1" ht="18" customHeight="1">
      <c r="A28" s="1551" t="s">
        <v>1814</v>
      </c>
      <c r="B28" s="756" t="s">
        <v>664</v>
      </c>
      <c r="C28" s="53">
        <f>ROUND(F28/(1+'数据-取费表'!C42),4)</f>
        <v>5.2400000000000002E-2</v>
      </c>
      <c r="D28" s="783" t="s">
        <v>2262</v>
      </c>
      <c r="E28" s="756" t="s">
        <v>626</v>
      </c>
      <c r="F28" s="781">
        <f>'数据-取费表'!B41</f>
        <v>5.5000000000000007E-2</v>
      </c>
      <c r="G28" s="3223"/>
      <c r="H28" s="1716"/>
      <c r="I28" s="763"/>
      <c r="J28" s="764"/>
      <c r="K28" s="787"/>
      <c r="L28" s="756" t="s">
        <v>687</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4911</v>
      </c>
      <c r="D29" s="2366"/>
      <c r="E29" s="2367"/>
      <c r="F29" s="2368"/>
      <c r="G29" s="3223"/>
      <c r="H29" s="794" t="s">
        <v>1760</v>
      </c>
      <c r="I29" s="795" t="s">
        <v>1761</v>
      </c>
      <c r="J29" s="796">
        <f ca="1">ROUND(J26/(1+F40)^F41,0)</f>
        <v>0</v>
      </c>
      <c r="K29" s="797" t="s">
        <v>665</v>
      </c>
      <c r="L29" s="798"/>
      <c r="M29" s="799">
        <f ca="1">INDIRECT("'数据-取费表'!k"&amp;$G$1)</f>
        <v>11389.58</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7</v>
      </c>
      <c r="B30" s="1714" t="s">
        <v>628</v>
      </c>
      <c r="C30" s="764">
        <f ca="1">ROUND(C31+C36+C37+C38,0)</f>
        <v>206</v>
      </c>
      <c r="D30" s="1708" t="s">
        <v>629</v>
      </c>
      <c r="E30" s="3443"/>
      <c r="F30" s="2312"/>
      <c r="G30" s="1916"/>
      <c r="H30" s="1919"/>
      <c r="I30" s="1920"/>
      <c r="J30" s="1921"/>
      <c r="K30" s="1922"/>
      <c r="L30" s="1923"/>
      <c r="M30" s="1924"/>
    </row>
    <row r="31" spans="1:33" ht="18" customHeight="1">
      <c r="A31" s="1550" t="s">
        <v>1797</v>
      </c>
      <c r="B31" s="756" t="s">
        <v>633</v>
      </c>
      <c r="C31" s="2982">
        <f ca="1">ROUND(IF(AND(项目基本情况!B11="自然人",项目基本情况!B10="北京市"),C6*F31/(1+'数据-取费表'!C42),C32+C33+C34),0)</f>
        <v>120</v>
      </c>
      <c r="D31" s="3441" t="s">
        <v>634</v>
      </c>
      <c r="E31" s="3440" t="s">
        <v>667</v>
      </c>
      <c r="F31" s="2981">
        <f ca="1">IF(项目基本情况!B11="企业","——",IF('数据-取费表'!B10="住宅",IF(F6*F7*F8/12/(1+'数据-取费表'!F30)&gt;100000,4%,2.5%),IF(F6*F7*F8/12/(1+'数据-取费表'!F30)&gt;100000,12%,7%)))</f>
        <v>0.12</v>
      </c>
      <c r="G31" s="1916"/>
      <c r="H31" s="3220" t="s">
        <v>2959</v>
      </c>
      <c r="I31" s="1920"/>
      <c r="J31" s="1921"/>
      <c r="K31" s="1922"/>
      <c r="L31" s="1923"/>
      <c r="M31" s="1924"/>
    </row>
    <row r="32" spans="1:33" ht="18" customHeight="1">
      <c r="A32" s="1549" t="s">
        <v>1804</v>
      </c>
      <c r="B32" s="756" t="s">
        <v>637</v>
      </c>
      <c r="C32" s="53">
        <f ca="1">ROUND(C6*F32/(1+'数据-取费表'!C42),1)</f>
        <v>37</v>
      </c>
      <c r="D32" s="3440" t="s">
        <v>638</v>
      </c>
      <c r="E32" s="756" t="s">
        <v>626</v>
      </c>
      <c r="F32" s="781">
        <f>'数据-取费表'!B41</f>
        <v>5.5000000000000007E-2</v>
      </c>
      <c r="G32" s="1916"/>
      <c r="H32" s="1925"/>
      <c r="I32" s="1926"/>
      <c r="J32" s="1927"/>
      <c r="K32" s="1928"/>
      <c r="L32" s="1929"/>
      <c r="M32" s="1930"/>
    </row>
    <row r="33" spans="1:18" ht="18" customHeight="1">
      <c r="A33" s="1549" t="s">
        <v>1805</v>
      </c>
      <c r="B33" s="756" t="s">
        <v>641</v>
      </c>
      <c r="C33" s="53">
        <f ca="1">IF(D33="按租金收入计税",ROUND(C6*F33/(1+'数据-取费表'!C42),1),IF(D33="按房产原值计税",ROUND(C29*F33*0.7,1),INDIRECT("'数据-取费表'!Aj"&amp;$G$1)))</f>
        <v>80.8</v>
      </c>
      <c r="D33" s="782" t="s">
        <v>3142</v>
      </c>
      <c r="E33" s="756" t="s">
        <v>626</v>
      </c>
      <c r="F33" s="781">
        <f>IF(D33="按租金收入计税",'数据-取费表'!B51,'数据-取费表'!B50)</f>
        <v>0.12</v>
      </c>
      <c r="G33" s="1916"/>
      <c r="H33" s="1931"/>
      <c r="I33" s="1931"/>
      <c r="J33" s="1931"/>
      <c r="K33" s="1932"/>
      <c r="L33" s="1931"/>
      <c r="M33" s="1931"/>
    </row>
    <row r="34" spans="1:18" ht="18" customHeight="1">
      <c r="A34" s="1552" t="s">
        <v>1806</v>
      </c>
      <c r="B34" s="339" t="s">
        <v>645</v>
      </c>
      <c r="C34" s="54">
        <f ca="1">ROUND(F34*F35/10000,1)</f>
        <v>1.7</v>
      </c>
      <c r="D34" s="785" t="s">
        <v>646</v>
      </c>
      <c r="E34" s="756" t="s">
        <v>647</v>
      </c>
      <c r="F34" s="614">
        <f>'数据-取费表'!B52</f>
        <v>1.5</v>
      </c>
      <c r="G34" s="1916"/>
      <c r="H34" s="1919"/>
      <c r="I34" s="806" t="s">
        <v>1786</v>
      </c>
      <c r="J34" s="807"/>
      <c r="K34" s="1934"/>
      <c r="L34" s="1933"/>
      <c r="M34" s="1933"/>
    </row>
    <row r="35" spans="1:18" ht="18" customHeight="1">
      <c r="A35" s="786"/>
      <c r="B35" s="765"/>
      <c r="C35" s="69"/>
      <c r="D35" s="787"/>
      <c r="E35" s="756" t="s">
        <v>651</v>
      </c>
      <c r="F35" s="757">
        <f ca="1">INDIRECT("'数据-取费表'!r"&amp;$G$1)</f>
        <v>11389.58</v>
      </c>
      <c r="G35" s="1916"/>
      <c r="H35" s="1919"/>
      <c r="I35" s="808" t="s">
        <v>1787</v>
      </c>
      <c r="J35" s="809">
        <f ca="1">ROUND(C13*J36,0)</f>
        <v>0</v>
      </c>
      <c r="K35" s="1932"/>
      <c r="L35" s="1931"/>
      <c r="M35" s="1931"/>
    </row>
    <row r="36" spans="1:18" ht="18" customHeight="1">
      <c r="A36" s="1550" t="s">
        <v>1856</v>
      </c>
      <c r="B36" s="756" t="s">
        <v>653</v>
      </c>
      <c r="C36" s="53">
        <f ca="1">ROUND(C29*F36,1)</f>
        <v>73.7</v>
      </c>
      <c r="D36" s="3440" t="s">
        <v>668</v>
      </c>
      <c r="E36" s="756" t="s">
        <v>626</v>
      </c>
      <c r="F36" s="788">
        <f ca="1">INDIRECT("'数据-取费表'!Ak"&amp;$G$1)</f>
        <v>1.4999999999999999E-2</v>
      </c>
      <c r="G36" s="1916"/>
      <c r="H36" s="1931"/>
      <c r="I36" s="810" t="s">
        <v>1788</v>
      </c>
      <c r="J36" s="811">
        <f ca="1">INDIRECT("'数据-取费表'!j"&amp;$G$1)</f>
        <v>0</v>
      </c>
      <c r="K36" s="1935"/>
      <c r="L36" s="1931"/>
      <c r="M36" s="1931"/>
    </row>
    <row r="37" spans="1:18" ht="18" customHeight="1">
      <c r="A37" s="1550" t="s">
        <v>1857</v>
      </c>
      <c r="B37" s="756" t="s">
        <v>656</v>
      </c>
      <c r="C37" s="53">
        <f ca="1">ROUND(C13*F37,1)</f>
        <v>5.2</v>
      </c>
      <c r="D37" s="3440" t="s">
        <v>657</v>
      </c>
      <c r="E37" s="756" t="s">
        <v>626</v>
      </c>
      <c r="F37" s="789">
        <f ca="1">INDIRECT("'数据-取费表'!Al"&amp;$G$1)</f>
        <v>1.5E-3</v>
      </c>
      <c r="G37" s="1916"/>
      <c r="H37" s="1931"/>
      <c r="I37" s="812" t="s">
        <v>1789</v>
      </c>
      <c r="J37" s="813"/>
      <c r="K37" s="1935"/>
      <c r="L37" s="1931"/>
      <c r="M37" s="1931"/>
    </row>
    <row r="38" spans="1:18" ht="18" customHeight="1" thickBot="1">
      <c r="A38" s="2372" t="s">
        <v>1858</v>
      </c>
      <c r="B38" s="2367" t="s">
        <v>643</v>
      </c>
      <c r="C38" s="2365">
        <f ca="1">ROUND(C5*F38,1)</f>
        <v>7.1</v>
      </c>
      <c r="D38" s="2366" t="s">
        <v>660</v>
      </c>
      <c r="E38" s="2367" t="s">
        <v>626</v>
      </c>
      <c r="F38" s="2363">
        <f ca="1">INDIRECT("'数据-取费表'!Am"&amp;$G$1)</f>
        <v>0.01</v>
      </c>
      <c r="G38" s="1916"/>
      <c r="H38" s="1931"/>
      <c r="I38" s="814" t="s">
        <v>1790</v>
      </c>
      <c r="J38" s="815"/>
      <c r="K38" s="1936"/>
      <c r="L38" s="1931"/>
      <c r="M38" s="1931"/>
    </row>
    <row r="39" spans="1:18" ht="24.6" customHeight="1" thickTop="1">
      <c r="A39" s="1716" t="s">
        <v>1749</v>
      </c>
      <c r="B39" s="2690" t="s">
        <v>2772</v>
      </c>
      <c r="C39" s="764">
        <f ca="1">C5-C30</f>
        <v>502</v>
      </c>
      <c r="D39" s="2369" t="s">
        <v>677</v>
      </c>
      <c r="E39" s="2370"/>
      <c r="F39" s="2371"/>
      <c r="G39" s="1916"/>
      <c r="H39" s="1931"/>
      <c r="I39" s="808" t="s">
        <v>1791</v>
      </c>
      <c r="J39" s="816">
        <f ca="1">ROUND(J35/C39,3)</f>
        <v>0</v>
      </c>
      <c r="K39" s="1936"/>
      <c r="L39" s="1931"/>
      <c r="M39" s="1931"/>
    </row>
    <row r="40" spans="1:18" ht="18" customHeight="1">
      <c r="A40" s="753" t="s">
        <v>1753</v>
      </c>
      <c r="B40" s="2082" t="s">
        <v>2264</v>
      </c>
      <c r="C40" s="755">
        <f ca="1">ROUND(C39*(1-((1+F42)/(1+F40))^F41)/(F40-F42),0)</f>
        <v>9164</v>
      </c>
      <c r="D40" s="785" t="s">
        <v>681</v>
      </c>
      <c r="E40" s="756" t="s">
        <v>2379</v>
      </c>
      <c r="F40" s="766">
        <f ca="1">INDIRECT("'数据-取费表'!I"&amp;$G$1)</f>
        <v>0.05</v>
      </c>
      <c r="G40" s="1916"/>
      <c r="H40" s="1916"/>
      <c r="I40" s="808" t="s">
        <v>1792</v>
      </c>
      <c r="J40" s="816">
        <f ca="1">1-J39</f>
        <v>1</v>
      </c>
      <c r="K40" s="1936"/>
      <c r="L40" s="1916"/>
      <c r="M40" s="1916"/>
    </row>
    <row r="41" spans="1:18" ht="18" customHeight="1">
      <c r="A41" s="758"/>
      <c r="B41" s="759"/>
      <c r="C41" s="760"/>
      <c r="D41" s="792" t="s">
        <v>1781</v>
      </c>
      <c r="E41" s="756" t="s">
        <v>685</v>
      </c>
      <c r="F41" s="793">
        <f ca="1">IF(INDIRECT("'数据-取费表'!af"&amp;$G$1)=0,INDIRECT("'数据-取费表'!ae"&amp;$G$1),INDIRECT("'数据-取费表'!af"&amp;$G$1))</f>
        <v>50</v>
      </c>
      <c r="G41" s="1916"/>
      <c r="H41" s="1871"/>
      <c r="I41" s="814" t="s">
        <v>1793</v>
      </c>
      <c r="J41" s="817"/>
      <c r="K41" s="1935"/>
      <c r="L41" s="1871"/>
      <c r="M41" s="1871"/>
    </row>
    <row r="42" spans="1:18" ht="18" customHeight="1">
      <c r="A42" s="762"/>
      <c r="B42" s="763"/>
      <c r="C42" s="764"/>
      <c r="D42" s="787"/>
      <c r="E42" s="756" t="s">
        <v>687</v>
      </c>
      <c r="F42" s="766">
        <f ca="1">INDIRECT("'数据-取费表'!v"&amp;$G$1)</f>
        <v>0</v>
      </c>
      <c r="G42" s="1916"/>
      <c r="H42" s="1871"/>
      <c r="I42" s="818" t="s">
        <v>1794</v>
      </c>
      <c r="J42" s="816">
        <f ca="1">ROUND(C13/C40,3)</f>
        <v>0.375</v>
      </c>
      <c r="K42" s="1935"/>
      <c r="L42" s="1871"/>
      <c r="M42" s="1871"/>
    </row>
    <row r="43" spans="1:18" ht="18" customHeight="1" thickBot="1">
      <c r="A43" s="794" t="s">
        <v>1760</v>
      </c>
      <c r="B43" s="795" t="s">
        <v>1783</v>
      </c>
      <c r="C43" s="796">
        <f ca="1">ROUND(C40*10000/F43,0)</f>
        <v>8046</v>
      </c>
      <c r="D43" s="797" t="s">
        <v>1784</v>
      </c>
      <c r="E43" s="798" t="s">
        <v>1785</v>
      </c>
      <c r="F43" s="799">
        <f ca="1">INDIRECT("'数据-取费表'!k"&amp;$G$1)</f>
        <v>11389.58</v>
      </c>
      <c r="G43" s="1916"/>
      <c r="H43" s="1871"/>
      <c r="I43" s="818" t="s">
        <v>1795</v>
      </c>
      <c r="J43" s="819">
        <f ca="1">1-J42</f>
        <v>0.625</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-10643</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50</v>
      </c>
      <c r="M47" s="1508" t="str">
        <f>IF(ISNUMBER(FIND("住宅",C1)),"住宅","非住宅")</f>
        <v>非住宅</v>
      </c>
      <c r="O47" s="2220" t="s">
        <v>2335</v>
      </c>
      <c r="P47" s="2221" t="s">
        <v>2336</v>
      </c>
      <c r="Q47" s="2222" t="s">
        <v>2337</v>
      </c>
      <c r="R47" s="2221" t="s">
        <v>2338</v>
      </c>
    </row>
    <row r="48" spans="1:18" s="1913" customFormat="1" ht="18" customHeight="1" thickBot="1">
      <c r="A48" s="2451" t="s">
        <v>1837</v>
      </c>
      <c r="B48" s="2452" t="s">
        <v>2490</v>
      </c>
      <c r="C48" s="2199">
        <f ca="1">ROUND(F48*F50*F49*(1-F51)/10000,0)</f>
        <v>0</v>
      </c>
      <c r="D48" s="2200" t="s">
        <v>613</v>
      </c>
      <c r="E48" s="2201" t="s">
        <v>2259</v>
      </c>
      <c r="F48" s="2202"/>
      <c r="G48" s="1943"/>
      <c r="I48" s="2763" t="s">
        <v>2305</v>
      </c>
      <c r="J48" s="2207" t="s">
        <v>2328</v>
      </c>
      <c r="K48" s="2773" t="s">
        <v>2311</v>
      </c>
      <c r="L48" s="1794">
        <f ca="1">INDIRECT("'数据-取费表'!f"&amp;$G$1)</f>
        <v>50</v>
      </c>
      <c r="M48" s="3225"/>
      <c r="O48" s="2223" t="s">
        <v>2339</v>
      </c>
      <c r="P48" s="2224" t="s">
        <v>2365</v>
      </c>
      <c r="Q48" s="2225">
        <f ca="1">C40+J29</f>
        <v>9164</v>
      </c>
      <c r="R48" s="2224" t="s">
        <v>2340</v>
      </c>
    </row>
    <row r="49" spans="1:18" s="1913" customFormat="1" ht="18" customHeight="1" thickBot="1">
      <c r="A49" s="758"/>
      <c r="B49" s="759"/>
      <c r="C49" s="760"/>
      <c r="D49" s="761"/>
      <c r="E49" s="756" t="s">
        <v>615</v>
      </c>
      <c r="F49" s="757">
        <f ca="1">F7</f>
        <v>11389.58</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616</v>
      </c>
      <c r="F50" s="757">
        <f ca="1">F8</f>
        <v>365</v>
      </c>
      <c r="G50" s="1948"/>
      <c r="H50" s="1946"/>
      <c r="I50" s="2763" t="s">
        <v>2307</v>
      </c>
      <c r="J50" s="2770">
        <f>SUMPRODUCT((I63:I65=J47)*(J62:L62=J48)*(J63:L65))</f>
        <v>50</v>
      </c>
      <c r="K50" s="2774" t="s">
        <v>2313</v>
      </c>
      <c r="L50" s="2209"/>
      <c r="M50" s="3225"/>
      <c r="O50" s="2226" t="s">
        <v>2343</v>
      </c>
      <c r="P50" s="2224" t="s">
        <v>2367</v>
      </c>
      <c r="Q50" s="2225">
        <f ca="1">C29</f>
        <v>4911</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25100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2905</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50</v>
      </c>
      <c r="K53" s="3749" t="s">
        <v>2899</v>
      </c>
      <c r="L53" s="3750"/>
      <c r="M53" s="3225"/>
      <c r="O53" s="2226" t="s">
        <v>2348</v>
      </c>
      <c r="P53" s="2224" t="s">
        <v>2349</v>
      </c>
      <c r="Q53" s="2225">
        <f ca="1">J53</f>
        <v>50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5"/>
      <c r="O54" s="2223" t="s">
        <v>2351</v>
      </c>
      <c r="P54" s="2224" t="s">
        <v>2368</v>
      </c>
      <c r="Q54" s="2225">
        <f ca="1">Q48+Q49</f>
        <v>9164</v>
      </c>
      <c r="R54" s="2228" t="s">
        <v>2352</v>
      </c>
    </row>
    <row r="55" spans="1:18" s="1913" customFormat="1" ht="18" customHeight="1" thickTop="1" thickBot="1">
      <c r="A55" s="769">
        <v>2</v>
      </c>
      <c r="B55" s="770" t="s">
        <v>621</v>
      </c>
      <c r="C55" s="771">
        <f ca="1">C13</f>
        <v>3438</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2263</v>
      </c>
      <c r="C56" s="53">
        <f ca="1">C29</f>
        <v>4911</v>
      </c>
      <c r="D56" s="3440"/>
      <c r="E56" s="756"/>
      <c r="F56" s="781"/>
      <c r="I56" s="2782" t="s">
        <v>2317</v>
      </c>
      <c r="J56" s="2792" t="s">
        <v>1651</v>
      </c>
      <c r="K56" s="2763" t="s">
        <v>2322</v>
      </c>
      <c r="L56" s="1794">
        <f ca="1">IF(L48&lt;J51,"——",L48-J51)</f>
        <v>0</v>
      </c>
      <c r="M56" s="3225"/>
      <c r="O56" s="2220" t="s">
        <v>2335</v>
      </c>
      <c r="P56" s="2221" t="s">
        <v>2336</v>
      </c>
      <c r="Q56" s="2222" t="s">
        <v>2337</v>
      </c>
      <c r="R56" s="2221" t="s">
        <v>2338</v>
      </c>
    </row>
    <row r="57" spans="1:18" s="1913" customFormat="1" ht="28.5" customHeight="1" thickBot="1">
      <c r="A57" s="769" t="s">
        <v>7</v>
      </c>
      <c r="B57" s="770" t="s">
        <v>628</v>
      </c>
      <c r="C57" s="771">
        <f ca="1">ROUND(C58+C63+C64+C65,0)</f>
        <v>81</v>
      </c>
      <c r="D57" s="26" t="s">
        <v>629</v>
      </c>
      <c r="E57" s="3449"/>
      <c r="F57" s="56"/>
      <c r="I57" s="2783" t="s">
        <v>2318</v>
      </c>
      <c r="J57" s="2784" t="str">
        <f ca="1">IF(OR(M47="住宅",J51&lt;L48,J56="是"),"——",J51-L48)</f>
        <v>——</v>
      </c>
      <c r="K57" s="2763" t="s">
        <v>2323</v>
      </c>
      <c r="L57" s="1794">
        <f ca="1">IF(L48&lt;J51,"——",IF(L55="比较法",L49,IF(L55="基准地价",L50,L51)))</f>
        <v>25100</v>
      </c>
      <c r="M57" s="3225"/>
      <c r="O57" s="2223" t="s">
        <v>2339</v>
      </c>
      <c r="P57" s="2224" t="s">
        <v>2365</v>
      </c>
      <c r="Q57" s="2225">
        <f ca="1">C40+J29</f>
        <v>9164</v>
      </c>
      <c r="R57" s="2224" t="s">
        <v>2340</v>
      </c>
    </row>
    <row r="58" spans="1:18" s="1913" customFormat="1" ht="28.5" customHeight="1" thickBot="1">
      <c r="A58" s="1550" t="s">
        <v>1797</v>
      </c>
      <c r="B58" s="756" t="s">
        <v>633</v>
      </c>
      <c r="C58" s="2982">
        <f ca="1">ROUND(IF(AND(项目基本情况!B11="自然人",项目基本情况!B10="北京市"),C48*F58/(1+'数据-取费表'!C42),C59+C60+C61),0)</f>
        <v>2</v>
      </c>
      <c r="D58" s="3441" t="s">
        <v>634</v>
      </c>
      <c r="E58" s="3440"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t="e">
        <f ca="1">L60</f>
        <v>#DIV/0!</v>
      </c>
      <c r="R58" s="2228" t="s">
        <v>2374</v>
      </c>
    </row>
    <row r="59" spans="1:18" s="1913" customFormat="1" ht="28.5" customHeight="1" thickBot="1">
      <c r="A59" s="1549" t="s">
        <v>1804</v>
      </c>
      <c r="B59" s="756" t="s">
        <v>637</v>
      </c>
      <c r="C59" s="53">
        <f ca="1">ROUND(C47*F59/1.05,1)</f>
        <v>0</v>
      </c>
      <c r="D59" s="3440" t="s">
        <v>638</v>
      </c>
      <c r="E59" s="756" t="s">
        <v>626</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641</v>
      </c>
      <c r="C60" s="53">
        <f ca="1">IF(D60="按租金收入计税",ROUND(C48*F60/(1+'数据-取费表'!C42),1),IF(D60="按房产原值计税",ROUND(C56*F60*0.7,1),INDIRECT("'数据-取费表'!Aj"&amp;$G$1)))</f>
        <v>0</v>
      </c>
      <c r="D60" s="3440" t="str">
        <f>D33</f>
        <v>按租金收入计税</v>
      </c>
      <c r="E60" s="756" t="s">
        <v>626</v>
      </c>
      <c r="F60" s="781">
        <f t="shared" si="0"/>
        <v>0.12</v>
      </c>
      <c r="I60" s="2785" t="s">
        <v>2321</v>
      </c>
      <c r="J60" s="2786" t="str">
        <f ca="1">IF(OR(M47="住宅",J51&lt;L48,J56="是"),"0",ROUND(J59/(1+J52)^J53,0))</f>
        <v>0</v>
      </c>
      <c r="K60" s="2787" t="s">
        <v>2326</v>
      </c>
      <c r="L60" s="2786" t="e">
        <f ca="1">IF(OR(M47="住宅",L48&lt;J51),0,ROUND(L57*(L58/L59-1),0))</f>
        <v>#DIV/0!</v>
      </c>
      <c r="M60" s="3225"/>
      <c r="O60" s="2226" t="s">
        <v>2344</v>
      </c>
      <c r="P60" s="2224" t="s">
        <v>2353</v>
      </c>
      <c r="Q60" s="2227">
        <f>L52</f>
        <v>0</v>
      </c>
      <c r="R60" s="2228"/>
    </row>
    <row r="61" spans="1:18" s="1913" customFormat="1" ht="18" customHeight="1" thickBot="1">
      <c r="A61" s="1552" t="s">
        <v>1806</v>
      </c>
      <c r="B61" s="339" t="s">
        <v>645</v>
      </c>
      <c r="C61" s="54">
        <f ca="1">ROUND(F61*F62/10000,1)</f>
        <v>1.7</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11389.58</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73.7</v>
      </c>
      <c r="D63" s="3440" t="s">
        <v>668</v>
      </c>
      <c r="E63" s="756" t="s">
        <v>626</v>
      </c>
      <c r="F63" s="788">
        <f t="shared" ca="1" si="0"/>
        <v>1.4999999999999999E-2</v>
      </c>
      <c r="I63" s="2788" t="s">
        <v>2330</v>
      </c>
      <c r="J63" s="2789">
        <v>70</v>
      </c>
      <c r="K63" s="2789">
        <v>50</v>
      </c>
      <c r="L63" s="2789">
        <v>80</v>
      </c>
      <c r="M63" s="2791">
        <v>0.02</v>
      </c>
      <c r="O63" s="2223" t="s">
        <v>2351</v>
      </c>
      <c r="P63" s="2224" t="s">
        <v>2368</v>
      </c>
      <c r="Q63" s="2225" t="e">
        <f ca="1">Q57+Q58</f>
        <v>#DIV/0!</v>
      </c>
      <c r="R63" s="2228" t="s">
        <v>2352</v>
      </c>
    </row>
    <row r="64" spans="1:18" s="1913" customFormat="1" ht="16.5" thickBot="1">
      <c r="A64" s="1550" t="s">
        <v>1857</v>
      </c>
      <c r="B64" s="756" t="s">
        <v>656</v>
      </c>
      <c r="C64" s="53">
        <f ca="1">ROUND(C55*F64,1)</f>
        <v>5.2</v>
      </c>
      <c r="D64" s="3440" t="s">
        <v>657</v>
      </c>
      <c r="E64" s="756" t="s">
        <v>626</v>
      </c>
      <c r="F64" s="789">
        <f t="shared" ca="1" si="0"/>
        <v>1.5E-3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3440" t="s">
        <v>660</v>
      </c>
      <c r="E65" s="756" t="s">
        <v>626</v>
      </c>
      <c r="F65" s="766">
        <f t="shared" ca="1" si="0"/>
        <v>0.01</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-81</v>
      </c>
      <c r="D66" s="3441" t="s">
        <v>677</v>
      </c>
      <c r="E66" s="3444"/>
      <c r="F66" s="791"/>
      <c r="K66" s="1939"/>
      <c r="O66" s="2223" t="s">
        <v>2339</v>
      </c>
      <c r="P66" s="2224" t="s">
        <v>2365</v>
      </c>
      <c r="Q66" s="2225">
        <f ca="1">C40+J29</f>
        <v>9164</v>
      </c>
      <c r="R66" s="2224" t="s">
        <v>2340</v>
      </c>
    </row>
    <row r="67" spans="1:18" s="1913" customFormat="1" ht="20.25" thickBot="1">
      <c r="A67" s="753" t="s">
        <v>1753</v>
      </c>
      <c r="B67" s="2082" t="s">
        <v>2264</v>
      </c>
      <c r="C67" s="755">
        <f ca="1">ROUND(C66*(1-((1+F69)/(1+F67))^F68)/(F67-F69),0)</f>
        <v>-1479</v>
      </c>
      <c r="D67" s="785" t="s">
        <v>681</v>
      </c>
      <c r="E67" s="756" t="s">
        <v>682</v>
      </c>
      <c r="F67" s="766">
        <f ca="1">F40</f>
        <v>0.05</v>
      </c>
      <c r="K67" s="1939"/>
      <c r="O67" s="2223" t="s">
        <v>2341</v>
      </c>
      <c r="P67" s="2224" t="s">
        <v>2372</v>
      </c>
      <c r="Q67" s="2225" t="e">
        <f ca="1">L60</f>
        <v>#DIV/0!</v>
      </c>
      <c r="R67" s="2228" t="s">
        <v>2374</v>
      </c>
    </row>
    <row r="68" spans="1:18" ht="21.75" thickBot="1">
      <c r="A68" s="758"/>
      <c r="B68" s="759"/>
      <c r="C68" s="760"/>
      <c r="D68" s="792" t="s">
        <v>1781</v>
      </c>
      <c r="E68" s="756" t="s">
        <v>685</v>
      </c>
      <c r="F68" s="793">
        <f ca="1">F41</f>
        <v>50</v>
      </c>
      <c r="O68" s="2226" t="s">
        <v>2343</v>
      </c>
      <c r="P68" s="2224" t="s">
        <v>2373</v>
      </c>
      <c r="Q68" s="2230">
        <f ca="1">L51</f>
        <v>25100</v>
      </c>
      <c r="R68" s="2231" t="s">
        <v>2376</v>
      </c>
    </row>
    <row r="69" spans="1:18" ht="20.25" thickBot="1">
      <c r="A69" s="762"/>
      <c r="B69" s="763"/>
      <c r="C69" s="764"/>
      <c r="D69" s="787"/>
      <c r="E69" s="756" t="s">
        <v>687</v>
      </c>
      <c r="F69" s="2196"/>
      <c r="O69" s="2226" t="s">
        <v>2344</v>
      </c>
      <c r="P69" s="2232" t="s">
        <v>2358</v>
      </c>
      <c r="Q69" s="2225">
        <f ca="1">ROUND(Q70-Q71*Q72,0)</f>
        <v>502</v>
      </c>
      <c r="R69" s="2228"/>
    </row>
    <row r="70" spans="1:18" ht="15.75" thickBot="1">
      <c r="A70" s="794" t="s">
        <v>1760</v>
      </c>
      <c r="B70" s="795" t="s">
        <v>1783</v>
      </c>
      <c r="C70" s="796">
        <f ca="1">ROUND(C67*10000/F70,0)</f>
        <v>-1299</v>
      </c>
      <c r="D70" s="797" t="s">
        <v>1784</v>
      </c>
      <c r="E70" s="798" t="s">
        <v>1785</v>
      </c>
      <c r="F70" s="799">
        <f ca="1">F43</f>
        <v>11389.58</v>
      </c>
      <c r="O70" s="2226" t="s">
        <v>2359</v>
      </c>
      <c r="P70" s="2232" t="s">
        <v>2360</v>
      </c>
      <c r="Q70" s="2225">
        <f ca="1">C39</f>
        <v>502</v>
      </c>
      <c r="R70" s="2224" t="s">
        <v>2340</v>
      </c>
    </row>
    <row r="71" spans="1:18" ht="15.75" thickBot="1">
      <c r="O71" s="2226" t="s">
        <v>2361</v>
      </c>
      <c r="P71" s="2232" t="s">
        <v>2362</v>
      </c>
      <c r="Q71" s="2225">
        <f ca="1">C13</f>
        <v>3438</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t="e">
        <f ca="1">Q66+Q67</f>
        <v>#DIV/0!</v>
      </c>
      <c r="R76" s="2228"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84" priority="6">
      <formula>$L$48&gt;$J$51</formula>
    </cfRule>
  </conditionalFormatting>
  <conditionalFormatting sqref="I55">
    <cfRule type="expression" dxfId="183" priority="7">
      <formula>$J$51&gt;$L$48</formula>
    </cfRule>
  </conditionalFormatting>
  <conditionalFormatting sqref="I60">
    <cfRule type="expression" dxfId="182" priority="5">
      <formula>$J$51&gt;$L$48</formula>
    </cfRule>
  </conditionalFormatting>
  <conditionalFormatting sqref="K60">
    <cfRule type="expression" dxfId="181" priority="4">
      <formula>$L$48&gt;$J$51</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3">
    <cfRule type="expression" dxfId="17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Q5:R55"/>
  <sheetViews>
    <sheetView workbookViewId="0">
      <selection activeCell="K91" sqref="K91"/>
    </sheetView>
  </sheetViews>
  <sheetFormatPr defaultRowHeight="13.5"/>
  <sheetData>
    <row r="5" spans="18:18">
      <c r="R5" s="3453" t="s">
        <v>3138</v>
      </c>
    </row>
    <row r="26" spans="18:18">
      <c r="R26" s="3453" t="s">
        <v>3137</v>
      </c>
    </row>
    <row r="50" spans="17:17" ht="15.95" customHeight="1"/>
    <row r="55" spans="17:17">
      <c r="Q55" s="3453" t="s">
        <v>3139</v>
      </c>
    </row>
  </sheetData>
  <phoneticPr fontId="225" type="noConversion"/>
  <hyperlinks>
    <hyperlink ref="R26" r:id="rId1" location="weizhiFlag"/>
    <hyperlink ref="R5" r:id="rId2"/>
    <hyperlink ref="Q55"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493</v>
      </c>
      <c r="B1" s="479"/>
      <c r="C1" s="480" t="s">
        <v>494</v>
      </c>
      <c r="D1" s="481" t="s">
        <v>495</v>
      </c>
      <c r="E1" s="482"/>
      <c r="F1" s="422"/>
      <c r="G1" s="482"/>
      <c r="H1" s="482"/>
      <c r="I1" s="482"/>
      <c r="J1" s="482"/>
      <c r="K1" s="483"/>
      <c r="L1" s="3172"/>
      <c r="M1" s="3173"/>
      <c r="N1" s="3173"/>
      <c r="O1" s="3173"/>
      <c r="P1" s="1984"/>
      <c r="Q1" s="1984"/>
      <c r="R1" s="1984"/>
      <c r="S1" s="1984"/>
      <c r="T1" s="1984"/>
      <c r="U1" s="1984"/>
      <c r="V1" s="1984"/>
      <c r="W1" s="1984"/>
      <c r="X1" s="1984"/>
      <c r="Y1" s="1984"/>
      <c r="Z1" s="1984"/>
      <c r="AA1" s="1984"/>
      <c r="AB1" s="1984"/>
      <c r="AC1" s="3174"/>
      <c r="AD1" s="1263"/>
    </row>
    <row r="2" spans="1:30" s="1264" customFormat="1" ht="28.5" customHeight="1">
      <c r="A2" s="417" t="s">
        <v>460</v>
      </c>
      <c r="B2" s="484" t="e">
        <f>F68</f>
        <v>#DIV/0!</v>
      </c>
      <c r="C2" s="3182"/>
      <c r="D2" s="3182"/>
      <c r="E2" s="3184"/>
      <c r="F2" s="3185"/>
      <c r="G2" s="3184"/>
      <c r="H2" s="3184"/>
      <c r="I2" s="3184"/>
      <c r="J2" s="3184"/>
      <c r="K2" s="3186"/>
      <c r="L2" s="1983"/>
      <c r="M2" s="1984"/>
      <c r="N2" s="1984"/>
      <c r="O2" s="1984"/>
      <c r="P2" s="1984"/>
      <c r="Q2" s="1984"/>
      <c r="R2" s="1984"/>
      <c r="S2" s="1984"/>
      <c r="T2" s="1984"/>
      <c r="U2" s="1984"/>
      <c r="V2" s="1984"/>
      <c r="W2" s="1984"/>
      <c r="X2" s="1984"/>
      <c r="Y2" s="1984"/>
      <c r="Z2" s="1984"/>
      <c r="AA2" s="1984"/>
      <c r="AB2" s="1984"/>
      <c r="AC2" s="3174"/>
      <c r="AD2" s="1263"/>
    </row>
    <row r="3" spans="1:30" s="1264" customFormat="1" ht="28.5" customHeight="1">
      <c r="A3" s="1305" t="s">
        <v>1657</v>
      </c>
      <c r="B3" s="486" t="e">
        <f>ROUND(B2*10000/'数据-汇总表'!E3,0)</f>
        <v>#DIV/0!</v>
      </c>
      <c r="C3" s="3183"/>
      <c r="D3" s="3187"/>
      <c r="E3" s="3183"/>
      <c r="F3" s="3183"/>
      <c r="G3" s="3184"/>
      <c r="H3" s="3184"/>
      <c r="I3" s="3184"/>
      <c r="J3" s="3184"/>
      <c r="K3" s="3186"/>
      <c r="L3" s="1983"/>
      <c r="M3" s="1984"/>
      <c r="N3" s="1984"/>
      <c r="O3" s="1984"/>
      <c r="P3" s="1984"/>
      <c r="Q3" s="1984"/>
      <c r="R3" s="1984"/>
      <c r="S3" s="1984"/>
      <c r="T3" s="1984"/>
      <c r="U3" s="1984"/>
      <c r="V3" s="1984"/>
      <c r="W3" s="1984"/>
      <c r="X3" s="1984"/>
      <c r="Y3" s="1984"/>
      <c r="Z3" s="1984"/>
      <c r="AA3" s="1984"/>
      <c r="AB3" s="3175"/>
      <c r="AC3" s="1915"/>
    </row>
    <row r="4" spans="1:30" s="1264" customFormat="1" ht="28.5" customHeight="1">
      <c r="A4" s="487" t="s">
        <v>497</v>
      </c>
      <c r="B4" s="421" t="e">
        <f>IF(B48="单位面积地价",C50,ROUND(B2*10000/'数据-汇总表'!D3,0))</f>
        <v>#DIV/0!</v>
      </c>
      <c r="C4" s="3183"/>
      <c r="D4" s="3187"/>
      <c r="E4" s="3183"/>
      <c r="F4" s="3183"/>
      <c r="G4" s="3184"/>
      <c r="H4" s="3184"/>
      <c r="I4" s="3184"/>
      <c r="J4" s="3184"/>
      <c r="K4" s="3186"/>
      <c r="L4" s="1983"/>
      <c r="M4" s="1984"/>
      <c r="N4" s="1984"/>
      <c r="O4" s="1984"/>
      <c r="P4" s="1984"/>
      <c r="Q4" s="1984"/>
      <c r="R4" s="1984"/>
      <c r="S4" s="1984"/>
      <c r="T4" s="1984"/>
      <c r="U4" s="1984"/>
      <c r="V4" s="1984"/>
      <c r="W4" s="1984"/>
      <c r="X4" s="1984"/>
      <c r="Y4" s="1984"/>
      <c r="Z4" s="1984"/>
      <c r="AA4" s="1984"/>
      <c r="AB4" s="1984"/>
      <c r="AC4" s="1915"/>
    </row>
    <row r="5" spans="1:30" s="1264" customFormat="1" ht="28.5" customHeight="1" thickBot="1">
      <c r="A5" s="423"/>
      <c r="B5" s="424" t="e">
        <f>ROUND(B2/('数据-汇总表'!D3/666.67),0)</f>
        <v>#DIV/0!</v>
      </c>
      <c r="C5" s="425" t="s">
        <v>462</v>
      </c>
      <c r="D5" s="3183"/>
      <c r="E5" s="3183"/>
      <c r="F5" s="3183"/>
      <c r="G5" s="3184"/>
      <c r="H5" s="3184"/>
      <c r="I5" s="3184"/>
      <c r="J5" s="3184"/>
      <c r="K5" s="3186"/>
      <c r="L5" s="1983"/>
      <c r="M5" s="1984"/>
      <c r="N5" s="1984"/>
      <c r="O5" s="1984"/>
      <c r="P5" s="1984"/>
      <c r="Q5" s="1984"/>
      <c r="R5" s="1984"/>
      <c r="S5" s="1984"/>
      <c r="T5" s="1984"/>
      <c r="U5" s="1984"/>
      <c r="V5" s="1984"/>
      <c r="W5" s="1984"/>
      <c r="X5" s="1984"/>
      <c r="Y5" s="1984"/>
      <c r="Z5" s="1984"/>
      <c r="AA5" s="1984"/>
      <c r="AB5" s="1984"/>
      <c r="AC5" s="1915"/>
    </row>
    <row r="6" spans="1:30" ht="20.25">
      <c r="A6" s="488" t="s">
        <v>498</v>
      </c>
      <c r="B6" s="489"/>
      <c r="C6" s="3777" t="s">
        <v>499</v>
      </c>
      <c r="D6" s="3778"/>
      <c r="E6" s="3777" t="s">
        <v>500</v>
      </c>
      <c r="F6" s="3778"/>
      <c r="G6" s="3777" t="s">
        <v>501</v>
      </c>
      <c r="H6" s="3778"/>
      <c r="I6" s="3777" t="s">
        <v>502</v>
      </c>
      <c r="J6" s="3778"/>
      <c r="K6" s="490" t="s">
        <v>503</v>
      </c>
      <c r="L6" s="1985"/>
      <c r="M6" s="1984"/>
      <c r="N6" s="1984"/>
      <c r="O6" s="1986"/>
      <c r="P6" s="3779" t="s">
        <v>504</v>
      </c>
      <c r="Q6" s="3780"/>
      <c r="R6" s="3765" t="s">
        <v>500</v>
      </c>
      <c r="S6" s="3766"/>
      <c r="T6" s="3765" t="s">
        <v>501</v>
      </c>
      <c r="U6" s="3766"/>
      <c r="V6" s="3785" t="s">
        <v>502</v>
      </c>
      <c r="W6" s="3785"/>
      <c r="X6" s="1475"/>
      <c r="Y6" s="3765" t="s">
        <v>504</v>
      </c>
      <c r="Z6" s="3766"/>
      <c r="AA6" s="3760" t="s">
        <v>500</v>
      </c>
      <c r="AB6" s="3761" t="s">
        <v>501</v>
      </c>
      <c r="AC6" s="3760" t="s">
        <v>502</v>
      </c>
    </row>
    <row r="7" spans="1:30" ht="20.25">
      <c r="A7" s="491"/>
      <c r="B7" s="492"/>
      <c r="C7" s="3788" t="s">
        <v>2865</v>
      </c>
      <c r="D7" s="3789"/>
      <c r="E7" s="3788" t="s">
        <v>2866</v>
      </c>
      <c r="F7" s="3789"/>
      <c r="G7" s="3788" t="s">
        <v>2867</v>
      </c>
      <c r="H7" s="3789"/>
      <c r="I7" s="3788" t="s">
        <v>2868</v>
      </c>
      <c r="J7" s="3789"/>
      <c r="K7" s="490"/>
      <c r="L7" s="1985"/>
      <c r="M7" s="1984"/>
      <c r="N7" s="1984"/>
      <c r="O7" s="1986"/>
      <c r="P7" s="3781"/>
      <c r="Q7" s="3782"/>
      <c r="R7" s="3767"/>
      <c r="S7" s="3768"/>
      <c r="T7" s="3767"/>
      <c r="U7" s="3768"/>
      <c r="V7" s="3785"/>
      <c r="W7" s="3785"/>
      <c r="X7" s="1475"/>
      <c r="Y7" s="3767"/>
      <c r="Z7" s="3768"/>
      <c r="AA7" s="3761"/>
      <c r="AB7" s="3761"/>
      <c r="AC7" s="3761"/>
    </row>
    <row r="8" spans="1:30" ht="21" thickBot="1">
      <c r="A8" s="491"/>
      <c r="B8" s="492"/>
      <c r="C8" s="3790" t="s">
        <v>2869</v>
      </c>
      <c r="D8" s="3791"/>
      <c r="E8" s="3790" t="s">
        <v>2869</v>
      </c>
      <c r="F8" s="3791"/>
      <c r="G8" s="3786" t="s">
        <v>2869</v>
      </c>
      <c r="H8" s="3787"/>
      <c r="I8" s="3786" t="s">
        <v>2869</v>
      </c>
      <c r="J8" s="3787"/>
      <c r="K8" s="490" t="s">
        <v>505</v>
      </c>
      <c r="L8" s="1985"/>
      <c r="M8" s="1984"/>
      <c r="N8" s="1984"/>
      <c r="O8" s="1986"/>
      <c r="P8" s="3783"/>
      <c r="Q8" s="3784"/>
      <c r="R8" s="3767"/>
      <c r="S8" s="3768"/>
      <c r="T8" s="3769"/>
      <c r="U8" s="3770"/>
      <c r="V8" s="3785"/>
      <c r="W8" s="3785"/>
      <c r="X8" s="1475"/>
      <c r="Y8" s="3769"/>
      <c r="Z8" s="3770"/>
      <c r="AA8" s="3762"/>
      <c r="AB8" s="3762"/>
      <c r="AC8" s="3762"/>
    </row>
    <row r="9" spans="1:30" s="1185" customFormat="1" ht="21" thickBot="1">
      <c r="A9" s="2596"/>
      <c r="B9" s="2603" t="s">
        <v>506</v>
      </c>
      <c r="C9" s="2595">
        <f>'数据-取费表'!B2</f>
        <v>44623</v>
      </c>
      <c r="D9" s="496">
        <v>100</v>
      </c>
      <c r="E9" s="497"/>
      <c r="F9" s="498">
        <f>SUMIF(72:72,YEAR(E9)&amp;"-"&amp;INT((MONTH(E9)+2)/3),73:73)</f>
        <v>0</v>
      </c>
      <c r="G9" s="499"/>
      <c r="H9" s="496">
        <f>SUMIF(72:72,YEAR(G9)&amp;"-"&amp;INT((MONTH(G9)+2)/3),73:73)</f>
        <v>0</v>
      </c>
      <c r="I9" s="499"/>
      <c r="J9" s="496">
        <f>SUMIF(72:72,YEAR(I9)&amp;"-"&amp;INT((MONTH(I9)+2)/3),73:73)</f>
        <v>0</v>
      </c>
      <c r="K9" s="500"/>
      <c r="L9" s="1987"/>
      <c r="M9" s="1984"/>
      <c r="N9" s="1984"/>
      <c r="O9" s="1988"/>
      <c r="P9" s="3763" t="s">
        <v>507</v>
      </c>
      <c r="Q9" s="3772"/>
      <c r="R9" s="1476" t="s">
        <v>8</v>
      </c>
      <c r="S9" s="1477">
        <f t="shared" ref="S9:S17" si="0">F9</f>
        <v>0</v>
      </c>
      <c r="T9" s="1476" t="s">
        <v>8</v>
      </c>
      <c r="U9" s="1477">
        <f t="shared" ref="U9:U17" si="1">H9</f>
        <v>0</v>
      </c>
      <c r="V9" s="1476" t="s">
        <v>8</v>
      </c>
      <c r="W9" s="1477">
        <f t="shared" ref="W9:W17" si="2">J9</f>
        <v>0</v>
      </c>
      <c r="X9" s="1478"/>
      <c r="Y9" s="3763" t="s">
        <v>507</v>
      </c>
      <c r="Z9" s="3764"/>
      <c r="AA9" s="1479" t="e">
        <f>D9/F9</f>
        <v>#DIV/0!</v>
      </c>
      <c r="AB9" s="1479" t="e">
        <f>D9/H9</f>
        <v>#DIV/0!</v>
      </c>
      <c r="AC9" s="1479" t="e">
        <f>D9/J9</f>
        <v>#DIV/0!</v>
      </c>
    </row>
    <row r="10" spans="1:30" s="1185" customFormat="1" ht="21" thickBot="1">
      <c r="A10" s="2597"/>
      <c r="B10" s="2604" t="s">
        <v>508</v>
      </c>
      <c r="C10" s="827" t="s">
        <v>509</v>
      </c>
      <c r="D10" s="496">
        <v>100</v>
      </c>
      <c r="E10" s="501"/>
      <c r="F10" s="498">
        <f>SUMIF(75:75,E10,76:76)-SUMIF(75:75,C10,76:76)+100</f>
        <v>0</v>
      </c>
      <c r="G10" s="501"/>
      <c r="H10" s="496">
        <f>SUMIF(75:75,G10,76:76)-SUMIF(75:75,C10,76:76)+100</f>
        <v>0</v>
      </c>
      <c r="I10" s="501"/>
      <c r="J10" s="496">
        <f>SUMIF(75:75,I10,76:76)-SUMIF(75:75,C10,76:76)+100</f>
        <v>0</v>
      </c>
      <c r="K10" s="500"/>
      <c r="L10" s="1987"/>
      <c r="M10" s="1984"/>
      <c r="N10" s="1984"/>
      <c r="O10" s="1988"/>
      <c r="P10" s="3763" t="s">
        <v>510</v>
      </c>
      <c r="Q10" s="3764"/>
      <c r="R10" s="1476" t="s">
        <v>8</v>
      </c>
      <c r="S10" s="1477">
        <f t="shared" si="0"/>
        <v>0</v>
      </c>
      <c r="T10" s="1476" t="s">
        <v>8</v>
      </c>
      <c r="U10" s="1477">
        <f t="shared" si="1"/>
        <v>0</v>
      </c>
      <c r="V10" s="1476" t="s">
        <v>8</v>
      </c>
      <c r="W10" s="1477">
        <f t="shared" si="2"/>
        <v>0</v>
      </c>
      <c r="X10" s="1478"/>
      <c r="Y10" s="3763" t="s">
        <v>510</v>
      </c>
      <c r="Z10" s="3764"/>
      <c r="AA10" s="1479" t="e">
        <f t="shared" ref="AA10:AA47" si="3">D10/F10</f>
        <v>#DIV/0!</v>
      </c>
      <c r="AB10" s="1479" t="e">
        <f t="shared" ref="AB10:AB47" si="4">D10/H10</f>
        <v>#DIV/0!</v>
      </c>
      <c r="AC10" s="1479" t="e">
        <f t="shared" ref="AC10:AC47" si="5">D10/J10</f>
        <v>#DIV/0!</v>
      </c>
    </row>
    <row r="11" spans="1:30" s="1185" customFormat="1" ht="20.25">
      <c r="A11" s="2598"/>
      <c r="B11" s="2605" t="s">
        <v>2707</v>
      </c>
      <c r="C11" s="2592"/>
      <c r="D11" s="252">
        <v>100</v>
      </c>
      <c r="E11" s="502"/>
      <c r="F11" s="252">
        <f>SUMIF(77:77,E11,78:78)-SUMIF(77:77,C11,78:78)+100</f>
        <v>100</v>
      </c>
      <c r="G11" s="502"/>
      <c r="H11" s="252">
        <f>SUMIF(77:77,G11,78:78)-SUMIF(77:77,C11,78:78)+100</f>
        <v>100</v>
      </c>
      <c r="I11" s="502"/>
      <c r="J11" s="252">
        <f>SUMIF(77:77,I11,78:78)-SUMIF(77:77,C11,78:78)+100</f>
        <v>100</v>
      </c>
      <c r="K11" s="500"/>
      <c r="L11" s="1987"/>
      <c r="M11" s="1984"/>
      <c r="N11" s="1984"/>
      <c r="O11" s="1989"/>
      <c r="P11" s="3771" t="s">
        <v>512</v>
      </c>
      <c r="Q11" s="1116" t="str">
        <f t="shared" ref="Q11:Q17" si="6">B11</f>
        <v>用途</v>
      </c>
      <c r="R11" s="1476" t="s">
        <v>8</v>
      </c>
      <c r="S11" s="1477">
        <f t="shared" si="0"/>
        <v>100</v>
      </c>
      <c r="T11" s="1476" t="s">
        <v>8</v>
      </c>
      <c r="U11" s="1477">
        <f t="shared" si="1"/>
        <v>100</v>
      </c>
      <c r="V11" s="1476" t="s">
        <v>8</v>
      </c>
      <c r="W11" s="1477">
        <f t="shared" si="2"/>
        <v>100</v>
      </c>
      <c r="X11" s="1478"/>
      <c r="Y11" s="3712" t="s">
        <v>513</v>
      </c>
      <c r="Z11" s="1115" t="str">
        <f t="shared" ref="Z11:Z17" si="7">Q11</f>
        <v>用途</v>
      </c>
      <c r="AA11" s="1479">
        <f t="shared" si="3"/>
        <v>1</v>
      </c>
      <c r="AB11" s="1479">
        <f t="shared" si="4"/>
        <v>1</v>
      </c>
      <c r="AC11" s="1479">
        <f t="shared" si="5"/>
        <v>1</v>
      </c>
    </row>
    <row r="12" spans="1:30" s="1266" customFormat="1" ht="27">
      <c r="A12" s="2599"/>
      <c r="B12" s="2604" t="s">
        <v>2708</v>
      </c>
      <c r="C12" s="881"/>
      <c r="D12" s="253">
        <v>100</v>
      </c>
      <c r="E12" s="505"/>
      <c r="F12" s="253" t="e">
        <f>ROUND(100/'数据-取费表'!G16,0)</f>
        <v>#DIV/0!</v>
      </c>
      <c r="G12" s="506"/>
      <c r="H12" s="253" t="e">
        <f>ROUND(100/'数据-取费表'!G16,0)</f>
        <v>#DIV/0!</v>
      </c>
      <c r="I12" s="506"/>
      <c r="J12" s="253" t="e">
        <f>ROUND(100/'数据-取费表'!G16,0)</f>
        <v>#DIV/0!</v>
      </c>
      <c r="K12" s="507"/>
      <c r="L12" s="1990"/>
      <c r="M12" s="1984"/>
      <c r="N12" s="1984"/>
      <c r="O12" s="1991"/>
      <c r="P12" s="3771"/>
      <c r="Q12" s="1116" t="str">
        <f t="shared" si="6"/>
        <v>土地使用年限（年）</v>
      </c>
      <c r="R12" s="1476" t="s">
        <v>8</v>
      </c>
      <c r="S12" s="1477" t="e">
        <f t="shared" si="0"/>
        <v>#DIV/0!</v>
      </c>
      <c r="T12" s="1476" t="s">
        <v>8</v>
      </c>
      <c r="U12" s="1477" t="e">
        <f t="shared" si="1"/>
        <v>#DIV/0!</v>
      </c>
      <c r="V12" s="1476" t="s">
        <v>8</v>
      </c>
      <c r="W12" s="1477" t="e">
        <f t="shared" si="2"/>
        <v>#DIV/0!</v>
      </c>
      <c r="X12" s="1478"/>
      <c r="Y12" s="3712"/>
      <c r="Z12" s="1115" t="str">
        <f t="shared" si="7"/>
        <v>土地使用年限（年）</v>
      </c>
      <c r="AA12" s="1479" t="e">
        <f t="shared" si="3"/>
        <v>#DIV/0!</v>
      </c>
      <c r="AB12" s="1479" t="e">
        <f t="shared" si="4"/>
        <v>#DIV/0!</v>
      </c>
      <c r="AC12" s="1479" t="e">
        <f t="shared" si="5"/>
        <v>#DIV/0!</v>
      </c>
    </row>
    <row r="13" spans="1:30" ht="20.25">
      <c r="A13" s="2600"/>
      <c r="B13" s="2604" t="s">
        <v>2709</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2"/>
      <c r="M13" s="1984"/>
      <c r="N13" s="1984"/>
      <c r="O13" s="1993"/>
      <c r="P13" s="3771"/>
      <c r="Q13" s="1116" t="str">
        <f t="shared" si="6"/>
        <v>容积率</v>
      </c>
      <c r="R13" s="1476" t="s">
        <v>8</v>
      </c>
      <c r="S13" s="1477" t="e">
        <f t="shared" si="0"/>
        <v>#N/A</v>
      </c>
      <c r="T13" s="1476" t="s">
        <v>8</v>
      </c>
      <c r="U13" s="1477" t="e">
        <f t="shared" si="1"/>
        <v>#N/A</v>
      </c>
      <c r="V13" s="1476" t="s">
        <v>8</v>
      </c>
      <c r="W13" s="1477" t="e">
        <f t="shared" si="2"/>
        <v>#N/A</v>
      </c>
      <c r="X13" s="1478"/>
      <c r="Y13" s="3712"/>
      <c r="Z13" s="1115" t="str">
        <f t="shared" si="7"/>
        <v>容积率</v>
      </c>
      <c r="AA13" s="1479" t="e">
        <f t="shared" si="3"/>
        <v>#N/A</v>
      </c>
      <c r="AB13" s="1479" t="e">
        <f t="shared" si="4"/>
        <v>#N/A</v>
      </c>
      <c r="AC13" s="1479" t="e">
        <f t="shared" si="5"/>
        <v>#N/A</v>
      </c>
    </row>
    <row r="14" spans="1:30" s="1185" customFormat="1" ht="20.25">
      <c r="A14" s="2597"/>
      <c r="B14" s="2606" t="s">
        <v>2710</v>
      </c>
      <c r="C14" s="2593"/>
      <c r="D14" s="514">
        <v>100</v>
      </c>
      <c r="E14" s="1300"/>
      <c r="F14" s="253">
        <f>SUMIF(84:84,E14,85:85)-SUMIF(84:84,C14,85:85)+100</f>
        <v>100</v>
      </c>
      <c r="G14" s="506"/>
      <c r="H14" s="253">
        <f>SUMIF(84:84,G14,85:85)-SUMIF(84:84,C14,85:85)+100</f>
        <v>100</v>
      </c>
      <c r="I14" s="505"/>
      <c r="J14" s="253">
        <f>SUMIF(84:84,I14,85:85)-SUMIF(84:84,C14,85:85)+100</f>
        <v>100</v>
      </c>
      <c r="K14" s="507"/>
      <c r="L14" s="1987"/>
      <c r="M14" s="1984"/>
      <c r="N14" s="1984"/>
      <c r="O14" s="1989"/>
      <c r="P14" s="3771"/>
      <c r="Q14" s="1116" t="str">
        <f t="shared" si="6"/>
        <v>配建</v>
      </c>
      <c r="R14" s="1476" t="s">
        <v>8</v>
      </c>
      <c r="S14" s="1477">
        <f t="shared" si="0"/>
        <v>100</v>
      </c>
      <c r="T14" s="1476" t="s">
        <v>8</v>
      </c>
      <c r="U14" s="1477">
        <f t="shared" si="1"/>
        <v>100</v>
      </c>
      <c r="V14" s="1476" t="s">
        <v>8</v>
      </c>
      <c r="W14" s="1477">
        <f t="shared" si="2"/>
        <v>100</v>
      </c>
      <c r="X14" s="1478"/>
      <c r="Y14" s="3712"/>
      <c r="Z14" s="1115" t="str">
        <f t="shared" si="7"/>
        <v>配建</v>
      </c>
      <c r="AA14" s="1479">
        <f>D14/F14</f>
        <v>1</v>
      </c>
      <c r="AB14" s="1479">
        <f>D14/H14</f>
        <v>1</v>
      </c>
      <c r="AC14" s="1479">
        <f>D14/J14</f>
        <v>1</v>
      </c>
    </row>
    <row r="15" spans="1:30" ht="20.25">
      <c r="A15" s="2601"/>
      <c r="B15" s="2607">
        <v>111</v>
      </c>
      <c r="C15" s="883"/>
      <c r="D15" s="516">
        <v>100</v>
      </c>
      <c r="E15" s="517"/>
      <c r="F15" s="253">
        <f>SUMIF(86:86,E15,87:87)-SUMIF(86:86,C15,87:87)+100</f>
        <v>100</v>
      </c>
      <c r="G15" s="518"/>
      <c r="H15" s="516">
        <f>SUMIF(86:86,G15,87:87)-SUMIF(86:86,C15,87:87)+100</f>
        <v>100</v>
      </c>
      <c r="I15" s="518"/>
      <c r="J15" s="516">
        <f>SUMIF(86:86,I15,87:87)-SUMIF(86:86,C15,87:87)+100</f>
        <v>100</v>
      </c>
      <c r="K15" s="507"/>
      <c r="L15" s="1994"/>
      <c r="M15" s="1984"/>
      <c r="N15" s="1984"/>
      <c r="O15" s="1993"/>
      <c r="P15" s="3771"/>
      <c r="Q15" s="1116">
        <f t="shared" si="6"/>
        <v>111</v>
      </c>
      <c r="R15" s="1476" t="s">
        <v>8</v>
      </c>
      <c r="S15" s="1477">
        <f t="shared" si="0"/>
        <v>100</v>
      </c>
      <c r="T15" s="1476" t="s">
        <v>8</v>
      </c>
      <c r="U15" s="1477">
        <f t="shared" si="1"/>
        <v>100</v>
      </c>
      <c r="V15" s="1476" t="s">
        <v>8</v>
      </c>
      <c r="W15" s="1477">
        <f t="shared" si="2"/>
        <v>100</v>
      </c>
      <c r="X15" s="1478"/>
      <c r="Y15" s="3712"/>
      <c r="Z15" s="1115">
        <f t="shared" si="7"/>
        <v>111</v>
      </c>
      <c r="AA15" s="1479">
        <f>D15/F15</f>
        <v>1</v>
      </c>
      <c r="AB15" s="1479">
        <f>D15/H15</f>
        <v>1</v>
      </c>
      <c r="AC15" s="1479">
        <f>D15/J15</f>
        <v>1</v>
      </c>
    </row>
    <row r="16" spans="1:30" ht="21" thickBot="1">
      <c r="A16" s="2602"/>
      <c r="B16" s="2608">
        <v>111</v>
      </c>
      <c r="C16" s="886"/>
      <c r="D16" s="522">
        <v>100</v>
      </c>
      <c r="E16" s="517"/>
      <c r="F16" s="522">
        <f>SUMIF(88:88,E16,89:89)-SUMIF(88:88,C16,89:89)+100</f>
        <v>100</v>
      </c>
      <c r="G16" s="518"/>
      <c r="H16" s="522">
        <f>SUMIF(88:88,G16,89:89)-SUMIF(88:88,C16,89:89)+100</f>
        <v>100</v>
      </c>
      <c r="I16" s="518"/>
      <c r="J16" s="522">
        <f>SUMIF(88:88,I16,89:89)-SUMIF(88:88,C16,89:89)+100</f>
        <v>100</v>
      </c>
      <c r="K16" s="507"/>
      <c r="L16" s="1994"/>
      <c r="M16" s="1984"/>
      <c r="N16" s="1984"/>
      <c r="O16" s="1993"/>
      <c r="P16" s="3771"/>
      <c r="Q16" s="1116">
        <f t="shared" si="6"/>
        <v>111</v>
      </c>
      <c r="R16" s="1476" t="s">
        <v>8</v>
      </c>
      <c r="S16" s="1477">
        <f t="shared" si="0"/>
        <v>100</v>
      </c>
      <c r="T16" s="1476" t="s">
        <v>8</v>
      </c>
      <c r="U16" s="1477">
        <f t="shared" si="1"/>
        <v>100</v>
      </c>
      <c r="V16" s="1476" t="s">
        <v>8</v>
      </c>
      <c r="W16" s="1477">
        <f t="shared" si="2"/>
        <v>100</v>
      </c>
      <c r="X16" s="1478"/>
      <c r="Y16" s="3712"/>
      <c r="Z16" s="1115">
        <f t="shared" si="7"/>
        <v>111</v>
      </c>
      <c r="AA16" s="1479">
        <f>D16/F16</f>
        <v>1</v>
      </c>
      <c r="AB16" s="1479">
        <f>D16/H16</f>
        <v>1</v>
      </c>
      <c r="AC16" s="1479">
        <f>D16/J16</f>
        <v>1</v>
      </c>
    </row>
    <row r="17" spans="1:29" ht="99.75">
      <c r="A17" s="2594" t="s">
        <v>2705</v>
      </c>
      <c r="B17" s="554" t="s">
        <v>294</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4"/>
      <c r="M17" s="1984"/>
      <c r="N17" s="1984"/>
      <c r="O17" s="1993"/>
      <c r="P17" s="3773" t="s">
        <v>517</v>
      </c>
      <c r="Q17" s="1480" t="str">
        <f t="shared" si="6"/>
        <v>居住社区成熟度</v>
      </c>
      <c r="R17" s="1481" t="s">
        <v>8</v>
      </c>
      <c r="S17" s="1482">
        <f t="shared" si="0"/>
        <v>100</v>
      </c>
      <c r="T17" s="1481" t="s">
        <v>8</v>
      </c>
      <c r="U17" s="1482">
        <f t="shared" si="1"/>
        <v>100</v>
      </c>
      <c r="V17" s="1481" t="s">
        <v>8</v>
      </c>
      <c r="W17" s="1482">
        <f t="shared" si="2"/>
        <v>100</v>
      </c>
      <c r="X17" s="1475"/>
      <c r="Y17" s="3773" t="s">
        <v>517</v>
      </c>
      <c r="Z17" s="1483" t="str">
        <f t="shared" si="7"/>
        <v>居住社区成熟度</v>
      </c>
      <c r="AA17" s="1484">
        <f t="shared" si="3"/>
        <v>1</v>
      </c>
      <c r="AB17" s="1484">
        <f t="shared" si="4"/>
        <v>1</v>
      </c>
      <c r="AC17" s="1484">
        <f t="shared" si="5"/>
        <v>1</v>
      </c>
    </row>
    <row r="18" spans="1:29" ht="20.25">
      <c r="A18" s="508"/>
      <c r="B18" s="529"/>
      <c r="C18" s="530"/>
      <c r="D18" s="533"/>
      <c r="E18" s="534"/>
      <c r="F18" s="531"/>
      <c r="G18" s="532"/>
      <c r="H18" s="535"/>
      <c r="I18" s="534"/>
      <c r="J18" s="531"/>
      <c r="K18" s="507"/>
      <c r="L18" s="1994"/>
      <c r="M18" s="1984"/>
      <c r="N18" s="1984"/>
      <c r="O18" s="1993"/>
      <c r="P18" s="3774"/>
      <c r="Q18" s="1480"/>
      <c r="R18" s="1481"/>
      <c r="S18" s="1482"/>
      <c r="T18" s="1481"/>
      <c r="U18" s="1482"/>
      <c r="V18" s="1481"/>
      <c r="W18" s="1482"/>
      <c r="X18" s="1475"/>
      <c r="Y18" s="3774"/>
      <c r="Z18" s="1483"/>
      <c r="AA18" s="1484">
        <v>1</v>
      </c>
      <c r="AB18" s="1484">
        <v>1</v>
      </c>
      <c r="AC18" s="1484">
        <v>1</v>
      </c>
    </row>
    <row r="19" spans="1:29" ht="71.25">
      <c r="A19" s="508"/>
      <c r="B19" s="536" t="s">
        <v>518</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4"/>
      <c r="M19" s="1984"/>
      <c r="N19" s="1984"/>
      <c r="O19" s="1993"/>
      <c r="P19" s="3774"/>
      <c r="Q19" s="1480" t="str">
        <f>B19</f>
        <v>商业繁华度</v>
      </c>
      <c r="R19" s="1481" t="s">
        <v>8</v>
      </c>
      <c r="S19" s="1482">
        <f>F19</f>
        <v>100</v>
      </c>
      <c r="T19" s="1481" t="s">
        <v>8</v>
      </c>
      <c r="U19" s="1482">
        <f>H19</f>
        <v>100</v>
      </c>
      <c r="V19" s="1481" t="s">
        <v>8</v>
      </c>
      <c r="W19" s="1482">
        <f>J19</f>
        <v>100</v>
      </c>
      <c r="X19" s="1475"/>
      <c r="Y19" s="3774"/>
      <c r="Z19" s="1483" t="str">
        <f>Q19</f>
        <v>商业繁华度</v>
      </c>
      <c r="AA19" s="1484">
        <f t="shared" si="3"/>
        <v>1</v>
      </c>
      <c r="AB19" s="1484">
        <f t="shared" si="4"/>
        <v>1</v>
      </c>
      <c r="AC19" s="1484">
        <f t="shared" si="5"/>
        <v>1</v>
      </c>
    </row>
    <row r="20" spans="1:29" ht="20.25">
      <c r="A20" s="508"/>
      <c r="B20" s="542"/>
      <c r="C20" s="543"/>
      <c r="D20" s="539"/>
      <c r="E20" s="545"/>
      <c r="F20" s="535"/>
      <c r="G20" s="544"/>
      <c r="H20" s="531"/>
      <c r="I20" s="545"/>
      <c r="J20" s="531"/>
      <c r="K20" s="507"/>
      <c r="L20" s="1994"/>
      <c r="M20" s="1984"/>
      <c r="N20" s="1984"/>
      <c r="O20" s="1993"/>
      <c r="P20" s="3774"/>
      <c r="Q20" s="1480"/>
      <c r="R20" s="1481"/>
      <c r="S20" s="1482"/>
      <c r="T20" s="1481"/>
      <c r="U20" s="1482"/>
      <c r="V20" s="1481"/>
      <c r="W20" s="1482"/>
      <c r="X20" s="1475"/>
      <c r="Y20" s="3774"/>
      <c r="Z20" s="1483"/>
      <c r="AA20" s="1484">
        <v>1</v>
      </c>
      <c r="AB20" s="1484">
        <v>1</v>
      </c>
      <c r="AC20" s="1484">
        <v>1</v>
      </c>
    </row>
    <row r="21" spans="1:29" ht="71.25">
      <c r="A21" s="508"/>
      <c r="B21" s="536" t="s">
        <v>519</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4"/>
      <c r="M21" s="1984"/>
      <c r="N21" s="1984"/>
      <c r="O21" s="1993"/>
      <c r="P21" s="3774"/>
      <c r="Q21" s="1480" t="str">
        <f>B21</f>
        <v>办公集聚程度</v>
      </c>
      <c r="R21" s="1481" t="s">
        <v>8</v>
      </c>
      <c r="S21" s="1482">
        <f>F21</f>
        <v>100</v>
      </c>
      <c r="T21" s="1481" t="s">
        <v>8</v>
      </c>
      <c r="U21" s="1482">
        <f>H21</f>
        <v>100</v>
      </c>
      <c r="V21" s="1481" t="s">
        <v>8</v>
      </c>
      <c r="W21" s="1482">
        <f>J21</f>
        <v>100</v>
      </c>
      <c r="X21" s="1475"/>
      <c r="Y21" s="3774"/>
      <c r="Z21" s="1483" t="str">
        <f>Q21</f>
        <v>办公集聚程度</v>
      </c>
      <c r="AA21" s="1484">
        <f t="shared" si="3"/>
        <v>1</v>
      </c>
      <c r="AB21" s="1484">
        <f t="shared" si="4"/>
        <v>1</v>
      </c>
      <c r="AC21" s="1484">
        <f t="shared" si="5"/>
        <v>1</v>
      </c>
    </row>
    <row r="22" spans="1:29" ht="20.25">
      <c r="A22" s="508"/>
      <c r="B22" s="542"/>
      <c r="C22" s="530"/>
      <c r="D22" s="533"/>
      <c r="E22" s="534"/>
      <c r="F22" s="531"/>
      <c r="G22" s="532"/>
      <c r="H22" s="531"/>
      <c r="I22" s="534"/>
      <c r="J22" s="531"/>
      <c r="K22" s="507"/>
      <c r="L22" s="1994"/>
      <c r="M22" s="1984"/>
      <c r="N22" s="1984"/>
      <c r="O22" s="1993"/>
      <c r="P22" s="3774"/>
      <c r="Q22" s="1480"/>
      <c r="R22" s="1481"/>
      <c r="S22" s="1482"/>
      <c r="T22" s="1481"/>
      <c r="U22" s="1482"/>
      <c r="V22" s="1481"/>
      <c r="W22" s="1482"/>
      <c r="X22" s="1475"/>
      <c r="Y22" s="3774"/>
      <c r="Z22" s="1483"/>
      <c r="AA22" s="1484">
        <v>1</v>
      </c>
      <c r="AB22" s="1484">
        <v>1</v>
      </c>
      <c r="AC22" s="1484">
        <v>1</v>
      </c>
    </row>
    <row r="23" spans="1:29" ht="85.5">
      <c r="A23" s="508"/>
      <c r="B23" s="536" t="s">
        <v>520</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4"/>
      <c r="M23" s="1984"/>
      <c r="N23" s="1984"/>
      <c r="O23" s="1993"/>
      <c r="P23" s="3774"/>
      <c r="Q23" s="1480" t="str">
        <f>B23</f>
        <v>交通便捷度</v>
      </c>
      <c r="R23" s="1481" t="s">
        <v>8</v>
      </c>
      <c r="S23" s="1482">
        <f>F23</f>
        <v>100</v>
      </c>
      <c r="T23" s="1481" t="s">
        <v>8</v>
      </c>
      <c r="U23" s="1482">
        <f>H23</f>
        <v>100</v>
      </c>
      <c r="V23" s="1481" t="s">
        <v>8</v>
      </c>
      <c r="W23" s="1482">
        <f>J23</f>
        <v>100</v>
      </c>
      <c r="X23" s="1475"/>
      <c r="Y23" s="3774"/>
      <c r="Z23" s="1483" t="str">
        <f>Q23</f>
        <v>交通便捷度</v>
      </c>
      <c r="AA23" s="1484">
        <f t="shared" si="3"/>
        <v>1</v>
      </c>
      <c r="AB23" s="1484">
        <f t="shared" si="4"/>
        <v>1</v>
      </c>
      <c r="AC23" s="1484">
        <f t="shared" si="5"/>
        <v>1</v>
      </c>
    </row>
    <row r="24" spans="1:29" ht="20.25">
      <c r="A24" s="508"/>
      <c r="B24" s="554"/>
      <c r="C24" s="530"/>
      <c r="D24" s="533"/>
      <c r="E24" s="534"/>
      <c r="F24" s="531"/>
      <c r="G24" s="532"/>
      <c r="H24" s="531"/>
      <c r="I24" s="534"/>
      <c r="J24" s="531"/>
      <c r="K24" s="507"/>
      <c r="L24" s="1994"/>
      <c r="M24" s="1984"/>
      <c r="N24" s="1984"/>
      <c r="O24" s="1993"/>
      <c r="P24" s="3774"/>
      <c r="Q24" s="1480"/>
      <c r="R24" s="1481"/>
      <c r="S24" s="1482"/>
      <c r="T24" s="1481"/>
      <c r="U24" s="1482"/>
      <c r="V24" s="1481"/>
      <c r="W24" s="1482"/>
      <c r="X24" s="1475"/>
      <c r="Y24" s="3774"/>
      <c r="Z24" s="1483"/>
      <c r="AA24" s="1484">
        <v>1</v>
      </c>
      <c r="AB24" s="1484">
        <v>1</v>
      </c>
      <c r="AC24" s="1484">
        <v>1</v>
      </c>
    </row>
    <row r="25" spans="1:29" ht="27">
      <c r="A25" s="491"/>
      <c r="B25" s="257" t="s">
        <v>521</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4"/>
      <c r="M25" s="1984"/>
      <c r="N25" s="1984"/>
      <c r="O25" s="1993"/>
      <c r="P25" s="3774"/>
      <c r="Q25" s="1480" t="str">
        <f t="shared" ref="Q25:Q39" si="8">B25</f>
        <v>区域土地利用方向</v>
      </c>
      <c r="R25" s="1481" t="s">
        <v>8</v>
      </c>
      <c r="S25" s="1482">
        <f>F25</f>
        <v>100</v>
      </c>
      <c r="T25" s="1481" t="s">
        <v>8</v>
      </c>
      <c r="U25" s="1482">
        <f>H25</f>
        <v>100</v>
      </c>
      <c r="V25" s="1481" t="s">
        <v>8</v>
      </c>
      <c r="W25" s="1482">
        <f>J25</f>
        <v>100</v>
      </c>
      <c r="X25" s="1475"/>
      <c r="Y25" s="3774"/>
      <c r="Z25" s="1483" t="str">
        <f>Q25</f>
        <v>区域土地利用方向</v>
      </c>
      <c r="AA25" s="1484">
        <f t="shared" si="3"/>
        <v>1</v>
      </c>
      <c r="AB25" s="1484">
        <f t="shared" si="4"/>
        <v>1</v>
      </c>
      <c r="AC25" s="1484">
        <f t="shared" si="5"/>
        <v>1</v>
      </c>
    </row>
    <row r="26" spans="1:29" ht="20.25">
      <c r="A26" s="491"/>
      <c r="B26" s="976"/>
      <c r="C26" s="530"/>
      <c r="D26" s="533"/>
      <c r="E26" s="534"/>
      <c r="F26" s="531"/>
      <c r="G26" s="532"/>
      <c r="H26" s="531"/>
      <c r="I26" s="534"/>
      <c r="J26" s="531"/>
      <c r="K26" s="507"/>
      <c r="L26" s="1994"/>
      <c r="M26" s="1984"/>
      <c r="N26" s="1984"/>
      <c r="O26" s="1993"/>
      <c r="P26" s="3774"/>
      <c r="Q26" s="1480"/>
      <c r="R26" s="1481"/>
      <c r="S26" s="1482"/>
      <c r="T26" s="1481"/>
      <c r="U26" s="1482"/>
      <c r="V26" s="1481"/>
      <c r="W26" s="1482"/>
      <c r="X26" s="1475"/>
      <c r="Y26" s="3774"/>
      <c r="Z26" s="1483"/>
      <c r="AA26" s="1484"/>
      <c r="AB26" s="1484"/>
      <c r="AC26" s="1484"/>
    </row>
    <row r="27" spans="1:29" ht="57">
      <c r="A27" s="491"/>
      <c r="B27" s="554" t="s">
        <v>522</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4"/>
      <c r="M27" s="1984"/>
      <c r="N27" s="1984"/>
      <c r="O27" s="1993"/>
      <c r="P27" s="3774"/>
      <c r="Q27" s="1480" t="str">
        <f t="shared" si="8"/>
        <v>自然及人文环境状况</v>
      </c>
      <c r="R27" s="1481" t="s">
        <v>8</v>
      </c>
      <c r="S27" s="1482">
        <f>F27</f>
        <v>100</v>
      </c>
      <c r="T27" s="1481" t="s">
        <v>8</v>
      </c>
      <c r="U27" s="1482">
        <f>H27</f>
        <v>100</v>
      </c>
      <c r="V27" s="1481" t="s">
        <v>8</v>
      </c>
      <c r="W27" s="1482">
        <f>J27</f>
        <v>100</v>
      </c>
      <c r="X27" s="1475"/>
      <c r="Y27" s="3774"/>
      <c r="Z27" s="1483" t="str">
        <f>Q27</f>
        <v>自然及人文环境状况</v>
      </c>
      <c r="AA27" s="1484">
        <f t="shared" si="3"/>
        <v>1</v>
      </c>
      <c r="AB27" s="1484">
        <f t="shared" si="4"/>
        <v>1</v>
      </c>
      <c r="AC27" s="1484">
        <f t="shared" si="5"/>
        <v>1</v>
      </c>
    </row>
    <row r="28" spans="1:29" ht="20.25">
      <c r="A28" s="491"/>
      <c r="B28" s="542"/>
      <c r="C28" s="530"/>
      <c r="D28" s="533"/>
      <c r="E28" s="552"/>
      <c r="F28" s="531"/>
      <c r="G28" s="530"/>
      <c r="H28" s="531"/>
      <c r="I28" s="552"/>
      <c r="J28" s="531"/>
      <c r="K28" s="507"/>
      <c r="L28" s="1994"/>
      <c r="M28" s="1984"/>
      <c r="N28" s="1984"/>
      <c r="O28" s="1993"/>
      <c r="P28" s="3774"/>
      <c r="Q28" s="1480"/>
      <c r="R28" s="1481"/>
      <c r="S28" s="1482"/>
      <c r="T28" s="1481"/>
      <c r="U28" s="1482"/>
      <c r="V28" s="1481"/>
      <c r="W28" s="1482"/>
      <c r="X28" s="1475"/>
      <c r="Y28" s="3774"/>
      <c r="Z28" s="1483"/>
      <c r="AA28" s="1484">
        <v>1</v>
      </c>
      <c r="AB28" s="1484">
        <v>1</v>
      </c>
      <c r="AC28" s="1484">
        <v>1</v>
      </c>
    </row>
    <row r="29" spans="1:29" s="1185" customFormat="1" ht="42.75">
      <c r="A29" s="553"/>
      <c r="B29" s="2402" t="s">
        <v>2500</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7"/>
      <c r="M29" s="1984"/>
      <c r="N29" s="1984"/>
      <c r="O29" s="1989"/>
      <c r="P29" s="3774"/>
      <c r="Q29" s="1116" t="str">
        <f t="shared" si="8"/>
        <v>公共配套设施</v>
      </c>
      <c r="R29" s="1476" t="s">
        <v>8</v>
      </c>
      <c r="S29" s="1477">
        <f>F29</f>
        <v>100</v>
      </c>
      <c r="T29" s="1476" t="s">
        <v>8</v>
      </c>
      <c r="U29" s="1477">
        <f>H29</f>
        <v>100</v>
      </c>
      <c r="V29" s="1476" t="s">
        <v>8</v>
      </c>
      <c r="W29" s="1477">
        <f>J29</f>
        <v>100</v>
      </c>
      <c r="X29" s="1478"/>
      <c r="Y29" s="3774"/>
      <c r="Z29" s="1115" t="str">
        <f>Q29</f>
        <v>公共配套设施</v>
      </c>
      <c r="AA29" s="1484">
        <f>D29/F29</f>
        <v>1</v>
      </c>
      <c r="AB29" s="1484">
        <f>D29/H29</f>
        <v>1</v>
      </c>
      <c r="AC29" s="1484">
        <f>D29/J29</f>
        <v>1</v>
      </c>
    </row>
    <row r="30" spans="1:29" s="1185" customFormat="1" ht="20.25">
      <c r="A30" s="553"/>
      <c r="B30" s="542"/>
      <c r="C30" s="555"/>
      <c r="D30" s="533"/>
      <c r="E30" s="552"/>
      <c r="F30" s="531"/>
      <c r="G30" s="530"/>
      <c r="H30" s="531"/>
      <c r="I30" s="552"/>
      <c r="J30" s="531"/>
      <c r="K30" s="507"/>
      <c r="L30" s="1987"/>
      <c r="M30" s="1984"/>
      <c r="N30" s="1984"/>
      <c r="O30" s="1989"/>
      <c r="P30" s="3774"/>
      <c r="Q30" s="1116"/>
      <c r="R30" s="1476"/>
      <c r="S30" s="1477"/>
      <c r="T30" s="1476"/>
      <c r="U30" s="1477"/>
      <c r="V30" s="1476"/>
      <c r="W30" s="1477"/>
      <c r="X30" s="1478"/>
      <c r="Y30" s="3774"/>
      <c r="Z30" s="1115"/>
      <c r="AA30" s="1484">
        <v>1</v>
      </c>
      <c r="AB30" s="1484">
        <v>1</v>
      </c>
      <c r="AC30" s="1484">
        <v>1</v>
      </c>
    </row>
    <row r="31" spans="1:29" s="1185" customFormat="1" ht="28.5">
      <c r="A31" s="553"/>
      <c r="B31" s="2402" t="s">
        <v>2501</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7"/>
      <c r="M31" s="1984"/>
      <c r="N31" s="1984"/>
      <c r="O31" s="1989"/>
      <c r="P31" s="3774"/>
      <c r="Q31" s="2395" t="str">
        <f t="shared" ref="Q31" si="9">B31</f>
        <v>基础设施水平</v>
      </c>
      <c r="R31" s="1476" t="s">
        <v>8</v>
      </c>
      <c r="S31" s="1477">
        <f>F31</f>
        <v>100</v>
      </c>
      <c r="T31" s="1476" t="s">
        <v>8</v>
      </c>
      <c r="U31" s="1477">
        <f>H31</f>
        <v>100</v>
      </c>
      <c r="V31" s="1476" t="s">
        <v>8</v>
      </c>
      <c r="W31" s="1477">
        <f>J31</f>
        <v>100</v>
      </c>
      <c r="X31" s="1478"/>
      <c r="Y31" s="3774"/>
      <c r="Z31" s="2394" t="str">
        <f>Q31</f>
        <v>基础设施水平</v>
      </c>
      <c r="AA31" s="1484">
        <f>D31/F31</f>
        <v>1</v>
      </c>
      <c r="AB31" s="1484">
        <f>D31/H31</f>
        <v>1</v>
      </c>
      <c r="AC31" s="1484">
        <f>D31/J31</f>
        <v>1</v>
      </c>
    </row>
    <row r="32" spans="1:29" s="1185" customFormat="1" ht="20.25">
      <c r="A32" s="553"/>
      <c r="B32" s="542"/>
      <c r="C32" s="555"/>
      <c r="D32" s="533"/>
      <c r="E32" s="2403"/>
      <c r="F32" s="531"/>
      <c r="G32" s="555"/>
      <c r="H32" s="531"/>
      <c r="I32" s="555"/>
      <c r="J32" s="531"/>
      <c r="K32" s="507"/>
      <c r="L32" s="1987"/>
      <c r="M32" s="1984"/>
      <c r="N32" s="1984"/>
      <c r="O32" s="1989"/>
      <c r="P32" s="3774"/>
      <c r="Q32" s="2395"/>
      <c r="R32" s="1476"/>
      <c r="S32" s="1477"/>
      <c r="T32" s="1476"/>
      <c r="U32" s="1477"/>
      <c r="V32" s="1476"/>
      <c r="W32" s="1477"/>
      <c r="X32" s="1478"/>
      <c r="Y32" s="3774"/>
      <c r="Z32" s="2394"/>
      <c r="AA32" s="1484">
        <v>1</v>
      </c>
      <c r="AB32" s="1484">
        <v>1</v>
      </c>
      <c r="AC32" s="1484">
        <v>1</v>
      </c>
    </row>
    <row r="33" spans="1:29" ht="20.25">
      <c r="A33" s="508"/>
      <c r="B33" s="542" t="s">
        <v>524</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4"/>
      <c r="M33" s="1984"/>
      <c r="N33" s="1984"/>
      <c r="O33" s="1993"/>
      <c r="P33" s="3774"/>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774"/>
      <c r="Z33" s="1483" t="str">
        <f t="shared" ref="Z33:Z47" si="13">Q33</f>
        <v>临街状况</v>
      </c>
      <c r="AA33" s="1484">
        <f t="shared" si="3"/>
        <v>1</v>
      </c>
      <c r="AB33" s="1484">
        <f t="shared" si="4"/>
        <v>1</v>
      </c>
      <c r="AC33" s="1484">
        <f t="shared" si="5"/>
        <v>1</v>
      </c>
    </row>
    <row r="34" spans="1:29" ht="27">
      <c r="A34" s="508"/>
      <c r="B34" s="554" t="s">
        <v>525</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4"/>
      <c r="M34" s="1984"/>
      <c r="N34" s="1984"/>
      <c r="O34" s="1993"/>
      <c r="P34" s="3774"/>
      <c r="Q34" s="1480" t="str">
        <f t="shared" si="8"/>
        <v>毗邻道路的类型与等级</v>
      </c>
      <c r="R34" s="1481" t="s">
        <v>8</v>
      </c>
      <c r="S34" s="1482">
        <f t="shared" si="10"/>
        <v>100</v>
      </c>
      <c r="T34" s="1481" t="s">
        <v>8</v>
      </c>
      <c r="U34" s="1482">
        <f t="shared" si="11"/>
        <v>100</v>
      </c>
      <c r="V34" s="1481" t="s">
        <v>8</v>
      </c>
      <c r="W34" s="1482">
        <f t="shared" si="12"/>
        <v>100</v>
      </c>
      <c r="X34" s="1475"/>
      <c r="Y34" s="3774"/>
      <c r="Z34" s="1483" t="str">
        <f t="shared" si="13"/>
        <v>毗邻道路的类型与等级</v>
      </c>
      <c r="AA34" s="1484">
        <f t="shared" si="3"/>
        <v>1</v>
      </c>
      <c r="AB34" s="1484">
        <f t="shared" si="4"/>
        <v>1</v>
      </c>
      <c r="AC34" s="1484">
        <f t="shared" si="5"/>
        <v>1</v>
      </c>
    </row>
    <row r="35" spans="1:29" ht="20.25">
      <c r="A35" s="508"/>
      <c r="B35" s="542"/>
      <c r="C35" s="530"/>
      <c r="D35" s="533"/>
      <c r="E35" s="552"/>
      <c r="F35" s="531"/>
      <c r="G35" s="530"/>
      <c r="H35" s="531"/>
      <c r="I35" s="552"/>
      <c r="J35" s="531"/>
      <c r="K35" s="557"/>
      <c r="L35" s="1994"/>
      <c r="M35" s="1984"/>
      <c r="N35" s="1984"/>
      <c r="O35" s="1993"/>
      <c r="P35" s="3774"/>
      <c r="Q35" s="1480"/>
      <c r="R35" s="1481"/>
      <c r="S35" s="1482"/>
      <c r="T35" s="1481"/>
      <c r="U35" s="1482"/>
      <c r="V35" s="1481"/>
      <c r="W35" s="1482"/>
      <c r="X35" s="1475"/>
      <c r="Y35" s="3774"/>
      <c r="Z35" s="1483"/>
      <c r="AA35" s="1484">
        <v>1</v>
      </c>
      <c r="AB35" s="1484">
        <v>1</v>
      </c>
      <c r="AC35" s="1484">
        <v>1</v>
      </c>
    </row>
    <row r="36" spans="1:29" ht="20.25">
      <c r="A36" s="508"/>
      <c r="B36" s="558" t="s">
        <v>526</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4"/>
      <c r="M36" s="1984"/>
      <c r="N36" s="1984"/>
      <c r="O36" s="1993"/>
      <c r="P36" s="3774"/>
      <c r="Q36" s="1480" t="str">
        <f t="shared" si="8"/>
        <v>土地级别</v>
      </c>
      <c r="R36" s="1481" t="s">
        <v>8</v>
      </c>
      <c r="S36" s="1482">
        <f t="shared" si="10"/>
        <v>100</v>
      </c>
      <c r="T36" s="1481" t="s">
        <v>8</v>
      </c>
      <c r="U36" s="1482">
        <f t="shared" si="11"/>
        <v>100</v>
      </c>
      <c r="V36" s="1481" t="s">
        <v>8</v>
      </c>
      <c r="W36" s="1482">
        <f t="shared" si="12"/>
        <v>100</v>
      </c>
      <c r="X36" s="1475"/>
      <c r="Y36" s="3774"/>
      <c r="Z36" s="1483" t="str">
        <f t="shared" si="13"/>
        <v>土地级别</v>
      </c>
      <c r="AA36" s="1484">
        <f t="shared" si="3"/>
        <v>1</v>
      </c>
      <c r="AB36" s="1484">
        <f t="shared" si="4"/>
        <v>1</v>
      </c>
      <c r="AC36" s="1484">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4"/>
      <c r="M37" s="1984"/>
      <c r="N37" s="1984"/>
      <c r="O37" s="1993"/>
      <c r="P37" s="3774"/>
      <c r="Q37" s="1480">
        <f t="shared" si="8"/>
        <v>111</v>
      </c>
      <c r="R37" s="1481" t="s">
        <v>8</v>
      </c>
      <c r="S37" s="1482">
        <f t="shared" si="10"/>
        <v>100</v>
      </c>
      <c r="T37" s="1481" t="s">
        <v>8</v>
      </c>
      <c r="U37" s="1482">
        <f t="shared" si="11"/>
        <v>100</v>
      </c>
      <c r="V37" s="1481" t="s">
        <v>8</v>
      </c>
      <c r="W37" s="1482">
        <f t="shared" si="12"/>
        <v>100</v>
      </c>
      <c r="X37" s="1475"/>
      <c r="Y37" s="3774"/>
      <c r="Z37" s="1483">
        <f t="shared" si="13"/>
        <v>111</v>
      </c>
      <c r="AA37" s="1484">
        <f t="shared" si="3"/>
        <v>1</v>
      </c>
      <c r="AB37" s="1484">
        <f t="shared" si="4"/>
        <v>1</v>
      </c>
      <c r="AC37" s="1484">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4"/>
      <c r="M38" s="1984"/>
      <c r="N38" s="1984"/>
      <c r="O38" s="1993"/>
      <c r="P38" s="3775" t="s">
        <v>527</v>
      </c>
      <c r="Q38" s="1480">
        <f t="shared" si="8"/>
        <v>111</v>
      </c>
      <c r="R38" s="1481" t="s">
        <v>8</v>
      </c>
      <c r="S38" s="1482">
        <f t="shared" si="10"/>
        <v>100</v>
      </c>
      <c r="T38" s="1481" t="s">
        <v>8</v>
      </c>
      <c r="U38" s="1482">
        <f t="shared" si="11"/>
        <v>100</v>
      </c>
      <c r="V38" s="1481" t="s">
        <v>8</v>
      </c>
      <c r="W38" s="1482">
        <f t="shared" si="12"/>
        <v>100</v>
      </c>
      <c r="X38" s="1475"/>
      <c r="Y38" s="3776" t="s">
        <v>527</v>
      </c>
      <c r="Z38" s="1483">
        <f t="shared" si="13"/>
        <v>111</v>
      </c>
      <c r="AA38" s="1484">
        <f t="shared" si="3"/>
        <v>1</v>
      </c>
      <c r="AB38" s="1484">
        <f t="shared" si="4"/>
        <v>1</v>
      </c>
      <c r="AC38" s="1484">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2"/>
      <c r="M39" s="1984"/>
      <c r="N39" s="1984"/>
      <c r="O39" s="1995"/>
      <c r="P39" s="3776"/>
      <c r="Q39" s="1480">
        <f t="shared" si="8"/>
        <v>111</v>
      </c>
      <c r="R39" s="1485" t="s">
        <v>8</v>
      </c>
      <c r="S39" s="1486">
        <f t="shared" si="10"/>
        <v>100</v>
      </c>
      <c r="T39" s="1485" t="s">
        <v>8</v>
      </c>
      <c r="U39" s="1486">
        <f t="shared" si="11"/>
        <v>100</v>
      </c>
      <c r="V39" s="1485" t="s">
        <v>8</v>
      </c>
      <c r="W39" s="1486">
        <f t="shared" si="12"/>
        <v>100</v>
      </c>
      <c r="X39" s="1487"/>
      <c r="Y39" s="3776"/>
      <c r="Z39" s="1488">
        <f t="shared" si="13"/>
        <v>111</v>
      </c>
      <c r="AA39" s="1484">
        <f t="shared" si="3"/>
        <v>1</v>
      </c>
      <c r="AB39" s="1484">
        <f t="shared" si="4"/>
        <v>1</v>
      </c>
      <c r="AC39" s="1484">
        <f t="shared" si="5"/>
        <v>1</v>
      </c>
    </row>
    <row r="40" spans="1:29" ht="20.25">
      <c r="A40" s="2591" t="s">
        <v>2706</v>
      </c>
      <c r="B40" s="571" t="s">
        <v>529</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4"/>
      <c r="M40" s="1984"/>
      <c r="N40" s="1984"/>
      <c r="O40" s="1993"/>
      <c r="P40" s="3776"/>
      <c r="Q40" s="1480" t="str">
        <f>B40</f>
        <v>宗地面积</v>
      </c>
      <c r="R40" s="1481" t="s">
        <v>8</v>
      </c>
      <c r="S40" s="1482" t="e">
        <f t="shared" si="10"/>
        <v>#N/A</v>
      </c>
      <c r="T40" s="1481" t="s">
        <v>8</v>
      </c>
      <c r="U40" s="1482" t="e">
        <f t="shared" si="11"/>
        <v>#N/A</v>
      </c>
      <c r="V40" s="1481" t="s">
        <v>8</v>
      </c>
      <c r="W40" s="1482" t="e">
        <f t="shared" si="12"/>
        <v>#N/A</v>
      </c>
      <c r="X40" s="1475"/>
      <c r="Y40" s="3776"/>
      <c r="Z40" s="1483" t="str">
        <f t="shared" si="13"/>
        <v>宗地面积</v>
      </c>
      <c r="AA40" s="1484" t="e">
        <f t="shared" si="3"/>
        <v>#N/A</v>
      </c>
      <c r="AB40" s="1484" t="e">
        <f t="shared" si="4"/>
        <v>#N/A</v>
      </c>
      <c r="AC40" s="1484" t="e">
        <f t="shared" si="5"/>
        <v>#N/A</v>
      </c>
    </row>
    <row r="41" spans="1:29" ht="20.25">
      <c r="A41" s="570"/>
      <c r="B41" s="503" t="s">
        <v>530</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4"/>
      <c r="M41" s="1984"/>
      <c r="N41" s="1984"/>
      <c r="O41" s="1993"/>
      <c r="P41" s="3776"/>
      <c r="Q41" s="1480" t="str">
        <f t="shared" ref="Q41:Q47" si="14">B41</f>
        <v>宗地形状</v>
      </c>
      <c r="R41" s="1481" t="s">
        <v>8</v>
      </c>
      <c r="S41" s="1482">
        <f t="shared" si="10"/>
        <v>100</v>
      </c>
      <c r="T41" s="1481" t="s">
        <v>8</v>
      </c>
      <c r="U41" s="1482">
        <f t="shared" si="11"/>
        <v>100</v>
      </c>
      <c r="V41" s="1481" t="s">
        <v>8</v>
      </c>
      <c r="W41" s="1482">
        <f t="shared" si="12"/>
        <v>100</v>
      </c>
      <c r="X41" s="1475"/>
      <c r="Y41" s="3776"/>
      <c r="Z41" s="1483" t="str">
        <f t="shared" si="13"/>
        <v>宗地形状</v>
      </c>
      <c r="AA41" s="1484">
        <f t="shared" si="3"/>
        <v>1</v>
      </c>
      <c r="AB41" s="1484">
        <f t="shared" si="4"/>
        <v>1</v>
      </c>
      <c r="AC41" s="1484">
        <f t="shared" si="5"/>
        <v>1</v>
      </c>
    </row>
    <row r="42" spans="1:29" ht="20.25">
      <c r="A42" s="570"/>
      <c r="B42" s="503" t="s">
        <v>531</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4"/>
      <c r="M42" s="1984"/>
      <c r="N42" s="1984"/>
      <c r="O42" s="1993"/>
      <c r="P42" s="3776"/>
      <c r="Q42" s="1480" t="str">
        <f t="shared" si="14"/>
        <v>临街宽度及深度</v>
      </c>
      <c r="R42" s="1481" t="s">
        <v>8</v>
      </c>
      <c r="S42" s="1482">
        <f t="shared" si="10"/>
        <v>100</v>
      </c>
      <c r="T42" s="1481" t="s">
        <v>8</v>
      </c>
      <c r="U42" s="1482">
        <f t="shared" si="11"/>
        <v>100</v>
      </c>
      <c r="V42" s="1481" t="s">
        <v>8</v>
      </c>
      <c r="W42" s="1482">
        <f t="shared" si="12"/>
        <v>100</v>
      </c>
      <c r="X42" s="1475"/>
      <c r="Y42" s="3776"/>
      <c r="Z42" s="1483" t="str">
        <f t="shared" si="13"/>
        <v>临街宽度及深度</v>
      </c>
      <c r="AA42" s="1484">
        <f t="shared" si="3"/>
        <v>1</v>
      </c>
      <c r="AB42" s="1484">
        <f t="shared" si="4"/>
        <v>1</v>
      </c>
      <c r="AC42" s="1484">
        <f t="shared" si="5"/>
        <v>1</v>
      </c>
    </row>
    <row r="43" spans="1:29" s="1185" customFormat="1" ht="20.25">
      <c r="A43" s="576"/>
      <c r="B43" s="1781" t="s">
        <v>2384</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7"/>
      <c r="M43" s="1984"/>
      <c r="N43" s="1984"/>
      <c r="O43" s="1989"/>
      <c r="P43" s="3776"/>
      <c r="Q43" s="1480" t="str">
        <f t="shared" si="14"/>
        <v>宗地开发程度</v>
      </c>
      <c r="R43" s="1476" t="s">
        <v>8</v>
      </c>
      <c r="S43" s="1477">
        <f t="shared" si="10"/>
        <v>100</v>
      </c>
      <c r="T43" s="1476" t="s">
        <v>8</v>
      </c>
      <c r="U43" s="1477">
        <f t="shared" si="11"/>
        <v>100</v>
      </c>
      <c r="V43" s="1476" t="s">
        <v>8</v>
      </c>
      <c r="W43" s="1477">
        <f t="shared" si="12"/>
        <v>100</v>
      </c>
      <c r="X43" s="1478"/>
      <c r="Y43" s="3776"/>
      <c r="Z43" s="1115" t="str">
        <f t="shared" si="13"/>
        <v>宗地开发程度</v>
      </c>
      <c r="AA43" s="1479">
        <f t="shared" si="3"/>
        <v>1</v>
      </c>
      <c r="AB43" s="1479">
        <f t="shared" si="4"/>
        <v>1</v>
      </c>
      <c r="AC43" s="1479">
        <f t="shared" si="5"/>
        <v>1</v>
      </c>
    </row>
    <row r="44" spans="1:29" ht="20.25">
      <c r="A44" s="570"/>
      <c r="B44" s="503" t="s">
        <v>532</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4"/>
      <c r="M44" s="1984"/>
      <c r="N44" s="1984"/>
      <c r="O44" s="1993"/>
      <c r="P44" s="3776" t="s">
        <v>527</v>
      </c>
      <c r="Q44" s="1480" t="str">
        <f t="shared" si="14"/>
        <v>工程地质条件</v>
      </c>
      <c r="R44" s="1481" t="s">
        <v>8</v>
      </c>
      <c r="S44" s="1482">
        <f t="shared" si="10"/>
        <v>100</v>
      </c>
      <c r="T44" s="1481" t="s">
        <v>8</v>
      </c>
      <c r="U44" s="1482">
        <f t="shared" si="11"/>
        <v>100</v>
      </c>
      <c r="V44" s="1481" t="s">
        <v>8</v>
      </c>
      <c r="W44" s="1482">
        <f t="shared" si="12"/>
        <v>100</v>
      </c>
      <c r="X44" s="1475"/>
      <c r="Y44" s="3776" t="s">
        <v>527</v>
      </c>
      <c r="Z44" s="1483" t="str">
        <f t="shared" si="13"/>
        <v>工程地质条件</v>
      </c>
      <c r="AA44" s="1484">
        <f t="shared" si="3"/>
        <v>1</v>
      </c>
      <c r="AB44" s="1484">
        <f t="shared" si="4"/>
        <v>1</v>
      </c>
      <c r="AC44" s="1484">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4"/>
      <c r="M45" s="1984"/>
      <c r="N45" s="1984"/>
      <c r="O45" s="1993"/>
      <c r="P45" s="3776"/>
      <c r="Q45" s="1480">
        <f t="shared" si="14"/>
        <v>111</v>
      </c>
      <c r="R45" s="1481" t="s">
        <v>8</v>
      </c>
      <c r="S45" s="1482">
        <f t="shared" si="10"/>
        <v>100</v>
      </c>
      <c r="T45" s="1481" t="s">
        <v>8</v>
      </c>
      <c r="U45" s="1482">
        <f t="shared" si="11"/>
        <v>100</v>
      </c>
      <c r="V45" s="1481" t="s">
        <v>8</v>
      </c>
      <c r="W45" s="1482">
        <f t="shared" si="12"/>
        <v>100</v>
      </c>
      <c r="X45" s="1475"/>
      <c r="Y45" s="3776"/>
      <c r="Z45" s="1483">
        <f t="shared" si="13"/>
        <v>111</v>
      </c>
      <c r="AA45" s="1484">
        <f t="shared" si="3"/>
        <v>1</v>
      </c>
      <c r="AB45" s="1484">
        <f t="shared" si="4"/>
        <v>1</v>
      </c>
      <c r="AC45" s="1484">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4"/>
      <c r="M46" s="1984"/>
      <c r="N46" s="1984"/>
      <c r="O46" s="1993"/>
      <c r="P46" s="3776"/>
      <c r="Q46" s="1480">
        <f t="shared" si="14"/>
        <v>111</v>
      </c>
      <c r="R46" s="1481" t="s">
        <v>8</v>
      </c>
      <c r="S46" s="1482">
        <f t="shared" si="10"/>
        <v>100</v>
      </c>
      <c r="T46" s="1481" t="s">
        <v>8</v>
      </c>
      <c r="U46" s="1482">
        <f t="shared" si="11"/>
        <v>100</v>
      </c>
      <c r="V46" s="1481" t="s">
        <v>8</v>
      </c>
      <c r="W46" s="1482">
        <f t="shared" si="12"/>
        <v>100</v>
      </c>
      <c r="X46" s="1475"/>
      <c r="Y46" s="3776"/>
      <c r="Z46" s="1483">
        <f t="shared" si="13"/>
        <v>111</v>
      </c>
      <c r="AA46" s="1484">
        <f t="shared" si="3"/>
        <v>1</v>
      </c>
      <c r="AB46" s="1484">
        <f t="shared" si="4"/>
        <v>1</v>
      </c>
      <c r="AC46" s="1484">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2"/>
      <c r="M47" s="1984"/>
      <c r="N47" s="1984"/>
      <c r="O47" s="1995"/>
      <c r="P47" s="3776"/>
      <c r="Q47" s="1480">
        <f t="shared" si="14"/>
        <v>111</v>
      </c>
      <c r="R47" s="1485" t="s">
        <v>8</v>
      </c>
      <c r="S47" s="1486">
        <f t="shared" si="10"/>
        <v>100</v>
      </c>
      <c r="T47" s="1485" t="s">
        <v>8</v>
      </c>
      <c r="U47" s="1486">
        <f t="shared" si="11"/>
        <v>100</v>
      </c>
      <c r="V47" s="1485" t="s">
        <v>8</v>
      </c>
      <c r="W47" s="1486">
        <f t="shared" si="12"/>
        <v>100</v>
      </c>
      <c r="X47" s="1487"/>
      <c r="Y47" s="3776"/>
      <c r="Z47" s="1488">
        <f t="shared" si="13"/>
        <v>111</v>
      </c>
      <c r="AA47" s="1484">
        <f t="shared" si="3"/>
        <v>1</v>
      </c>
      <c r="AB47" s="1484">
        <f t="shared" si="4"/>
        <v>1</v>
      </c>
      <c r="AC47" s="1484">
        <f t="shared" si="5"/>
        <v>1</v>
      </c>
    </row>
    <row r="48" spans="1:29" ht="20.25">
      <c r="A48" s="583" t="s">
        <v>533</v>
      </c>
      <c r="B48" s="584" t="s">
        <v>2870</v>
      </c>
      <c r="C48" s="585" t="s">
        <v>1</v>
      </c>
      <c r="D48" s="586"/>
      <c r="E48" s="587"/>
      <c r="F48" s="588"/>
      <c r="G48" s="589"/>
      <c r="H48" s="590"/>
      <c r="I48" s="587"/>
      <c r="J48" s="590"/>
      <c r="K48" s="1268"/>
      <c r="L48" s="1996"/>
      <c r="M48" s="1984"/>
      <c r="N48" s="1984"/>
      <c r="O48" s="1997"/>
      <c r="P48" s="3771" t="str">
        <f>A48</f>
        <v>成交单价</v>
      </c>
      <c r="Q48" s="3771"/>
      <c r="R48" s="3785">
        <f>E48</f>
        <v>0</v>
      </c>
      <c r="S48" s="3785"/>
      <c r="T48" s="3785">
        <f>G48</f>
        <v>0</v>
      </c>
      <c r="U48" s="3785"/>
      <c r="V48" s="3785">
        <f>I48</f>
        <v>0</v>
      </c>
      <c r="W48" s="3785"/>
      <c r="X48" s="1470"/>
      <c r="Y48" s="1489"/>
      <c r="Z48" s="1470"/>
      <c r="AA48" s="1470"/>
      <c r="AB48" s="1470"/>
      <c r="AC48" s="1470"/>
    </row>
    <row r="49" spans="1:29" ht="21" thickBot="1">
      <c r="A49" s="591" t="s">
        <v>2644</v>
      </c>
      <c r="B49" s="592"/>
      <c r="C49" s="593" t="e">
        <f>R50</f>
        <v>#DIV/0!</v>
      </c>
      <c r="D49" s="2977" t="s">
        <v>2935</v>
      </c>
      <c r="E49" s="593" t="e">
        <f>R49</f>
        <v>#DIV/0!</v>
      </c>
      <c r="F49" s="2978"/>
      <c r="G49" s="594" t="e">
        <f>T49</f>
        <v>#DIV/0!</v>
      </c>
      <c r="H49" s="2978"/>
      <c r="I49" s="593" t="e">
        <f>V49</f>
        <v>#DIV/0!</v>
      </c>
      <c r="J49" s="2978"/>
      <c r="K49" s="2979">
        <f>F49+H49+J49</f>
        <v>0</v>
      </c>
      <c r="L49" s="1996"/>
      <c r="M49" s="1984"/>
      <c r="N49" s="1984"/>
      <c r="O49" s="1997"/>
      <c r="P49" s="3771" t="str">
        <f>A49</f>
        <v>比较价格（元/平方米）</v>
      </c>
      <c r="Q49" s="3771"/>
      <c r="R49" s="3795" t="e">
        <f>ROUND(PRODUCT(R48,AA9:AA47),0)</f>
        <v>#DIV/0!</v>
      </c>
      <c r="S49" s="3795"/>
      <c r="T49" s="3795" t="e">
        <f>ROUND(PRODUCT(T48,AB9:AB47),0)</f>
        <v>#DIV/0!</v>
      </c>
      <c r="U49" s="3795"/>
      <c r="V49" s="3795" t="e">
        <f>ROUND(PRODUCT(V48,AC9:AC47),0)</f>
        <v>#DIV/0!</v>
      </c>
      <c r="W49" s="3795"/>
      <c r="X49" s="1470"/>
      <c r="Y49" s="1470"/>
      <c r="Z49" s="1470"/>
      <c r="AA49" s="1470"/>
      <c r="AB49" s="1470"/>
      <c r="AC49" s="1470"/>
    </row>
    <row r="50" spans="1:29" ht="21" thickBot="1">
      <c r="A50" s="595" t="s">
        <v>2871</v>
      </c>
      <c r="B50" s="596"/>
      <c r="C50" s="597" t="e">
        <f>R50</f>
        <v>#DIV/0!</v>
      </c>
      <c r="D50" s="597"/>
      <c r="E50" s="597"/>
      <c r="F50" s="597"/>
      <c r="G50" s="597"/>
      <c r="H50" s="597"/>
      <c r="I50" s="597"/>
      <c r="J50" s="597"/>
      <c r="K50" s="1269"/>
      <c r="L50" s="1996"/>
      <c r="M50" s="1984"/>
      <c r="N50" s="1984"/>
      <c r="O50" s="1997"/>
      <c r="P50" s="3792" t="str">
        <f>A50</f>
        <v>估价对象XX用房的比较价格（楼面单价，元/平方米）</v>
      </c>
      <c r="Q50" s="3793"/>
      <c r="R50" s="3794" t="e">
        <f>ROUND(IF(D49="简单平均",AVERAGE(R49:W49),R49*F49+T49*H49+V49*J49),0)</f>
        <v>#DIV/0!</v>
      </c>
      <c r="S50" s="3794"/>
      <c r="T50" s="3794"/>
      <c r="U50" s="3794"/>
      <c r="V50" s="3794"/>
      <c r="W50" s="3794"/>
      <c r="X50" s="1470"/>
      <c r="Y50" s="1470"/>
      <c r="Z50" s="1470"/>
      <c r="AA50" s="1470"/>
      <c r="AB50" s="1470"/>
      <c r="AC50" s="1470"/>
    </row>
    <row r="51" spans="1:29" ht="20.25">
      <c r="A51" s="3176"/>
      <c r="B51" s="3176"/>
      <c r="C51" s="3176"/>
      <c r="D51" s="3176"/>
      <c r="E51" s="3176"/>
      <c r="F51" s="3176"/>
      <c r="G51" s="3178"/>
      <c r="H51" s="3176"/>
      <c r="I51" s="3176"/>
      <c r="J51" s="3176"/>
      <c r="K51" s="3179"/>
      <c r="L51" s="2001"/>
      <c r="M51" s="1984"/>
      <c r="N51" s="1984"/>
      <c r="O51" s="1997"/>
      <c r="P51" s="1997"/>
      <c r="Q51" s="1997"/>
      <c r="R51" s="1997"/>
      <c r="S51" s="1997"/>
      <c r="T51" s="1997"/>
      <c r="U51" s="1997"/>
      <c r="V51" s="1997"/>
      <c r="W51" s="1997"/>
      <c r="X51" s="1997"/>
      <c r="Y51" s="1997"/>
      <c r="Z51" s="1997"/>
      <c r="AA51" s="1997"/>
      <c r="AB51" s="1997"/>
      <c r="AC51" s="1997"/>
    </row>
    <row r="52" spans="1:29" ht="20.25">
      <c r="A52" s="3176"/>
      <c r="B52" s="3176"/>
      <c r="C52" s="3176"/>
      <c r="D52" s="3176"/>
      <c r="E52" s="3176"/>
      <c r="F52" s="3176"/>
      <c r="G52" s="3176"/>
      <c r="H52" s="3176"/>
      <c r="I52" s="3176"/>
      <c r="J52" s="3176"/>
      <c r="K52" s="317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6"/>
      <c r="B54" s="3176"/>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1"/>
      <c r="M54" s="1984"/>
      <c r="N54" s="1984"/>
      <c r="O54" s="1997"/>
      <c r="P54" s="1997"/>
      <c r="Q54" s="1997"/>
      <c r="R54" s="1997"/>
      <c r="S54" s="1997"/>
      <c r="T54" s="1997"/>
      <c r="U54" s="1997"/>
      <c r="V54" s="1997"/>
      <c r="W54" s="1997"/>
      <c r="X54" s="1997"/>
      <c r="Y54" s="1997"/>
      <c r="Z54" s="1997"/>
      <c r="AA54" s="1997"/>
      <c r="AB54" s="1997"/>
      <c r="AC54" s="1997"/>
    </row>
    <row r="55" spans="1:29" s="1272" customFormat="1" ht="13.5" customHeight="1">
      <c r="A55" s="3177"/>
      <c r="B55" s="3177"/>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4"/>
      <c r="M55" s="1984"/>
      <c r="N55" s="1984"/>
      <c r="O55" s="1998"/>
      <c r="P55" s="1998"/>
      <c r="Q55" s="1998"/>
      <c r="R55" s="1998"/>
      <c r="S55" s="1998"/>
      <c r="T55" s="1998"/>
      <c r="U55" s="1998"/>
      <c r="V55" s="1998"/>
      <c r="W55" s="1998"/>
      <c r="X55" s="1998"/>
      <c r="Y55" s="1998"/>
      <c r="Z55" s="1998"/>
      <c r="AA55" s="1998"/>
      <c r="AB55" s="1998"/>
      <c r="AC55" s="1998"/>
    </row>
    <row r="56" spans="1:29" s="1272" customFormat="1" ht="21" thickBot="1">
      <c r="A56" s="1998"/>
      <c r="B56" s="1999"/>
      <c r="C56" s="2002"/>
      <c r="D56" s="1998"/>
      <c r="E56" s="1998"/>
      <c r="F56" s="1998"/>
      <c r="G56" s="1998"/>
      <c r="H56" s="1998"/>
      <c r="I56" s="1998"/>
      <c r="J56" s="1998"/>
      <c r="K56" s="318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3" t="s">
        <v>537</v>
      </c>
      <c r="B57" s="604" t="s">
        <v>538</v>
      </c>
      <c r="C57" s="1471" t="s">
        <v>1697</v>
      </c>
      <c r="D57" s="2077" t="s">
        <v>2256</v>
      </c>
      <c r="E57" s="605" t="s">
        <v>539</v>
      </c>
      <c r="F57" s="606" t="s">
        <v>540</v>
      </c>
      <c r="G57" s="3755" t="s">
        <v>2245</v>
      </c>
      <c r="H57" s="3756"/>
      <c r="I57" s="1467" t="s">
        <v>1695</v>
      </c>
      <c r="J57" s="1467">
        <f>项目基本情况!F41</f>
        <v>0</v>
      </c>
      <c r="K57" s="2005" t="s">
        <v>1696</v>
      </c>
      <c r="L57" s="2001"/>
      <c r="M57" s="1997"/>
      <c r="N57" s="1997"/>
      <c r="O57" s="1997"/>
      <c r="P57" s="1997"/>
      <c r="Q57" s="1997"/>
      <c r="R57" s="1997"/>
      <c r="S57" s="1997"/>
      <c r="T57" s="1997"/>
      <c r="U57" s="1997"/>
      <c r="V57" s="1997"/>
      <c r="W57" s="1997"/>
      <c r="X57" s="1997"/>
      <c r="Y57" s="1997"/>
      <c r="Z57" s="1997"/>
      <c r="AA57" s="1997"/>
      <c r="AB57" s="1997"/>
      <c r="AC57" s="1997"/>
    </row>
    <row r="58" spans="1:29" s="1273" customFormat="1" ht="12.75">
      <c r="A58" s="607" t="s">
        <v>541</v>
      </c>
      <c r="B58" s="608" t="e">
        <f>C50</f>
        <v>#DIV/0!</v>
      </c>
      <c r="C58" s="609">
        <v>1</v>
      </c>
      <c r="D58" s="2078">
        <v>1</v>
      </c>
      <c r="E58" s="609">
        <f>'数据-汇总表'!E8+'数据-汇总表'!E9</f>
        <v>155413.54999999999</v>
      </c>
      <c r="F58" s="610" t="e">
        <f t="shared" ref="F58:F67" si="15">ROUND(B58*E58/10000,0)</f>
        <v>#DIV/0!</v>
      </c>
      <c r="G58" s="3757"/>
      <c r="H58" s="3758"/>
      <c r="I58" s="1468">
        <v>1</v>
      </c>
      <c r="J58" s="1468">
        <v>1</v>
      </c>
      <c r="K58" s="3181"/>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542</v>
      </c>
      <c r="B59" s="612" t="e">
        <f>ROUND($C$50*C59*D59,0)</f>
        <v>#DIV/0!</v>
      </c>
      <c r="C59" s="372">
        <f t="shared" ref="C59:C67" si="16">IF($C$57="北京市系数",I59,J59)</f>
        <v>0.6</v>
      </c>
      <c r="D59" s="2079">
        <v>0.25</v>
      </c>
      <c r="E59" s="613">
        <v>0</v>
      </c>
      <c r="F59" s="610" t="e">
        <f t="shared" si="15"/>
        <v>#DIV/0!</v>
      </c>
      <c r="G59" s="3759" t="s">
        <v>2246</v>
      </c>
      <c r="H59" s="1834" t="str">
        <f>项目基本情况!B43</f>
        <v>八级</v>
      </c>
      <c r="I59" s="1468">
        <f>SUMIF(修正!$A$45:$A$56,H59,修正!B45:B56)</f>
        <v>0.6</v>
      </c>
      <c r="J59" s="1469"/>
      <c r="K59" s="3181"/>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543</v>
      </c>
      <c r="B60" s="612" t="e">
        <f t="shared" ref="B60:B67" si="17">ROUND($C$50*C60*D60,0)</f>
        <v>#DIV/0!</v>
      </c>
      <c r="C60" s="372">
        <f t="shared" si="16"/>
        <v>0.3</v>
      </c>
      <c r="D60" s="2079">
        <v>0.25</v>
      </c>
      <c r="E60" s="613">
        <v>0</v>
      </c>
      <c r="F60" s="610" t="e">
        <f t="shared" si="15"/>
        <v>#DIV/0!</v>
      </c>
      <c r="G60" s="3759"/>
      <c r="H60" s="1834" t="str">
        <f>项目基本情况!B43</f>
        <v>八级</v>
      </c>
      <c r="I60" s="1468">
        <f>SUMIF(修正!$A$45:$A$56,H60,修正!C45:C56)</f>
        <v>0.3</v>
      </c>
      <c r="J60" s="1469"/>
      <c r="K60" s="3181"/>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544</v>
      </c>
      <c r="B61" s="612" t="e">
        <f t="shared" si="17"/>
        <v>#DIV/0!</v>
      </c>
      <c r="C61" s="372">
        <f t="shared" si="16"/>
        <v>0.2</v>
      </c>
      <c r="D61" s="2079">
        <v>0.25</v>
      </c>
      <c r="E61" s="613">
        <v>0</v>
      </c>
      <c r="F61" s="610" t="e">
        <f t="shared" si="15"/>
        <v>#DIV/0!</v>
      </c>
      <c r="G61" s="3759"/>
      <c r="H61" s="1834" t="str">
        <f>项目基本情况!B43</f>
        <v>八级</v>
      </c>
      <c r="I61" s="1468">
        <f>SUMIF(修正!$A$45:$A$56,H61,修正!D45:D56)</f>
        <v>0.2</v>
      </c>
      <c r="J61" s="1469"/>
      <c r="K61" s="3181"/>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2.75">
      <c r="A62" s="611" t="s">
        <v>545</v>
      </c>
      <c r="B62" s="612" t="e">
        <f t="shared" si="17"/>
        <v>#DIV/0!</v>
      </c>
      <c r="C62" s="372">
        <f t="shared" si="16"/>
        <v>0.2</v>
      </c>
      <c r="D62" s="2079">
        <v>0.25</v>
      </c>
      <c r="E62" s="613">
        <v>0</v>
      </c>
      <c r="F62" s="610" t="e">
        <f t="shared" si="15"/>
        <v>#DIV/0!</v>
      </c>
      <c r="G62" s="3759"/>
      <c r="H62" s="1834" t="str">
        <f>项目基本情况!B43</f>
        <v>八级</v>
      </c>
      <c r="I62" s="1468">
        <f>SUMIF(修正!$A$45:$A$56,H62,修正!E45:E56)</f>
        <v>0.2</v>
      </c>
      <c r="J62" s="1469"/>
      <c r="K62" s="3181"/>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2.75">
      <c r="A63" s="2181" t="s">
        <v>2291</v>
      </c>
      <c r="B63" s="612" t="e">
        <f t="shared" si="17"/>
        <v>#DIV/0!</v>
      </c>
      <c r="C63" s="372">
        <f t="shared" si="16"/>
        <v>0.2</v>
      </c>
      <c r="D63" s="2079">
        <v>0.25</v>
      </c>
      <c r="E63" s="615">
        <f>'数据-汇总表'!E11</f>
        <v>0</v>
      </c>
      <c r="F63" s="610" t="e">
        <f t="shared" si="15"/>
        <v>#DIV/0!</v>
      </c>
      <c r="G63" s="1831" t="s">
        <v>2247</v>
      </c>
      <c r="H63" s="1834" t="str">
        <f>项目基本情况!C43</f>
        <v>八级</v>
      </c>
      <c r="I63" s="1468">
        <f>SUMIF(修正!$A$45:$A$56,H63,修正!F45:F56)</f>
        <v>0.2</v>
      </c>
      <c r="J63" s="1469"/>
      <c r="K63" s="3181"/>
      <c r="L63" s="2006"/>
      <c r="M63" s="2006"/>
      <c r="N63" s="2006"/>
      <c r="O63" s="2006"/>
      <c r="P63" s="2006"/>
      <c r="Q63" s="2006"/>
      <c r="R63" s="2006"/>
      <c r="S63" s="2006"/>
      <c r="T63" s="2006"/>
      <c r="U63" s="2006"/>
      <c r="V63" s="2006"/>
      <c r="W63" s="2006"/>
      <c r="X63" s="2006"/>
      <c r="Y63" s="2006"/>
      <c r="Z63" s="2006"/>
      <c r="AA63" s="2006"/>
      <c r="AB63" s="2006"/>
      <c r="AC63" s="2006"/>
    </row>
    <row r="64" spans="1:29" s="1273" customFormat="1" ht="12.75">
      <c r="A64" s="611" t="s">
        <v>546</v>
      </c>
      <c r="B64" s="612" t="e">
        <f t="shared" si="17"/>
        <v>#DIV/0!</v>
      </c>
      <c r="C64" s="372">
        <f t="shared" si="16"/>
        <v>0.2</v>
      </c>
      <c r="D64" s="2079">
        <v>0.25</v>
      </c>
      <c r="E64" s="615">
        <f>'数据-汇总表'!E12</f>
        <v>0</v>
      </c>
      <c r="F64" s="610" t="e">
        <f t="shared" si="15"/>
        <v>#DIV/0!</v>
      </c>
      <c r="G64" s="1832" t="s">
        <v>1650</v>
      </c>
      <c r="H64" s="1830" t="str">
        <f>IF(G64="商业",项目基本情况!B43,IF(G64="办公",项目基本情况!C43,IF(G64="住宅",项目基本情况!D43,项目基本情况!E43)))</f>
        <v>八级</v>
      </c>
      <c r="I64" s="1468">
        <f>SUMIF(修正!$A$45:$A$56,H64,修正!G45:G56)</f>
        <v>0.2</v>
      </c>
      <c r="J64" s="1469"/>
      <c r="K64" s="3181"/>
      <c r="L64" s="2006"/>
      <c r="M64" s="2006"/>
      <c r="N64" s="2006"/>
      <c r="O64" s="2006"/>
      <c r="P64" s="2006"/>
      <c r="Q64" s="2006"/>
      <c r="R64" s="2006"/>
      <c r="S64" s="2006"/>
      <c r="T64" s="2006"/>
      <c r="U64" s="2006"/>
      <c r="V64" s="2006"/>
      <c r="W64" s="2006"/>
      <c r="X64" s="2006"/>
      <c r="Y64" s="2006"/>
      <c r="Z64" s="2006"/>
      <c r="AA64" s="2006"/>
      <c r="AB64" s="2006"/>
      <c r="AC64" s="2006"/>
    </row>
    <row r="65" spans="1:29" s="1273" customFormat="1" ht="12.75">
      <c r="A65" s="611" t="s">
        <v>547</v>
      </c>
      <c r="B65" s="612" t="e">
        <f t="shared" si="17"/>
        <v>#DIV/0!</v>
      </c>
      <c r="C65" s="372">
        <f t="shared" si="16"/>
        <v>0</v>
      </c>
      <c r="D65" s="2079">
        <v>0.25</v>
      </c>
      <c r="E65" s="615">
        <f>'数据-汇总表'!E13</f>
        <v>0</v>
      </c>
      <c r="F65" s="610" t="e">
        <f t="shared" si="15"/>
        <v>#DIV/0!</v>
      </c>
      <c r="G65" s="1832" t="s">
        <v>897</v>
      </c>
      <c r="H65" s="1830">
        <f>IF(G65="商业",项目基本情况!B43,IF(G65="办公",项目基本情况!C43,IF(G65="住宅",项目基本情况!D43,项目基本情况!E43)))</f>
        <v>0</v>
      </c>
      <c r="I65" s="1468">
        <f>SUMIF(修正!$A$45:$A$56,H65,修正!H45:H56)</f>
        <v>0</v>
      </c>
      <c r="J65" s="1469"/>
      <c r="K65" s="3181"/>
      <c r="L65" s="2006"/>
      <c r="M65" s="2006"/>
      <c r="N65" s="2006"/>
      <c r="O65" s="2006"/>
      <c r="P65" s="2006"/>
      <c r="Q65" s="2006"/>
      <c r="R65" s="2006"/>
      <c r="S65" s="2006"/>
      <c r="T65" s="2006"/>
      <c r="U65" s="2006"/>
      <c r="V65" s="2006"/>
      <c r="W65" s="2006"/>
      <c r="X65" s="2006"/>
      <c r="Y65" s="2006"/>
      <c r="Z65" s="2006"/>
      <c r="AA65" s="2006"/>
      <c r="AB65" s="2006"/>
      <c r="AC65" s="2006"/>
    </row>
    <row r="66" spans="1:29" s="1273" customFormat="1" ht="12.75">
      <c r="A66" s="611" t="s">
        <v>548</v>
      </c>
      <c r="B66" s="612" t="e">
        <f t="shared" si="17"/>
        <v>#DIV/0!</v>
      </c>
      <c r="C66" s="372">
        <f t="shared" si="16"/>
        <v>0.15</v>
      </c>
      <c r="D66" s="2079">
        <v>0.25</v>
      </c>
      <c r="E66" s="615">
        <f>'数据-汇总表'!E14</f>
        <v>0</v>
      </c>
      <c r="F66" s="610" t="e">
        <f t="shared" si="15"/>
        <v>#DIV/0!</v>
      </c>
      <c r="G66" s="1831" t="s">
        <v>2246</v>
      </c>
      <c r="H66" s="1834" t="str">
        <f>项目基本情况!B43</f>
        <v>八级</v>
      </c>
      <c r="I66" s="1468">
        <f>SUMIF(修正!$A$45:$A$56,H66,修正!H45:H56)</f>
        <v>0.15</v>
      </c>
      <c r="J66" s="1469"/>
      <c r="K66" s="3181"/>
      <c r="L66" s="2006"/>
      <c r="M66" s="2006"/>
      <c r="N66" s="2006"/>
      <c r="O66" s="2006"/>
      <c r="P66" s="2006"/>
      <c r="Q66" s="2006"/>
      <c r="R66" s="2006"/>
      <c r="S66" s="2006"/>
      <c r="T66" s="2006"/>
      <c r="U66" s="2006"/>
      <c r="V66" s="2006"/>
      <c r="W66" s="2006"/>
      <c r="X66" s="2006"/>
      <c r="Y66" s="2006"/>
      <c r="Z66" s="2006"/>
      <c r="AA66" s="2006"/>
      <c r="AB66" s="2006"/>
      <c r="AC66" s="2006"/>
    </row>
    <row r="67" spans="1:29" s="1273" customFormat="1" ht="13.5" thickBot="1">
      <c r="A67" s="611" t="s">
        <v>549</v>
      </c>
      <c r="B67" s="612" t="e">
        <f t="shared" si="17"/>
        <v>#DIV/0!</v>
      </c>
      <c r="C67" s="372">
        <f t="shared" si="16"/>
        <v>0.15</v>
      </c>
      <c r="D67" s="2079">
        <v>0.25</v>
      </c>
      <c r="E67" s="615">
        <f>'数据-汇总表'!E15</f>
        <v>0</v>
      </c>
      <c r="F67" s="610" t="e">
        <f t="shared" si="15"/>
        <v>#DIV/0!</v>
      </c>
      <c r="G67" s="1833" t="s">
        <v>2247</v>
      </c>
      <c r="H67" s="1835" t="str">
        <f>项目基本情况!C43</f>
        <v>八级</v>
      </c>
      <c r="I67" s="1468">
        <f>SUMIF(修正!$A$45:$A$56,H67,修正!H45:H56)</f>
        <v>0.15</v>
      </c>
      <c r="J67" s="1469"/>
      <c r="K67" s="3181"/>
      <c r="L67" s="2006"/>
      <c r="M67" s="2006"/>
      <c r="N67" s="2006"/>
      <c r="O67" s="2006"/>
      <c r="P67" s="2006"/>
      <c r="Q67" s="2006"/>
      <c r="R67" s="2006"/>
      <c r="S67" s="2006"/>
      <c r="T67" s="2006"/>
      <c r="U67" s="2006"/>
      <c r="V67" s="2006"/>
      <c r="W67" s="2006"/>
      <c r="X67" s="2006"/>
      <c r="Y67" s="2006"/>
      <c r="Z67" s="2006"/>
      <c r="AA67" s="2006"/>
      <c r="AB67" s="2006"/>
      <c r="AC67" s="2006"/>
    </row>
    <row r="68" spans="1:29" s="1273" customFormat="1" ht="13.5" thickBot="1">
      <c r="A68" s="616" t="s">
        <v>550</v>
      </c>
      <c r="B68" s="617" t="s">
        <v>17</v>
      </c>
      <c r="C68" s="617" t="s">
        <v>18</v>
      </c>
      <c r="D68" s="617" t="s">
        <v>2257</v>
      </c>
      <c r="E68" s="617">
        <f>IF(B48="楼面地价",SUM(E58:E67),'数据-汇总表'!D3)</f>
        <v>155413.54999999999</v>
      </c>
      <c r="F68" s="618"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2022-3-1</v>
      </c>
      <c r="D70" s="2483">
        <f>EDATE(C70,-3)</f>
        <v>44531</v>
      </c>
      <c r="E70" s="2483">
        <f t="shared" ref="E70:N70" si="18">EDATE(D70,-3)</f>
        <v>44440</v>
      </c>
      <c r="F70" s="2483">
        <f t="shared" si="18"/>
        <v>44348</v>
      </c>
      <c r="G70" s="2483">
        <f t="shared" si="18"/>
        <v>44256</v>
      </c>
      <c r="H70" s="2483">
        <f t="shared" si="18"/>
        <v>44166</v>
      </c>
      <c r="I70" s="2483">
        <f t="shared" si="18"/>
        <v>44075</v>
      </c>
      <c r="J70" s="2483">
        <f t="shared" si="18"/>
        <v>43983</v>
      </c>
      <c r="K70" s="2483">
        <f t="shared" si="18"/>
        <v>43891</v>
      </c>
      <c r="L70" s="2483">
        <f t="shared" si="18"/>
        <v>43800</v>
      </c>
      <c r="M70" s="2483">
        <f t="shared" si="18"/>
        <v>43709</v>
      </c>
      <c r="N70" s="2483">
        <f t="shared" si="18"/>
        <v>43617</v>
      </c>
      <c r="O70" s="1997"/>
      <c r="P70" s="1997"/>
      <c r="Q70" s="1997"/>
      <c r="R70" s="1997"/>
      <c r="S70" s="1997"/>
      <c r="T70" s="1997"/>
      <c r="U70" s="1997"/>
      <c r="V70" s="1997"/>
      <c r="W70" s="1997"/>
      <c r="X70" s="1997"/>
      <c r="Y70" s="1997"/>
      <c r="Z70" s="1997"/>
      <c r="AA70" s="1997"/>
      <c r="AB70" s="1997"/>
      <c r="AC70" s="1997"/>
    </row>
    <row r="71" spans="1:29" ht="21.75" thickBot="1">
      <c r="A71" s="1492" t="s">
        <v>551</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4" customFormat="1" ht="15">
      <c r="A72" s="2388" t="s">
        <v>2484</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5" customFormat="1" ht="27" customHeight="1">
      <c r="A73" s="2490" t="s">
        <v>2598</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8"/>
      <c r="N73" s="2479"/>
      <c r="O73" s="2013"/>
      <c r="P73" s="2009"/>
      <c r="Q73" s="1876"/>
      <c r="R73" s="1876"/>
      <c r="S73" s="1876"/>
      <c r="T73" s="1876"/>
      <c r="U73" s="1876"/>
      <c r="V73" s="1876"/>
      <c r="W73" s="1876"/>
      <c r="X73" s="1876"/>
      <c r="Y73" s="1876"/>
      <c r="Z73" s="1876"/>
      <c r="AA73" s="1876"/>
      <c r="AB73" s="1876"/>
      <c r="AC73" s="1876"/>
    </row>
    <row r="74" spans="1:29" s="1185" customFormat="1" ht="15" customHeight="1" thickBot="1">
      <c r="A74" s="2481" t="s">
        <v>2597</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5" customFormat="1" ht="15">
      <c r="A75" s="633" t="s">
        <v>508</v>
      </c>
      <c r="B75" s="622"/>
      <c r="C75" s="634" t="s">
        <v>553</v>
      </c>
      <c r="D75" s="635"/>
      <c r="E75" s="635"/>
      <c r="F75" s="635"/>
      <c r="G75" s="635"/>
      <c r="H75" s="635"/>
      <c r="I75" s="635"/>
      <c r="J75" s="635"/>
      <c r="K75" s="635"/>
      <c r="L75" s="636"/>
      <c r="M75" s="637"/>
      <c r="N75" s="2013"/>
      <c r="O75" s="2013"/>
      <c r="P75" s="2014"/>
      <c r="Q75" s="2009"/>
      <c r="R75" s="1876"/>
      <c r="S75" s="1876"/>
      <c r="T75" s="1876"/>
      <c r="U75" s="1876"/>
      <c r="V75" s="1876"/>
      <c r="W75" s="1876"/>
      <c r="X75" s="1876"/>
      <c r="Y75" s="1876"/>
      <c r="Z75" s="1876"/>
      <c r="AA75" s="1876"/>
      <c r="AB75" s="1876"/>
      <c r="AC75" s="1876"/>
    </row>
    <row r="76" spans="1:29" s="1185" customFormat="1" ht="15.75" thickBot="1">
      <c r="A76" s="633"/>
      <c r="B76" s="622"/>
      <c r="C76" s="623">
        <v>100</v>
      </c>
      <c r="D76" s="624"/>
      <c r="E76" s="624"/>
      <c r="F76" s="624"/>
      <c r="G76" s="624"/>
      <c r="H76" s="624"/>
      <c r="I76" s="624"/>
      <c r="J76" s="624"/>
      <c r="K76" s="624"/>
      <c r="L76" s="624"/>
      <c r="M76" s="626"/>
      <c r="N76" s="2013"/>
      <c r="O76" s="2013"/>
      <c r="P76" s="2009"/>
      <c r="Q76" s="2009"/>
      <c r="R76" s="1876"/>
      <c r="S76" s="1876"/>
      <c r="T76" s="1876"/>
      <c r="U76" s="1876"/>
      <c r="V76" s="1876"/>
      <c r="W76" s="1876"/>
      <c r="X76" s="1876"/>
      <c r="Y76" s="1876"/>
      <c r="Z76" s="1876"/>
      <c r="AA76" s="1876"/>
      <c r="AB76" s="1876"/>
      <c r="AC76" s="1876"/>
    </row>
    <row r="77" spans="1:29">
      <c r="A77" s="638" t="s">
        <v>554</v>
      </c>
      <c r="B77" s="639" t="s">
        <v>511</v>
      </c>
      <c r="C77" s="574"/>
      <c r="D77" s="574"/>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44"/>
      <c r="C78" s="645"/>
      <c r="D78" s="645"/>
      <c r="E78" s="645"/>
      <c r="F78" s="645"/>
      <c r="G78" s="645"/>
      <c r="H78" s="645"/>
      <c r="I78" s="645"/>
      <c r="J78" s="645"/>
      <c r="K78" s="645"/>
      <c r="L78" s="645"/>
      <c r="M78" s="646"/>
      <c r="N78" s="2017"/>
      <c r="O78" s="2017"/>
      <c r="P78" s="2016"/>
      <c r="Q78" s="2009"/>
      <c r="R78" s="1997"/>
      <c r="S78" s="1997"/>
      <c r="T78" s="1997"/>
      <c r="U78" s="1997"/>
      <c r="V78" s="1997"/>
      <c r="W78" s="1997"/>
      <c r="X78" s="1997"/>
      <c r="Y78" s="1997"/>
      <c r="Z78" s="1997"/>
      <c r="AA78" s="1997"/>
      <c r="AB78" s="1997"/>
      <c r="AC78" s="1997"/>
    </row>
    <row r="79" spans="1:29" ht="27.75" thickTop="1">
      <c r="A79" s="643"/>
      <c r="B79" s="647" t="s">
        <v>514</v>
      </c>
      <c r="C79" s="648"/>
      <c r="D79" s="648"/>
      <c r="E79" s="648"/>
      <c r="F79" s="648"/>
      <c r="G79" s="648"/>
      <c r="H79" s="648"/>
      <c r="I79" s="648"/>
      <c r="J79" s="648"/>
      <c r="K79" s="649"/>
      <c r="L79" s="650"/>
      <c r="M79" s="651"/>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c r="D80" s="653"/>
      <c r="E80" s="653"/>
      <c r="F80" s="653"/>
      <c r="G80" s="653"/>
      <c r="H80" s="653"/>
      <c r="I80" s="653"/>
      <c r="J80" s="653"/>
      <c r="K80" s="653"/>
      <c r="L80" s="653"/>
      <c r="M80" s="654"/>
      <c r="N80" s="2017"/>
      <c r="O80" s="2017"/>
      <c r="P80" s="2016"/>
      <c r="Q80" s="2009"/>
      <c r="R80" s="1997"/>
      <c r="S80" s="1997"/>
      <c r="T80" s="1997"/>
      <c r="U80" s="1997"/>
      <c r="V80" s="1997"/>
      <c r="W80" s="1997"/>
      <c r="X80" s="1997"/>
      <c r="Y80" s="1997"/>
      <c r="Z80" s="1997"/>
      <c r="AA80" s="1997"/>
      <c r="AB80" s="1997"/>
      <c r="AC80" s="1997"/>
    </row>
    <row r="81" spans="1:29" ht="15.75" thickTop="1">
      <c r="A81" s="643"/>
      <c r="B81" s="655" t="s">
        <v>515</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3"/>
      <c r="B82" s="657"/>
      <c r="C82" s="517"/>
      <c r="D82" s="517"/>
      <c r="E82" s="517"/>
      <c r="F82" s="517"/>
      <c r="G82" s="517"/>
      <c r="H82" s="517"/>
      <c r="I82" s="517"/>
      <c r="J82" s="517"/>
      <c r="K82" s="658"/>
      <c r="L82" s="659"/>
      <c r="M82" s="660"/>
      <c r="N82" s="2015"/>
      <c r="O82" s="2015"/>
      <c r="P82" s="2016"/>
      <c r="Q82" s="2009"/>
      <c r="R82" s="1997"/>
      <c r="S82" s="1997"/>
      <c r="T82" s="1997"/>
      <c r="U82" s="1997"/>
      <c r="V82" s="1997"/>
      <c r="W82" s="1997"/>
      <c r="X82" s="1997"/>
      <c r="Y82" s="1997"/>
      <c r="Z82" s="1997"/>
      <c r="AA82" s="1997"/>
      <c r="AB82" s="1997"/>
      <c r="AC82" s="1997"/>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7"/>
      <c r="O83" s="2017"/>
      <c r="P83" s="2016"/>
      <c r="Q83" s="2009"/>
      <c r="R83" s="1997"/>
      <c r="S83" s="1997"/>
      <c r="T83" s="1997"/>
      <c r="U83" s="1997"/>
      <c r="V83" s="1997"/>
      <c r="W83" s="1997"/>
      <c r="X83" s="1997"/>
      <c r="Y83" s="1997"/>
      <c r="Z83" s="1997"/>
      <c r="AA83" s="1997"/>
      <c r="AB83" s="1997"/>
      <c r="AC83" s="1997"/>
    </row>
    <row r="84" spans="1:29" s="1267" customFormat="1" ht="15.75" thickTop="1">
      <c r="A84" s="661"/>
      <c r="B84" s="647" t="str">
        <f>B14</f>
        <v>配建</v>
      </c>
      <c r="C84" s="662"/>
      <c r="D84" s="1301"/>
      <c r="E84" s="1302"/>
      <c r="F84" s="662"/>
      <c r="G84" s="662"/>
      <c r="H84" s="663"/>
      <c r="I84" s="663"/>
      <c r="J84" s="663"/>
      <c r="K84" s="663"/>
      <c r="L84" s="664"/>
      <c r="M84" s="665"/>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7"/>
      <c r="O85" s="2017"/>
      <c r="P85" s="2019"/>
      <c r="Q85" s="2020"/>
      <c r="R85" s="2021"/>
      <c r="S85" s="2021"/>
      <c r="T85" s="2021"/>
      <c r="U85" s="2021"/>
      <c r="V85" s="2021"/>
      <c r="W85" s="2021"/>
      <c r="X85" s="2021"/>
      <c r="Y85" s="2021"/>
      <c r="Z85" s="2021"/>
      <c r="AA85" s="2021"/>
      <c r="AB85" s="2021"/>
      <c r="AC85" s="2021"/>
    </row>
    <row r="86" spans="1:29" s="1267" customFormat="1" ht="15.75" thickTop="1">
      <c r="A86" s="661"/>
      <c r="B86" s="647">
        <f>B15</f>
        <v>111</v>
      </c>
      <c r="C86" s="662"/>
      <c r="D86" s="662"/>
      <c r="E86" s="662"/>
      <c r="F86" s="662"/>
      <c r="G86" s="662"/>
      <c r="H86" s="663"/>
      <c r="I86" s="663"/>
      <c r="J86" s="663"/>
      <c r="K86" s="663"/>
      <c r="L86" s="664"/>
      <c r="M86" s="665"/>
      <c r="N86" s="2018"/>
      <c r="O86" s="2018"/>
      <c r="P86" s="2022"/>
      <c r="Q86" s="2023"/>
      <c r="R86" s="2021"/>
      <c r="S86" s="2021"/>
      <c r="T86" s="2021"/>
      <c r="U86" s="2021"/>
      <c r="V86" s="2021"/>
      <c r="W86" s="2021"/>
      <c r="X86" s="2021"/>
      <c r="Y86" s="2021"/>
      <c r="Z86" s="2021"/>
      <c r="AA86" s="2021"/>
      <c r="AB86" s="2021"/>
      <c r="AC86" s="2021"/>
    </row>
    <row r="87" spans="1:29" s="1267" customFormat="1" ht="15.75" thickBot="1">
      <c r="A87" s="661"/>
      <c r="B87" s="652"/>
      <c r="C87" s="666"/>
      <c r="D87" s="666"/>
      <c r="E87" s="666"/>
      <c r="F87" s="666"/>
      <c r="G87" s="666"/>
      <c r="H87" s="667"/>
      <c r="I87" s="667"/>
      <c r="J87" s="667"/>
      <c r="K87" s="667"/>
      <c r="L87" s="667"/>
      <c r="M87" s="668"/>
      <c r="N87" s="2018"/>
      <c r="O87" s="2018"/>
      <c r="P87" s="2019"/>
      <c r="Q87" s="2020"/>
      <c r="R87" s="2021"/>
      <c r="S87" s="2021"/>
      <c r="T87" s="2021"/>
      <c r="U87" s="2021"/>
      <c r="V87" s="2021"/>
      <c r="W87" s="2021"/>
      <c r="X87" s="2021"/>
      <c r="Y87" s="2021"/>
      <c r="Z87" s="2021"/>
      <c r="AA87" s="2021"/>
      <c r="AB87" s="2021"/>
      <c r="AC87" s="2021"/>
    </row>
    <row r="88" spans="1:29" s="1267" customFormat="1" ht="15.75" thickTop="1">
      <c r="A88" s="661"/>
      <c r="B88" s="655">
        <f>B16</f>
        <v>111</v>
      </c>
      <c r="C88" s="635"/>
      <c r="D88" s="635"/>
      <c r="E88" s="635"/>
      <c r="F88" s="635"/>
      <c r="G88" s="635"/>
      <c r="H88" s="669"/>
      <c r="I88" s="669"/>
      <c r="J88" s="669"/>
      <c r="K88" s="669"/>
      <c r="L88" s="670"/>
      <c r="M88" s="671"/>
      <c r="N88" s="2018"/>
      <c r="O88" s="2018"/>
      <c r="P88" s="2024"/>
      <c r="Q88" s="2020"/>
      <c r="R88" s="2021"/>
      <c r="S88" s="2021"/>
      <c r="T88" s="2021"/>
      <c r="U88" s="2021"/>
      <c r="V88" s="2021"/>
      <c r="W88" s="2021"/>
      <c r="X88" s="2021"/>
      <c r="Y88" s="2021"/>
      <c r="Z88" s="2021"/>
      <c r="AA88" s="2021"/>
      <c r="AB88" s="2021"/>
      <c r="AC88" s="2021"/>
    </row>
    <row r="89" spans="1:29" s="1267" customFormat="1" ht="15.75" thickBot="1">
      <c r="A89" s="672"/>
      <c r="B89" s="673"/>
      <c r="C89" s="674"/>
      <c r="D89" s="674"/>
      <c r="E89" s="674"/>
      <c r="F89" s="674"/>
      <c r="G89" s="674"/>
      <c r="H89" s="675"/>
      <c r="I89" s="675"/>
      <c r="J89" s="675"/>
      <c r="K89" s="675"/>
      <c r="L89" s="675"/>
      <c r="M89" s="676"/>
      <c r="N89" s="2018"/>
      <c r="O89" s="2018"/>
      <c r="P89" s="2019"/>
      <c r="Q89" s="2020"/>
      <c r="R89" s="2021"/>
      <c r="S89" s="2021"/>
      <c r="T89" s="2021"/>
      <c r="U89" s="2021"/>
      <c r="V89" s="2021"/>
      <c r="W89" s="2021"/>
      <c r="X89" s="2021"/>
      <c r="Y89" s="2021"/>
      <c r="Z89" s="2021"/>
      <c r="AA89" s="2021"/>
      <c r="AB89" s="2021"/>
      <c r="AC89" s="2021"/>
    </row>
    <row r="90" spans="1:29">
      <c r="A90" s="638" t="s">
        <v>516</v>
      </c>
      <c r="B90" s="639" t="s">
        <v>555</v>
      </c>
      <c r="C90" s="677" t="s">
        <v>556</v>
      </c>
      <c r="D90" s="677" t="s">
        <v>557</v>
      </c>
      <c r="E90" s="677" t="s">
        <v>558</v>
      </c>
      <c r="F90" s="677" t="s">
        <v>559</v>
      </c>
      <c r="G90" s="677" t="s">
        <v>560</v>
      </c>
      <c r="H90" s="678"/>
      <c r="I90" s="678"/>
      <c r="J90" s="678"/>
      <c r="K90" s="679"/>
      <c r="L90" s="680"/>
      <c r="M90" s="681"/>
      <c r="N90" s="2015"/>
      <c r="O90" s="2015"/>
      <c r="P90" s="2025"/>
      <c r="Q90" s="2009"/>
      <c r="R90" s="1997"/>
      <c r="S90" s="1997"/>
      <c r="T90" s="1997"/>
      <c r="U90" s="1997"/>
      <c r="V90" s="1997"/>
      <c r="W90" s="1997"/>
      <c r="X90" s="1997"/>
      <c r="Y90" s="1997"/>
      <c r="Z90" s="1997"/>
      <c r="AA90" s="1997"/>
      <c r="AB90" s="1997"/>
      <c r="AC90" s="1997"/>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7"/>
      <c r="O91" s="2017"/>
      <c r="P91" s="2016"/>
      <c r="Q91" s="2009"/>
      <c r="R91" s="1997"/>
      <c r="S91" s="1997"/>
      <c r="T91" s="1997"/>
      <c r="U91" s="1997"/>
      <c r="V91" s="1997"/>
      <c r="W91" s="1997"/>
      <c r="X91" s="1997"/>
      <c r="Y91" s="1997"/>
      <c r="Z91" s="1997"/>
      <c r="AA91" s="1997"/>
      <c r="AB91" s="1997"/>
      <c r="AC91" s="1997"/>
    </row>
    <row r="92" spans="1:29" ht="15.75" thickTop="1">
      <c r="A92" s="643"/>
      <c r="B92" s="647" t="s">
        <v>561</v>
      </c>
      <c r="C92" s="682" t="s">
        <v>556</v>
      </c>
      <c r="D92" s="682" t="s">
        <v>557</v>
      </c>
      <c r="E92" s="682" t="s">
        <v>558</v>
      </c>
      <c r="F92" s="682" t="s">
        <v>559</v>
      </c>
      <c r="G92" s="682" t="s">
        <v>560</v>
      </c>
      <c r="H92" s="648"/>
      <c r="I92" s="648"/>
      <c r="J92" s="648"/>
      <c r="K92" s="649"/>
      <c r="L92" s="650"/>
      <c r="M92" s="651"/>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7"/>
      <c r="O93" s="2017"/>
      <c r="P93" s="2016"/>
      <c r="Q93" s="2009"/>
      <c r="R93" s="1997"/>
      <c r="S93" s="1997"/>
      <c r="T93" s="1997"/>
      <c r="U93" s="1997"/>
      <c r="V93" s="1997"/>
      <c r="W93" s="1997"/>
      <c r="X93" s="1997"/>
      <c r="Y93" s="1997"/>
      <c r="Z93" s="1997"/>
      <c r="AA93" s="1997"/>
      <c r="AB93" s="1997"/>
      <c r="AC93" s="1997"/>
    </row>
    <row r="94" spans="1:29" ht="15.75" thickTop="1">
      <c r="A94" s="643"/>
      <c r="B94" s="647" t="s">
        <v>562</v>
      </c>
      <c r="C94" s="682" t="s">
        <v>556</v>
      </c>
      <c r="D94" s="682" t="s">
        <v>557</v>
      </c>
      <c r="E94" s="682" t="s">
        <v>558</v>
      </c>
      <c r="F94" s="682" t="s">
        <v>559</v>
      </c>
      <c r="G94" s="682" t="s">
        <v>560</v>
      </c>
      <c r="H94" s="648"/>
      <c r="I94" s="648"/>
      <c r="J94" s="648"/>
      <c r="K94" s="649"/>
      <c r="L94" s="650"/>
      <c r="M94" s="651"/>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7"/>
      <c r="O95" s="2017"/>
      <c r="P95" s="2016"/>
      <c r="Q95" s="2009"/>
      <c r="R95" s="1997"/>
      <c r="S95" s="1997"/>
      <c r="T95" s="1997"/>
      <c r="U95" s="1997"/>
      <c r="V95" s="1997"/>
      <c r="W95" s="1997"/>
      <c r="X95" s="1997"/>
      <c r="Y95" s="1997"/>
      <c r="Z95" s="1997"/>
      <c r="AA95" s="1997"/>
      <c r="AB95" s="1997"/>
      <c r="AC95" s="1997"/>
    </row>
    <row r="96" spans="1:29" ht="15.75" thickTop="1">
      <c r="A96" s="643"/>
      <c r="B96" s="647" t="s">
        <v>563</v>
      </c>
      <c r="C96" s="682" t="s">
        <v>556</v>
      </c>
      <c r="D96" s="682" t="s">
        <v>557</v>
      </c>
      <c r="E96" s="682" t="s">
        <v>558</v>
      </c>
      <c r="F96" s="682" t="s">
        <v>559</v>
      </c>
      <c r="G96" s="682" t="s">
        <v>560</v>
      </c>
      <c r="H96" s="648"/>
      <c r="I96" s="648"/>
      <c r="J96" s="648"/>
      <c r="K96" s="649"/>
      <c r="L96" s="650"/>
      <c r="M96" s="651"/>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7"/>
      <c r="O97" s="2017"/>
      <c r="P97" s="2016"/>
      <c r="Q97" s="2009"/>
      <c r="R97" s="1997"/>
      <c r="S97" s="1997"/>
      <c r="T97" s="1997"/>
      <c r="U97" s="1997"/>
      <c r="V97" s="1997"/>
      <c r="W97" s="1997"/>
      <c r="X97" s="1997"/>
      <c r="Y97" s="1997"/>
      <c r="Z97" s="1997"/>
      <c r="AA97" s="1997"/>
      <c r="AB97" s="1997"/>
      <c r="AC97" s="1997"/>
    </row>
    <row r="98" spans="1:29" s="1185" customFormat="1" ht="27.75" thickTop="1">
      <c r="A98" s="683"/>
      <c r="B98" s="647" t="s">
        <v>564</v>
      </c>
      <c r="C98" s="682" t="s">
        <v>556</v>
      </c>
      <c r="D98" s="682" t="s">
        <v>557</v>
      </c>
      <c r="E98" s="682" t="s">
        <v>558</v>
      </c>
      <c r="F98" s="682" t="s">
        <v>559</v>
      </c>
      <c r="G98" s="682" t="s">
        <v>560</v>
      </c>
      <c r="H98" s="682"/>
      <c r="I98" s="682"/>
      <c r="J98" s="682"/>
      <c r="K98" s="682"/>
      <c r="L98" s="684"/>
      <c r="M98" s="685"/>
      <c r="N98" s="2013"/>
      <c r="O98" s="2013"/>
      <c r="P98" s="2016"/>
      <c r="Q98" s="2009"/>
      <c r="R98" s="1876"/>
      <c r="S98" s="1876"/>
      <c r="T98" s="1876"/>
      <c r="U98" s="1876"/>
      <c r="V98" s="1876"/>
      <c r="W98" s="1876"/>
      <c r="X98" s="1876"/>
      <c r="Y98" s="1876"/>
      <c r="Z98" s="1876"/>
      <c r="AA98" s="1876"/>
      <c r="AB98" s="1876"/>
      <c r="AC98" s="1876"/>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7"/>
      <c r="O99" s="2017"/>
      <c r="P99" s="2016"/>
      <c r="Q99" s="2009"/>
      <c r="R99" s="1876"/>
      <c r="S99" s="1876"/>
      <c r="T99" s="1876"/>
      <c r="U99" s="1876"/>
      <c r="V99" s="1876"/>
      <c r="W99" s="1876"/>
      <c r="X99" s="1876"/>
      <c r="Y99" s="1876"/>
      <c r="Z99" s="1876"/>
      <c r="AA99" s="1876"/>
      <c r="AB99" s="1876"/>
      <c r="AC99" s="1876"/>
    </row>
    <row r="100" spans="1:29" s="1185" customFormat="1" ht="27.75" thickTop="1">
      <c r="A100" s="683"/>
      <c r="B100" s="647" t="s">
        <v>565</v>
      </c>
      <c r="C100" s="677" t="s">
        <v>556</v>
      </c>
      <c r="D100" s="677" t="s">
        <v>557</v>
      </c>
      <c r="E100" s="677" t="s">
        <v>558</v>
      </c>
      <c r="F100" s="677" t="s">
        <v>559</v>
      </c>
      <c r="G100" s="677" t="s">
        <v>560</v>
      </c>
      <c r="H100" s="682"/>
      <c r="I100" s="682"/>
      <c r="J100" s="682"/>
      <c r="K100" s="682"/>
      <c r="L100" s="682"/>
      <c r="M100" s="685"/>
      <c r="N100" s="2013"/>
      <c r="O100" s="2013"/>
      <c r="P100" s="2016"/>
      <c r="Q100" s="2009"/>
      <c r="R100" s="1876"/>
      <c r="S100" s="1876"/>
      <c r="T100" s="1876"/>
      <c r="U100" s="1876"/>
      <c r="V100" s="1876"/>
      <c r="W100" s="1876"/>
      <c r="X100" s="1876"/>
      <c r="Y100" s="1876"/>
      <c r="Z100" s="1876"/>
      <c r="AA100" s="1876"/>
      <c r="AB100" s="1876"/>
      <c r="AC100" s="1876"/>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7"/>
      <c r="O101" s="2017"/>
      <c r="P101" s="2016"/>
      <c r="Q101" s="2009"/>
      <c r="R101" s="1876"/>
      <c r="S101" s="1876"/>
      <c r="T101" s="1876"/>
      <c r="U101" s="1876"/>
      <c r="V101" s="1876"/>
      <c r="W101" s="1876"/>
      <c r="X101" s="1876"/>
      <c r="Y101" s="1876"/>
      <c r="Z101" s="1876"/>
      <c r="AA101" s="1876"/>
      <c r="AB101" s="1876"/>
      <c r="AC101" s="1876"/>
    </row>
    <row r="102" spans="1:29" s="1267" customFormat="1" ht="15.75" thickTop="1">
      <c r="A102" s="661"/>
      <c r="B102" s="1782" t="s">
        <v>2500</v>
      </c>
      <c r="C102" s="677" t="s">
        <v>556</v>
      </c>
      <c r="D102" s="677" t="s">
        <v>557</v>
      </c>
      <c r="E102" s="677" t="s">
        <v>558</v>
      </c>
      <c r="F102" s="677" t="s">
        <v>559</v>
      </c>
      <c r="G102" s="677" t="s">
        <v>560</v>
      </c>
      <c r="H102" s="687"/>
      <c r="I102" s="687"/>
      <c r="J102" s="687"/>
      <c r="K102" s="687"/>
      <c r="L102" s="688"/>
      <c r="M102" s="689"/>
      <c r="N102" s="2018"/>
      <c r="O102" s="2018"/>
      <c r="P102" s="2019"/>
      <c r="Q102" s="2020"/>
      <c r="R102" s="2021"/>
      <c r="S102" s="2021"/>
      <c r="T102" s="2021"/>
      <c r="U102" s="2021"/>
      <c r="V102" s="2021"/>
      <c r="W102" s="2021"/>
      <c r="X102" s="2021"/>
      <c r="Y102" s="2021"/>
      <c r="Z102" s="2021"/>
      <c r="AA102" s="2021"/>
      <c r="AB102" s="2021"/>
      <c r="AC102" s="2021"/>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Top="1">
      <c r="A104" s="661"/>
      <c r="B104" s="2408" t="s">
        <v>2502</v>
      </c>
      <c r="C104" s="2409" t="s">
        <v>2503</v>
      </c>
      <c r="D104" s="2409" t="s">
        <v>2504</v>
      </c>
      <c r="E104" s="2409" t="s">
        <v>2505</v>
      </c>
      <c r="F104" s="2409" t="s">
        <v>2506</v>
      </c>
      <c r="G104" s="2409" t="s">
        <v>2507</v>
      </c>
      <c r="H104" s="687"/>
      <c r="I104" s="687"/>
      <c r="J104" s="687"/>
      <c r="K104" s="687"/>
      <c r="L104" s="687"/>
      <c r="M104" s="689"/>
      <c r="N104" s="2018"/>
      <c r="O104" s="2018"/>
      <c r="P104" s="2019"/>
      <c r="Q104" s="2020"/>
      <c r="R104" s="2021"/>
      <c r="S104" s="2021"/>
      <c r="T104" s="2021"/>
      <c r="U104" s="2021"/>
      <c r="V104" s="2021"/>
      <c r="W104" s="2021"/>
      <c r="X104" s="2021"/>
      <c r="Y104" s="2021"/>
      <c r="Z104" s="2021"/>
      <c r="AA104" s="2021"/>
      <c r="AB104" s="2021"/>
      <c r="AC104" s="2021"/>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3"/>
      <c r="B106" s="647" t="str">
        <f>B33</f>
        <v>临街状况</v>
      </c>
      <c r="C106" s="648" t="s">
        <v>566</v>
      </c>
      <c r="D106" s="648" t="s">
        <v>567</v>
      </c>
      <c r="E106" s="648" t="s">
        <v>568</v>
      </c>
      <c r="F106" s="648" t="s">
        <v>569</v>
      </c>
      <c r="G106" s="648"/>
      <c r="H106" s="648"/>
      <c r="I106" s="648"/>
      <c r="J106" s="648"/>
      <c r="K106" s="649"/>
      <c r="L106" s="650"/>
      <c r="M106" s="651"/>
      <c r="N106" s="2015"/>
      <c r="O106" s="2015"/>
      <c r="P106" s="2016"/>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3"/>
      <c r="B108" s="647" t="s">
        <v>525</v>
      </c>
      <c r="C108" s="662"/>
      <c r="D108" s="662"/>
      <c r="E108" s="662"/>
      <c r="F108" s="662"/>
      <c r="G108" s="662"/>
      <c r="H108" s="692"/>
      <c r="I108" s="692"/>
      <c r="J108" s="692"/>
      <c r="K108" s="693"/>
      <c r="L108" s="694"/>
      <c r="M108" s="695"/>
      <c r="N108" s="2015"/>
      <c r="O108" s="2015"/>
      <c r="P108" s="2016"/>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3"/>
      <c r="B110" s="647" t="s">
        <v>526</v>
      </c>
      <c r="C110" s="692"/>
      <c r="D110" s="692"/>
      <c r="E110" s="692"/>
      <c r="F110" s="692"/>
      <c r="G110" s="692"/>
      <c r="H110" s="692"/>
      <c r="I110" s="692"/>
      <c r="J110" s="692"/>
      <c r="K110" s="693"/>
      <c r="L110" s="694"/>
      <c r="M110" s="69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3"/>
      <c r="B112" s="655">
        <f>B37</f>
        <v>111</v>
      </c>
      <c r="C112" s="662"/>
      <c r="D112" s="662"/>
      <c r="E112" s="662"/>
      <c r="F112" s="662"/>
      <c r="G112" s="696"/>
      <c r="H112" s="696"/>
      <c r="I112" s="696"/>
      <c r="J112" s="696"/>
      <c r="K112" s="697"/>
      <c r="L112" s="698"/>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643"/>
      <c r="B113" s="673"/>
      <c r="C113" s="666"/>
      <c r="D113" s="666"/>
      <c r="E113" s="666"/>
      <c r="F113" s="666"/>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ht="15" thickTop="1">
      <c r="A114" s="563"/>
      <c r="B114" s="647">
        <f>B38</f>
        <v>111</v>
      </c>
      <c r="C114" s="635"/>
      <c r="D114" s="635"/>
      <c r="E114" s="635"/>
      <c r="F114" s="635"/>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74"/>
      <c r="D115" s="674"/>
      <c r="E115" s="674"/>
      <c r="F115" s="674"/>
      <c r="G115" s="645"/>
      <c r="H115" s="645"/>
      <c r="I115" s="645"/>
      <c r="J115" s="645"/>
      <c r="K115" s="645"/>
      <c r="L115" s="645"/>
      <c r="M115" s="646"/>
      <c r="N115" s="2017"/>
      <c r="O115" s="2017"/>
      <c r="P115" s="2016"/>
      <c r="Q115" s="2009"/>
      <c r="R115" s="1997"/>
      <c r="S115" s="1997"/>
      <c r="T115" s="1997"/>
      <c r="U115" s="1997"/>
      <c r="V115" s="1997"/>
      <c r="W115" s="1997"/>
      <c r="X115" s="1997"/>
      <c r="Y115" s="1997"/>
      <c r="Z115" s="1997"/>
      <c r="AA115" s="1997"/>
      <c r="AB115" s="1997"/>
      <c r="AC115" s="1997"/>
    </row>
    <row r="116" spans="1:29" s="1267" customFormat="1" ht="15" thickTop="1">
      <c r="A116" s="702"/>
      <c r="B116" s="703">
        <f>B39</f>
        <v>111</v>
      </c>
      <c r="C116" s="704"/>
      <c r="D116" s="704"/>
      <c r="E116" s="704"/>
      <c r="F116" s="704"/>
      <c r="G116" s="704"/>
      <c r="H116" s="704"/>
      <c r="I116" s="704"/>
      <c r="J116" s="705"/>
      <c r="K116" s="705"/>
      <c r="L116" s="706"/>
      <c r="M116" s="707"/>
      <c r="N116" s="2018"/>
      <c r="O116" s="2018"/>
      <c r="P116" s="2019"/>
      <c r="Q116" s="2020"/>
      <c r="R116" s="2021"/>
      <c r="S116" s="2021"/>
      <c r="T116" s="2021"/>
      <c r="U116" s="2021"/>
      <c r="V116" s="2021"/>
      <c r="W116" s="2021"/>
      <c r="X116" s="2021"/>
      <c r="Y116" s="2021"/>
      <c r="Z116" s="2021"/>
      <c r="AA116" s="2021"/>
      <c r="AB116" s="2021"/>
      <c r="AC116" s="2021"/>
    </row>
    <row r="117" spans="1:29" s="1267" customFormat="1" ht="15.75" thickBot="1">
      <c r="A117" s="661"/>
      <c r="B117" s="655"/>
      <c r="C117" s="624"/>
      <c r="D117" s="568"/>
      <c r="E117" s="568"/>
      <c r="F117" s="568"/>
      <c r="G117" s="568"/>
      <c r="H117" s="568"/>
      <c r="I117" s="568"/>
      <c r="J117" s="568"/>
      <c r="K117" s="568"/>
      <c r="L117" s="568"/>
      <c r="M117" s="708"/>
      <c r="N117" s="2017"/>
      <c r="O117" s="2017"/>
      <c r="P117" s="2019"/>
      <c r="Q117" s="2020"/>
      <c r="R117" s="2021"/>
      <c r="S117" s="2021"/>
      <c r="T117" s="2021"/>
      <c r="U117" s="2021"/>
      <c r="V117" s="2021"/>
      <c r="W117" s="2021"/>
      <c r="X117" s="2021"/>
      <c r="Y117" s="2021"/>
      <c r="Z117" s="2021"/>
      <c r="AA117" s="2021"/>
      <c r="AB117" s="2021"/>
      <c r="AC117" s="2021"/>
    </row>
    <row r="118" spans="1:29">
      <c r="A118" s="638" t="s">
        <v>528</v>
      </c>
      <c r="B118" s="639" t="s">
        <v>570</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4" t="str">
        <f t="shared" si="25"/>
        <v>(含)-</v>
      </c>
      <c r="K118" s="2744" t="str">
        <f t="shared" si="25"/>
        <v>(含)-</v>
      </c>
      <c r="L118" s="2745" t="str">
        <f t="shared" si="25"/>
        <v>(含)-</v>
      </c>
      <c r="M118" s="274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3"/>
      <c r="B119" s="655"/>
      <c r="C119" s="704"/>
      <c r="D119" s="704"/>
      <c r="E119" s="704"/>
      <c r="F119" s="704"/>
      <c r="G119" s="704"/>
      <c r="H119" s="704"/>
      <c r="I119" s="704"/>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3"/>
      <c r="B120" s="652"/>
      <c r="C120" s="674"/>
      <c r="D120" s="700"/>
      <c r="E120" s="700"/>
      <c r="F120" s="700"/>
      <c r="G120" s="700"/>
      <c r="H120" s="700"/>
      <c r="I120" s="700"/>
      <c r="J120" s="700"/>
      <c r="K120" s="700"/>
      <c r="L120" s="700"/>
      <c r="M120" s="701"/>
      <c r="N120" s="2017"/>
      <c r="O120" s="2017"/>
      <c r="P120" s="2016"/>
      <c r="Q120" s="2009"/>
      <c r="R120" s="1997"/>
      <c r="S120" s="1997"/>
      <c r="T120" s="1997"/>
      <c r="U120" s="1997"/>
      <c r="V120" s="1997"/>
      <c r="W120" s="1997"/>
      <c r="X120" s="1997"/>
      <c r="Y120" s="1997"/>
      <c r="Z120" s="1997"/>
      <c r="AA120" s="1997"/>
      <c r="AB120" s="1997"/>
      <c r="AC120" s="1997"/>
    </row>
    <row r="121" spans="1:29" ht="15" thickTop="1">
      <c r="A121" s="709"/>
      <c r="B121" s="647" t="s">
        <v>571</v>
      </c>
      <c r="C121" s="692"/>
      <c r="D121" s="692"/>
      <c r="E121" s="692"/>
      <c r="F121" s="692"/>
      <c r="G121" s="692"/>
      <c r="H121" s="692"/>
      <c r="I121" s="692"/>
      <c r="J121" s="692"/>
      <c r="K121" s="693"/>
      <c r="L121" s="694"/>
      <c r="M121" s="695"/>
      <c r="N121" s="2015"/>
      <c r="O121" s="2015"/>
      <c r="P121" s="2016"/>
      <c r="Q121" s="2009"/>
      <c r="R121" s="1997"/>
      <c r="S121" s="1997"/>
      <c r="T121" s="1997"/>
      <c r="U121" s="1997"/>
      <c r="V121" s="1997"/>
      <c r="W121" s="1997"/>
      <c r="X121" s="1997"/>
      <c r="Y121" s="1997"/>
      <c r="Z121" s="1997"/>
      <c r="AA121" s="1997"/>
      <c r="AB121" s="1997"/>
      <c r="AC121" s="1997"/>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9"/>
      <c r="B123" s="647" t="s">
        <v>572</v>
      </c>
      <c r="C123" s="662"/>
      <c r="D123" s="662"/>
      <c r="E123" s="662"/>
      <c r="F123" s="692"/>
      <c r="G123" s="692"/>
      <c r="H123" s="692"/>
      <c r="I123" s="692"/>
      <c r="J123" s="692"/>
      <c r="K123" s="693"/>
      <c r="L123" s="694"/>
      <c r="M123" s="695"/>
      <c r="N123" s="2015"/>
      <c r="O123" s="2015"/>
      <c r="P123" s="2016"/>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7"/>
      <c r="O124" s="2017"/>
      <c r="P124" s="2016"/>
      <c r="Q124" s="2009"/>
      <c r="R124" s="1997"/>
      <c r="S124" s="1997"/>
      <c r="T124" s="1997"/>
      <c r="U124" s="1997"/>
      <c r="V124" s="1997"/>
      <c r="W124" s="1997"/>
      <c r="X124" s="1997"/>
      <c r="Y124" s="1997"/>
      <c r="Z124" s="1997"/>
      <c r="AA124" s="1997"/>
      <c r="AB124" s="1997"/>
      <c r="AC124" s="1997"/>
    </row>
    <row r="125" spans="1:29" s="1267" customFormat="1" ht="15" thickTop="1">
      <c r="A125" s="702"/>
      <c r="B125" s="1782" t="s">
        <v>2385</v>
      </c>
      <c r="C125" s="1301"/>
      <c r="D125" s="1301"/>
      <c r="E125" s="1301"/>
      <c r="F125" s="1301"/>
      <c r="G125" s="1301"/>
      <c r="H125" s="692"/>
      <c r="I125" s="692"/>
      <c r="J125" s="692"/>
      <c r="K125" s="693"/>
      <c r="L125" s="694"/>
      <c r="M125" s="695"/>
      <c r="N125" s="2018"/>
      <c r="O125" s="2018"/>
      <c r="P125" s="2019"/>
      <c r="Q125" s="2020"/>
      <c r="R125" s="2021"/>
      <c r="S125" s="2021"/>
      <c r="T125" s="2021"/>
      <c r="U125" s="2021"/>
      <c r="V125" s="2021"/>
      <c r="W125" s="2021"/>
      <c r="X125" s="2021"/>
      <c r="Y125" s="2021"/>
      <c r="Z125" s="2021"/>
      <c r="AA125" s="2021"/>
      <c r="AB125" s="2021"/>
      <c r="AC125" s="2021"/>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9"/>
      <c r="B127" s="647" t="s">
        <v>573</v>
      </c>
      <c r="C127" s="662"/>
      <c r="D127" s="662"/>
      <c r="E127" s="692"/>
      <c r="F127" s="692"/>
      <c r="G127" s="692"/>
      <c r="H127" s="692"/>
      <c r="I127" s="692"/>
      <c r="J127" s="692"/>
      <c r="K127" s="693"/>
      <c r="L127" s="694"/>
      <c r="M127" s="695"/>
      <c r="N127" s="2015"/>
      <c r="O127" s="2015"/>
      <c r="P127" s="2016"/>
      <c r="Q127" s="2009"/>
      <c r="R127" s="1997"/>
      <c r="S127" s="1997"/>
      <c r="T127" s="1997"/>
      <c r="U127" s="1997"/>
      <c r="V127" s="1997"/>
      <c r="W127" s="1997"/>
      <c r="X127" s="1997"/>
      <c r="Y127" s="1997"/>
      <c r="Z127" s="1997"/>
      <c r="AA127" s="1997"/>
      <c r="AB127" s="1997"/>
      <c r="AC127" s="1997"/>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9"/>
      <c r="B129" s="647">
        <f>B45</f>
        <v>111</v>
      </c>
      <c r="C129" s="662"/>
      <c r="D129" s="662"/>
      <c r="E129" s="662"/>
      <c r="F129" s="662"/>
      <c r="G129" s="662"/>
      <c r="H129" s="692"/>
      <c r="I129" s="692"/>
      <c r="J129" s="692"/>
      <c r="K129" s="693"/>
      <c r="L129" s="694"/>
      <c r="M129" s="695"/>
      <c r="N129" s="2015"/>
      <c r="O129" s="2015"/>
      <c r="P129" s="2016"/>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16"/>
      <c r="Q130" s="2009"/>
      <c r="R130" s="1997"/>
      <c r="S130" s="1997"/>
      <c r="T130" s="1997"/>
      <c r="U130" s="1997"/>
      <c r="V130" s="1997"/>
      <c r="W130" s="1997"/>
      <c r="X130" s="1997"/>
      <c r="Y130" s="1997"/>
      <c r="Z130" s="1997"/>
      <c r="AA130" s="1997"/>
      <c r="AB130" s="1997"/>
      <c r="AC130" s="1997"/>
    </row>
    <row r="131" spans="1:29" ht="15" thickTop="1">
      <c r="A131" s="709"/>
      <c r="B131" s="647">
        <f>B46</f>
        <v>111</v>
      </c>
      <c r="C131" s="635"/>
      <c r="D131" s="635"/>
      <c r="E131" s="635"/>
      <c r="F131" s="635"/>
      <c r="G131" s="692"/>
      <c r="H131" s="692"/>
      <c r="I131" s="692"/>
      <c r="J131" s="692"/>
      <c r="K131" s="693"/>
      <c r="L131" s="694"/>
      <c r="M131" s="695"/>
      <c r="N131" s="2015"/>
      <c r="O131" s="2015"/>
      <c r="P131" s="2016"/>
      <c r="Q131" s="2009"/>
      <c r="R131" s="1997"/>
      <c r="S131" s="1997"/>
      <c r="T131" s="1997"/>
      <c r="U131" s="1997"/>
      <c r="V131" s="1997"/>
      <c r="W131" s="1997"/>
      <c r="X131" s="1997"/>
      <c r="Y131" s="1997"/>
      <c r="Z131" s="1997"/>
      <c r="AA131" s="1997"/>
      <c r="AB131" s="1997"/>
      <c r="AC131" s="1997"/>
    </row>
    <row r="132" spans="1:29" ht="15.75" thickBot="1">
      <c r="A132" s="643"/>
      <c r="B132" s="652"/>
      <c r="C132" s="674"/>
      <c r="D132" s="674"/>
      <c r="E132" s="674"/>
      <c r="F132" s="674"/>
      <c r="G132" s="645"/>
      <c r="H132" s="645"/>
      <c r="I132" s="645"/>
      <c r="J132" s="645"/>
      <c r="K132" s="645"/>
      <c r="L132" s="645"/>
      <c r="M132" s="646"/>
      <c r="N132" s="2017"/>
      <c r="O132" s="2017"/>
      <c r="P132" s="2016"/>
      <c r="Q132" s="2009"/>
      <c r="R132" s="1997"/>
      <c r="S132" s="1997"/>
      <c r="T132" s="1997"/>
      <c r="U132" s="1997"/>
      <c r="V132" s="1997"/>
      <c r="W132" s="1997"/>
      <c r="X132" s="1997"/>
      <c r="Y132" s="1997"/>
      <c r="Z132" s="1997"/>
      <c r="AA132" s="1997"/>
      <c r="AB132" s="1997"/>
      <c r="AC132" s="1997"/>
    </row>
    <row r="133" spans="1:29" s="1267" customFormat="1" ht="15" thickTop="1">
      <c r="A133" s="702"/>
      <c r="B133" s="647">
        <f>B47</f>
        <v>111</v>
      </c>
      <c r="C133" s="635"/>
      <c r="D133" s="635"/>
      <c r="E133" s="635"/>
      <c r="F133" s="635"/>
      <c r="G133" s="663"/>
      <c r="H133" s="663"/>
      <c r="I133" s="663"/>
      <c r="J133" s="663"/>
      <c r="K133" s="663"/>
      <c r="L133" s="664"/>
      <c r="M133" s="665"/>
      <c r="N133" s="2018"/>
      <c r="O133" s="2018"/>
      <c r="P133" s="2019"/>
      <c r="Q133" s="2020"/>
      <c r="R133" s="2021"/>
      <c r="S133" s="2021"/>
      <c r="T133" s="2021"/>
      <c r="U133" s="2021"/>
      <c r="V133" s="2021"/>
      <c r="W133" s="2021"/>
      <c r="X133" s="2021"/>
      <c r="Y133" s="2021"/>
      <c r="Z133" s="2021"/>
      <c r="AA133" s="2021"/>
      <c r="AB133" s="2021"/>
      <c r="AC133" s="2021"/>
    </row>
    <row r="134" spans="1:29" s="1267" customFormat="1" ht="15.75" thickBot="1">
      <c r="A134" s="672"/>
      <c r="B134" s="710"/>
      <c r="C134" s="674"/>
      <c r="D134" s="674"/>
      <c r="E134" s="674"/>
      <c r="F134" s="674"/>
      <c r="G134" s="700"/>
      <c r="H134" s="700"/>
      <c r="I134" s="700"/>
      <c r="J134" s="700"/>
      <c r="K134" s="700"/>
      <c r="L134" s="700"/>
      <c r="M134" s="701"/>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375" style="1977" customWidth="1"/>
    <col min="6" max="6" width="10.125" style="1967" customWidth="1"/>
    <col min="7" max="7" width="9.375" style="1967" customWidth="1"/>
    <col min="8" max="8" width="10" style="1967" customWidth="1"/>
    <col min="9" max="11" width="9.375" style="1967" customWidth="1"/>
    <col min="12" max="12" width="9" style="1968" customWidth="1"/>
    <col min="13" max="13" width="10.375" style="1968" bestFit="1" customWidth="1"/>
    <col min="14" max="26" width="9" style="1968" customWidth="1"/>
    <col min="27" max="254" width="9" style="1967" customWidth="1"/>
    <col min="255" max="16384" width="6.625" style="1967"/>
  </cols>
  <sheetData>
    <row r="1" spans="1:41" s="1895" customFormat="1" ht="20.25">
      <c r="A1" s="415" t="s">
        <v>459</v>
      </c>
      <c r="B1" s="2493" t="s">
        <v>955</v>
      </c>
      <c r="C1" s="1957"/>
      <c r="D1" s="1957"/>
      <c r="E1" s="1957"/>
      <c r="F1" s="1957"/>
      <c r="G1" s="1957"/>
      <c r="H1" s="1957"/>
      <c r="I1" s="1957"/>
      <c r="J1" s="1957"/>
      <c r="K1" s="416">
        <f>MATCH(B1,'数据-取费表'!A6:A16,0)+5</f>
        <v>6</v>
      </c>
      <c r="L1" s="290"/>
      <c r="M1" s="290"/>
      <c r="N1" s="290"/>
      <c r="O1" s="290"/>
      <c r="P1" s="290"/>
      <c r="Q1" s="290"/>
      <c r="R1" s="290"/>
      <c r="S1" s="290"/>
      <c r="T1" s="290"/>
      <c r="U1" s="290"/>
      <c r="V1" s="290"/>
      <c r="W1" s="290"/>
      <c r="X1" s="290"/>
      <c r="Y1" s="290"/>
      <c r="Z1" s="290"/>
    </row>
    <row r="2" spans="1:41" s="1895" customFormat="1" ht="18" customHeight="1">
      <c r="A2" s="417" t="s">
        <v>460</v>
      </c>
      <c r="B2" s="418">
        <f ca="1">C27</f>
        <v>26764.589122667723</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1657</v>
      </c>
      <c r="B3" s="419">
        <f ca="1">ROUND(B2*10000/IF(B1="",'数据-汇总表'!E3,INDIRECT("'数据-取费表'!K"&amp;$K$1)),0)</f>
        <v>2611</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461</v>
      </c>
      <c r="B4" s="421">
        <f ca="1">ROUND(B2*10000/IF(B1="",'数据-汇总表'!D3,INDIRECT("'数据-取费表'!R"&amp;$K$1)),0)</f>
        <v>2611</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174</v>
      </c>
      <c r="C5" s="425" t="s">
        <v>462</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2603</v>
      </c>
      <c r="B6" s="427"/>
      <c r="C6" s="1525">
        <f ca="1">SUM(C10:K10)</f>
        <v>52666</v>
      </c>
      <c r="D6" s="1962"/>
      <c r="E6" s="1962"/>
      <c r="F6" s="1962"/>
      <c r="G6" s="1962"/>
      <c r="H6" s="1962"/>
      <c r="I6" s="1962"/>
      <c r="J6" s="1962"/>
      <c r="K6" s="1963"/>
      <c r="L6" s="3160"/>
      <c r="M6" s="3160"/>
      <c r="N6" s="3160"/>
      <c r="O6" s="3160"/>
      <c r="P6" s="3160"/>
      <c r="Q6" s="3160"/>
      <c r="R6" s="3160"/>
      <c r="S6" s="3160"/>
      <c r="T6" s="3160"/>
      <c r="U6" s="3160"/>
      <c r="V6" s="3160"/>
      <c r="W6" s="3160"/>
      <c r="X6" s="3160"/>
      <c r="Y6" s="3160"/>
      <c r="Z6" s="3160"/>
    </row>
    <row r="7" spans="1:41" s="1966" customFormat="1" ht="15">
      <c r="A7" s="428" t="s">
        <v>463</v>
      </c>
      <c r="B7" s="429" t="s">
        <v>464</v>
      </c>
      <c r="C7" s="430" t="s">
        <v>955</v>
      </c>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3" t="s">
        <v>1818</v>
      </c>
      <c r="B8" s="432" t="s">
        <v>465</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3" t="s">
        <v>1819</v>
      </c>
      <c r="B9" s="432" t="s">
        <v>466</v>
      </c>
      <c r="C9" s="435">
        <f>SUMIF('数据-汇总表'!$C19:$C33,剩余法工业!C7,'数据-汇总表'!$E19:$E33)</f>
        <v>102489.97</v>
      </c>
      <c r="D9" s="435">
        <f>SUMIF('数据-汇总表'!$C19:$C33,剩余法工业!D7,'数据-汇总表'!$E19:$E33)</f>
        <v>0</v>
      </c>
      <c r="E9" s="435">
        <f>SUMIF('数据-汇总表'!$C19:$C33,剩余法工业!E7,'数据-汇总表'!$E19:$E33)</f>
        <v>0</v>
      </c>
      <c r="F9" s="435">
        <f>SUMIF('数据-汇总表'!$C19:$C33,剩余法工业!F7,'数据-汇总表'!$E19:$E33)</f>
        <v>0</v>
      </c>
      <c r="G9" s="435">
        <f>SUMIF('数据-汇总表'!$C19:$C33,剩余法工业!G7,'数据-汇总表'!$E19:$E33)</f>
        <v>0</v>
      </c>
      <c r="H9" s="435">
        <f>SUMIF('数据-汇总表'!$C19:$C33,剩余法工业!H7,'数据-汇总表'!$E19:$E33)</f>
        <v>0</v>
      </c>
      <c r="I9" s="435">
        <f>SUMIF('数据-汇总表'!$C19:$C33,剩余法工业!I7,'数据-汇总表'!$E19:$E33)</f>
        <v>0</v>
      </c>
      <c r="J9" s="435">
        <f>SUMIF('数据-汇总表'!$C19:$C33,剩余法工业!J7,'数据-汇总表'!$E19:$E33)</f>
        <v>0</v>
      </c>
      <c r="K9" s="436">
        <f>SUMIF('数据-汇总表'!$C19:$C33,剩余法工业!K7,'数据-汇总表'!$E19:$E33)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1820</v>
      </c>
      <c r="B10" s="1526" t="s">
        <v>467</v>
      </c>
      <c r="C10" s="1527">
        <f ca="1">不动产收益法工业!C40</f>
        <v>52666</v>
      </c>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2969</v>
      </c>
      <c r="B11" s="1523"/>
      <c r="C11" s="1523"/>
      <c r="D11" s="1523"/>
      <c r="E11" s="1523"/>
      <c r="F11" s="1523"/>
      <c r="G11" s="1523"/>
      <c r="H11" s="1523"/>
      <c r="I11" s="1523"/>
      <c r="J11" s="1523"/>
      <c r="K11" s="1524"/>
      <c r="L11" s="3160"/>
      <c r="M11" s="3160"/>
      <c r="N11" s="3160"/>
      <c r="O11" s="3160"/>
      <c r="P11" s="3160"/>
      <c r="Q11" s="3160"/>
      <c r="R11" s="3160"/>
      <c r="S11" s="3160"/>
      <c r="T11" s="3160"/>
      <c r="U11" s="3160"/>
      <c r="V11" s="3160"/>
      <c r="W11" s="3160"/>
      <c r="X11" s="3160"/>
      <c r="Y11" s="3160"/>
      <c r="Z11" s="3160"/>
    </row>
    <row r="12" spans="1:41" s="1938" customFormat="1" ht="13.5" customHeight="1">
      <c r="A12" s="428" t="s">
        <v>2970</v>
      </c>
      <c r="B12" s="437" t="s">
        <v>2971</v>
      </c>
      <c r="C12" s="438" t="s">
        <v>2972</v>
      </c>
      <c r="D12" s="439" t="s">
        <v>2973</v>
      </c>
      <c r="E12" s="439" t="s">
        <v>2974</v>
      </c>
      <c r="F12" s="439" t="s">
        <v>2975</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9" customFormat="1" ht="13.5" customHeight="1">
      <c r="A13" s="1535" t="s">
        <v>1804</v>
      </c>
      <c r="B13" s="442" t="s">
        <v>2977</v>
      </c>
      <c r="C13" s="443">
        <f ca="1">IF(B1="",'数据-取费表'!M16,INDIRECT("'数据-取费表'!M"&amp;$K$1)+INDIRECT("'数据-取费表'!t"&amp;$K$1))</f>
        <v>20498</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5" t="s">
        <v>1822</v>
      </c>
      <c r="B14" s="442" t="s">
        <v>2978</v>
      </c>
      <c r="C14" s="53">
        <f ca="1">ROUND(C13*F14,0)</f>
        <v>615</v>
      </c>
      <c r="D14" s="444"/>
      <c r="E14" s="363"/>
      <c r="F14" s="446">
        <f>'数据-取费表'!B33</f>
        <v>0.03</v>
      </c>
      <c r="G14" s="437" t="s">
        <v>2979</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5"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5" t="s">
        <v>1824</v>
      </c>
      <c r="B16" s="442" t="s">
        <v>2981</v>
      </c>
      <c r="C16" s="53">
        <f ca="1">ROUND(D16*E16/10000,0)</f>
        <v>2050</v>
      </c>
      <c r="D16" s="444">
        <f ca="1">IF(B1="",'数据-汇总表'!E3,INDIRECT("'数据-取费表'!K"&amp;$K$1)+INDIRECT("'数据-取费表'!S"&amp;$K$1))</f>
        <v>102489.97</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1825</v>
      </c>
      <c r="B17" s="442" t="s">
        <v>2982</v>
      </c>
      <c r="C17" s="447">
        <f ca="1">ROUND(C13*F17,0)</f>
        <v>307</v>
      </c>
      <c r="D17" s="448"/>
      <c r="E17" s="447"/>
      <c r="F17" s="449">
        <f>剩余法办公!F17</f>
        <v>1.4999999999999999E-2</v>
      </c>
      <c r="G17" s="437" t="s">
        <v>2979</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6" t="s">
        <v>2983</v>
      </c>
      <c r="B18" s="452" t="s">
        <v>2984</v>
      </c>
      <c r="C18" s="453">
        <f ca="1">SUM(C13:C17)</f>
        <v>23470</v>
      </c>
      <c r="D18" s="454"/>
      <c r="E18" s="455"/>
      <c r="F18" s="455"/>
      <c r="G18" s="1262" t="s">
        <v>2985</v>
      </c>
      <c r="H18" s="440"/>
      <c r="I18" s="440"/>
      <c r="J18" s="440"/>
      <c r="K18" s="441"/>
      <c r="L18" s="3163"/>
      <c r="M18" s="3163"/>
      <c r="N18" s="3163"/>
      <c r="O18" s="3163"/>
      <c r="P18" s="3163"/>
      <c r="Q18" s="3163"/>
      <c r="R18" s="3163"/>
      <c r="S18" s="3163"/>
      <c r="T18" s="3163"/>
      <c r="U18" s="3163"/>
      <c r="V18" s="3163"/>
      <c r="W18" s="3163"/>
      <c r="X18" s="3163"/>
      <c r="Y18" s="3163"/>
      <c r="Z18" s="3163"/>
    </row>
    <row r="19" spans="1:26" s="1972" customFormat="1" ht="13.5" customHeight="1">
      <c r="A19" s="1536" t="s">
        <v>1827</v>
      </c>
      <c r="B19" s="452" t="s">
        <v>2986</v>
      </c>
      <c r="C19" s="453">
        <f ca="1">ROUND(C18*F19,0)</f>
        <v>235</v>
      </c>
      <c r="D19" s="454"/>
      <c r="E19" s="455"/>
      <c r="F19" s="459">
        <f>'数据-取费表'!B37</f>
        <v>0.01</v>
      </c>
      <c r="G19" s="437" t="s">
        <v>2987</v>
      </c>
      <c r="H19" s="440"/>
      <c r="I19" s="440"/>
      <c r="J19" s="440"/>
      <c r="K19" s="441"/>
      <c r="L19" s="3165"/>
      <c r="M19" s="3165"/>
      <c r="N19" s="3165"/>
      <c r="O19" s="3163"/>
      <c r="P19" s="3163"/>
      <c r="Q19" s="3163"/>
      <c r="R19" s="3163"/>
      <c r="S19" s="3163"/>
      <c r="T19" s="3163"/>
      <c r="U19" s="3163"/>
      <c r="V19" s="3163"/>
      <c r="W19" s="3163"/>
      <c r="X19" s="3163"/>
      <c r="Y19" s="3163"/>
      <c r="Z19" s="3163"/>
    </row>
    <row r="20" spans="1:26" s="1972" customFormat="1" ht="13.5" customHeight="1">
      <c r="A20" s="1536" t="s">
        <v>1828</v>
      </c>
      <c r="B20" s="454" t="s">
        <v>2988</v>
      </c>
      <c r="C20" s="463">
        <f ca="1">ROUND(IF('数据-取费表'!B22&lt;=1,(C18+C19)*F20*'数据-取费表'!B20/2,(C18+C19)*(POWER((1+F20),'数据-取费表'!B20/2)-1)),0)</f>
        <v>1126</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4" customFormat="1" ht="13.5" customHeight="1">
      <c r="A21" s="1536" t="s">
        <v>2989</v>
      </c>
      <c r="B21" s="2709" t="s">
        <v>2990</v>
      </c>
      <c r="C21" s="471">
        <f ca="1">ROUND((C18+C19)*F21,0)</f>
        <v>2371</v>
      </c>
      <c r="D21" s="3242"/>
      <c r="E21" s="455"/>
      <c r="F21" s="472">
        <f ca="1">IF(B1="",'数据-取费表'!Q16,INDIRECT("'数据-取费表'!q"&amp;$K$1))</f>
        <v>0.1</v>
      </c>
      <c r="G21" s="437"/>
      <c r="H21" s="440"/>
      <c r="I21" s="440"/>
      <c r="J21" s="440"/>
      <c r="K21" s="441"/>
      <c r="L21" s="3170" t="s">
        <v>2407</v>
      </c>
      <c r="M21" s="3171"/>
      <c r="N21" s="3171"/>
      <c r="O21" s="3171"/>
      <c r="P21" s="3171"/>
      <c r="Q21" s="3165"/>
      <c r="R21" s="3165"/>
      <c r="S21" s="3165"/>
      <c r="T21" s="3165"/>
      <c r="U21" s="3165"/>
      <c r="V21" s="3165"/>
      <c r="W21" s="3165"/>
      <c r="X21" s="3165"/>
      <c r="Y21" s="3165"/>
      <c r="Z21" s="3165"/>
    </row>
    <row r="22" spans="1:26" s="1973" customFormat="1" ht="13.5" customHeight="1">
      <c r="A22" s="1536" t="s">
        <v>1832</v>
      </c>
      <c r="B22" s="469" t="s">
        <v>2991</v>
      </c>
      <c r="C22" s="476"/>
      <c r="D22" s="476"/>
      <c r="E22" s="455"/>
      <c r="F22" s="3243">
        <f ca="1">IF(B1="",'数据-取费表'!N16,INDIRECT("'数据-取费表'!N"&amp;$K$1))</f>
        <v>0.7</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3" customFormat="1" ht="13.5" customHeight="1" thickBot="1">
      <c r="A23" s="3244" t="s">
        <v>1833</v>
      </c>
      <c r="B23" s="3245" t="s">
        <v>2992</v>
      </c>
      <c r="C23" s="3246">
        <f ca="1">ROUND((C18+C19+C20+C21)*F22,0)</f>
        <v>19041</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3" customFormat="1" ht="13.5" customHeight="1" thickBot="1">
      <c r="A24" s="3745" t="s">
        <v>2993</v>
      </c>
      <c r="B24" s="3746"/>
      <c r="C24" s="3250">
        <f ca="1">ROUND(C6*F24/(1+'数据-取费表'!B42),0)</f>
        <v>2759</v>
      </c>
      <c r="D24" s="3251"/>
      <c r="E24" s="455"/>
      <c r="F24" s="3252">
        <f>'数据-取费表'!B41</f>
        <v>5.5000000000000007E-2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3" customFormat="1" ht="13.5" customHeight="1" thickBot="1">
      <c r="A25" s="3745" t="s">
        <v>2994</v>
      </c>
      <c r="B25" s="3746"/>
      <c r="C25" s="3250">
        <f ca="1">ROUND(C6*F25,0)</f>
        <v>527</v>
      </c>
      <c r="D25" s="3251"/>
      <c r="E25" s="455"/>
      <c r="F25" s="3255">
        <f>'数据-取费表'!B38</f>
        <v>0.01</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3" customFormat="1" ht="13.5" customHeight="1" thickBot="1">
      <c r="A26" s="3745" t="s">
        <v>2995</v>
      </c>
      <c r="B26" s="3746"/>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3" customFormat="1" ht="13.5" customHeight="1" thickBot="1">
      <c r="A27" s="3747" t="s">
        <v>2996</v>
      </c>
      <c r="B27" s="3748"/>
      <c r="C27" s="3263">
        <f ca="1">(C6-C23-C24-C25)/((1+F26)*(1+D20+F21))</f>
        <v>26764.589122667723</v>
      </c>
      <c r="D27" s="3264"/>
      <c r="E27" s="3264"/>
      <c r="F27" s="3264"/>
      <c r="G27" s="3265" t="s">
        <v>2997</v>
      </c>
      <c r="H27" s="3264"/>
      <c r="I27" s="3264"/>
      <c r="J27" s="3264"/>
      <c r="K27" s="3266"/>
      <c r="L27" s="3164"/>
      <c r="M27" s="3164"/>
      <c r="N27" s="3164"/>
      <c r="O27" s="3164"/>
      <c r="P27" s="3164"/>
      <c r="Q27" s="3164"/>
      <c r="R27" s="3164"/>
      <c r="S27" s="3164"/>
      <c r="T27" s="3164"/>
      <c r="U27" s="3164"/>
      <c r="V27" s="3164"/>
      <c r="W27" s="3164"/>
      <c r="X27" s="3164"/>
      <c r="Y27" s="3164"/>
      <c r="Z27" s="3164"/>
    </row>
    <row r="28" spans="1:26" s="1968" customFormat="1">
      <c r="A28" s="3168"/>
      <c r="C28" s="3169"/>
      <c r="E28" s="3168"/>
    </row>
    <row r="29" spans="1:26" s="1968" customFormat="1">
      <c r="A29" s="3168"/>
      <c r="C29" s="3169"/>
      <c r="E29" s="3168"/>
    </row>
    <row r="30" spans="1:26" s="1968" customFormat="1">
      <c r="A30" s="3168"/>
      <c r="C30" s="3169"/>
      <c r="E30" s="3168"/>
    </row>
    <row r="31" spans="1:26" s="1968" customFormat="1">
      <c r="A31" s="3168"/>
      <c r="C31" s="3169"/>
      <c r="E31" s="3168"/>
    </row>
    <row r="32" spans="1:26" s="1968" customFormat="1">
      <c r="A32" s="3168"/>
      <c r="C32" s="3169"/>
      <c r="E32" s="3168"/>
    </row>
    <row r="33" spans="1:5" s="1968" customFormat="1">
      <c r="A33" s="3168"/>
      <c r="C33" s="3169"/>
      <c r="E33" s="3168"/>
    </row>
    <row r="34" spans="1:5" s="1968" customFormat="1">
      <c r="A34" s="3168"/>
      <c r="C34" s="3169"/>
      <c r="E34" s="3168"/>
    </row>
    <row r="35" spans="1:5" s="1968" customFormat="1">
      <c r="A35" s="3168"/>
      <c r="C35" s="3169"/>
      <c r="E35" s="3168"/>
    </row>
    <row r="36" spans="1:5" s="1968" customFormat="1">
      <c r="A36" s="3168"/>
      <c r="C36" s="3169"/>
      <c r="E36" s="3168"/>
    </row>
    <row r="37" spans="1:5" s="1968" customFormat="1">
      <c r="A37" s="3168"/>
      <c r="C37" s="3169"/>
      <c r="E37" s="3168"/>
    </row>
    <row r="38" spans="1:5" s="1968" customFormat="1">
      <c r="A38" s="3168"/>
      <c r="C38" s="3169"/>
      <c r="E38" s="3168"/>
    </row>
    <row r="39" spans="1:5" s="1968" customFormat="1">
      <c r="A39" s="3168"/>
      <c r="C39" s="3169"/>
      <c r="E39" s="3168"/>
    </row>
    <row r="40" spans="1:5" s="1968" customFormat="1">
      <c r="A40" s="3168"/>
      <c r="C40" s="3169"/>
      <c r="E40" s="3168"/>
    </row>
    <row r="41" spans="1:5" s="1968" customFormat="1">
      <c r="A41" s="3168"/>
      <c r="C41" s="3169"/>
      <c r="E41" s="3168"/>
    </row>
    <row r="42" spans="1:5" s="1968" customFormat="1">
      <c r="A42" s="3168"/>
      <c r="C42" s="3169"/>
      <c r="E42" s="3168"/>
    </row>
    <row r="43" spans="1:5" s="1968" customFormat="1">
      <c r="A43" s="3168"/>
      <c r="C43" s="3169"/>
      <c r="E43" s="3168"/>
    </row>
    <row r="44" spans="1:5" s="1968" customFormat="1">
      <c r="A44" s="3168"/>
      <c r="C44" s="3169"/>
      <c r="E44" s="3168"/>
    </row>
    <row r="45" spans="1:5" s="1968" customFormat="1">
      <c r="A45" s="3168"/>
      <c r="C45" s="3169"/>
      <c r="E45" s="3168"/>
    </row>
    <row r="46" spans="1:5" s="1968" customFormat="1">
      <c r="A46" s="3168"/>
      <c r="C46" s="3169"/>
      <c r="E46" s="3168"/>
    </row>
    <row r="47" spans="1:5" s="1968" customFormat="1">
      <c r="A47" s="3168"/>
      <c r="C47" s="3169"/>
      <c r="E47" s="3168"/>
    </row>
    <row r="48" spans="1:5" s="1968" customFormat="1">
      <c r="A48" s="3168"/>
      <c r="C48" s="3169"/>
      <c r="E48" s="3168"/>
    </row>
    <row r="49" spans="1:5" s="1968" customFormat="1">
      <c r="A49" s="3168"/>
      <c r="C49" s="3169"/>
      <c r="E49" s="3168"/>
    </row>
    <row r="50" spans="1:5" s="1968" customFormat="1">
      <c r="A50" s="3168"/>
      <c r="C50" s="3169"/>
      <c r="E50" s="3168"/>
    </row>
    <row r="51" spans="1:5" s="1968" customFormat="1">
      <c r="A51" s="3168"/>
      <c r="C51" s="3169"/>
      <c r="E51" s="3168"/>
    </row>
    <row r="52" spans="1:5" s="1968" customFormat="1">
      <c r="A52" s="3168"/>
      <c r="C52" s="3169"/>
      <c r="E52" s="3168"/>
    </row>
    <row r="53" spans="1:5" s="1968" customFormat="1">
      <c r="A53" s="3168"/>
      <c r="C53" s="3169"/>
      <c r="E53" s="3168"/>
    </row>
    <row r="54" spans="1:5" s="1968" customFormat="1">
      <c r="A54" s="3168"/>
      <c r="C54" s="3169"/>
      <c r="E54" s="3168"/>
    </row>
    <row r="55" spans="1:5" s="1968" customFormat="1">
      <c r="A55" s="3168"/>
      <c r="C55" s="3169"/>
      <c r="E55" s="3168"/>
    </row>
    <row r="56" spans="1:5" s="1968" customFormat="1">
      <c r="A56" s="3168"/>
      <c r="C56" s="3169"/>
      <c r="E56" s="3168"/>
    </row>
    <row r="57" spans="1:5" s="1968" customFormat="1">
      <c r="A57" s="3168"/>
      <c r="C57" s="3169"/>
      <c r="E57" s="3168"/>
    </row>
    <row r="58" spans="1:5" s="1968" customFormat="1">
      <c r="A58" s="3168"/>
      <c r="C58" s="3169"/>
      <c r="E58" s="3168"/>
    </row>
    <row r="59" spans="1:5" s="1968" customFormat="1">
      <c r="A59" s="3168"/>
      <c r="C59" s="3169"/>
      <c r="E59" s="3168"/>
    </row>
    <row r="60" spans="1:5" s="1968" customFormat="1">
      <c r="A60" s="3168"/>
      <c r="C60" s="3169"/>
      <c r="E60" s="3168"/>
    </row>
    <row r="61" spans="1:5" s="1968" customFormat="1">
      <c r="A61" s="3168"/>
      <c r="C61" s="3169"/>
      <c r="E61" s="3168"/>
    </row>
    <row r="62" spans="1:5" s="1968" customFormat="1">
      <c r="A62" s="3168"/>
      <c r="C62" s="3169"/>
      <c r="E62" s="3168"/>
    </row>
    <row r="63" spans="1:5" s="1968" customFormat="1">
      <c r="A63" s="3168"/>
      <c r="C63" s="3169"/>
      <c r="E63" s="3168"/>
    </row>
    <row r="64" spans="1:5" s="1968" customFormat="1">
      <c r="A64" s="3168"/>
      <c r="C64" s="3169"/>
      <c r="E64" s="3168"/>
    </row>
    <row r="65" spans="1:5" s="1968" customFormat="1">
      <c r="A65" s="3168"/>
      <c r="C65" s="3169"/>
      <c r="E65" s="3168"/>
    </row>
    <row r="66" spans="1:5" s="1968" customFormat="1">
      <c r="A66" s="3168"/>
      <c r="C66" s="3169"/>
      <c r="E66" s="3168"/>
    </row>
    <row r="67" spans="1:5" s="1968" customFormat="1">
      <c r="A67" s="3168"/>
      <c r="C67" s="3169"/>
      <c r="E67" s="3168"/>
    </row>
    <row r="68" spans="1:5" s="1968" customFormat="1">
      <c r="A68" s="3168"/>
      <c r="C68" s="3169"/>
      <c r="E68" s="3168"/>
    </row>
    <row r="69" spans="1:5" s="1968" customFormat="1">
      <c r="A69" s="3168"/>
      <c r="C69" s="3169"/>
      <c r="E69" s="3168"/>
    </row>
    <row r="70" spans="1:5" s="1968" customFormat="1">
      <c r="A70" s="3168"/>
      <c r="C70" s="3169"/>
      <c r="E70" s="3168"/>
    </row>
    <row r="71" spans="1:5" s="1968" customFormat="1">
      <c r="A71" s="3168"/>
      <c r="C71" s="3169"/>
      <c r="E71" s="3168"/>
    </row>
    <row r="72" spans="1:5" s="1968" customFormat="1">
      <c r="A72" s="3168"/>
      <c r="C72" s="3169"/>
      <c r="E72" s="3168"/>
    </row>
    <row r="73" spans="1:5" s="1968" customFormat="1">
      <c r="A73" s="3168"/>
      <c r="C73" s="3169"/>
      <c r="E73" s="3168"/>
    </row>
    <row r="74" spans="1:5" s="1968" customFormat="1">
      <c r="A74" s="3168"/>
      <c r="C74" s="3169"/>
      <c r="E74" s="3168"/>
    </row>
    <row r="75" spans="1:5" s="1968" customFormat="1">
      <c r="A75" s="3168"/>
      <c r="C75" s="3169"/>
      <c r="E75" s="3168"/>
    </row>
    <row r="76" spans="1:5" s="1968" customFormat="1">
      <c r="A76" s="3168"/>
      <c r="C76" s="3169"/>
      <c r="E76" s="3168"/>
    </row>
    <row r="77" spans="1:5" s="1968" customFormat="1">
      <c r="A77" s="3168"/>
      <c r="C77" s="3169"/>
      <c r="E77" s="3168"/>
    </row>
    <row r="78" spans="1:5" s="1968" customFormat="1">
      <c r="A78" s="3168"/>
      <c r="C78" s="3169"/>
      <c r="E78" s="3168"/>
    </row>
    <row r="79" spans="1:5" s="1968" customFormat="1">
      <c r="A79" s="3168"/>
      <c r="C79" s="3169"/>
      <c r="E79" s="3168"/>
    </row>
    <row r="80" spans="1:5" s="1968" customFormat="1">
      <c r="A80" s="3168"/>
      <c r="C80" s="3169"/>
      <c r="E80" s="3168"/>
    </row>
    <row r="81" spans="1:5" s="1968" customFormat="1">
      <c r="A81" s="3168"/>
      <c r="C81" s="3169"/>
      <c r="E81" s="3168"/>
    </row>
    <row r="82" spans="1:5" s="1968" customFormat="1">
      <c r="A82" s="3168"/>
      <c r="C82" s="3169"/>
      <c r="E82" s="3168"/>
    </row>
    <row r="83" spans="1:5" s="1968" customFormat="1">
      <c r="A83" s="3168"/>
      <c r="C83" s="3169"/>
      <c r="E83" s="3168"/>
    </row>
    <row r="84" spans="1:5" s="1968" customFormat="1">
      <c r="A84" s="3168"/>
      <c r="C84" s="3169"/>
      <c r="E84" s="3168"/>
    </row>
    <row r="85" spans="1:5" s="1968" customFormat="1">
      <c r="A85" s="3168"/>
      <c r="C85" s="3169"/>
      <c r="E85" s="3168"/>
    </row>
    <row r="86" spans="1:5" s="1968" customFormat="1">
      <c r="A86" s="3168"/>
      <c r="C86" s="3169"/>
      <c r="E86" s="3168"/>
    </row>
    <row r="87" spans="1:5" s="1968" customFormat="1">
      <c r="A87" s="3168"/>
      <c r="C87" s="3169"/>
      <c r="E87" s="3168"/>
    </row>
    <row r="88" spans="1:5" s="1968" customFormat="1">
      <c r="A88" s="3168"/>
      <c r="C88" s="3169"/>
      <c r="E88" s="3168"/>
    </row>
    <row r="89" spans="1:5" s="1968" customFormat="1">
      <c r="A89" s="3168"/>
      <c r="C89" s="3169"/>
      <c r="E89" s="3168"/>
    </row>
    <row r="90" spans="1:5" s="1968" customFormat="1">
      <c r="A90" s="3168"/>
      <c r="C90" s="3169"/>
      <c r="E90" s="3168"/>
    </row>
    <row r="91" spans="1:5" s="1968" customFormat="1">
      <c r="A91" s="3168"/>
      <c r="C91" s="3169"/>
      <c r="E91" s="3168"/>
    </row>
    <row r="92" spans="1:5" s="1968" customFormat="1">
      <c r="A92" s="3168"/>
      <c r="C92" s="3169"/>
      <c r="E92" s="3168"/>
    </row>
    <row r="93" spans="1:5" s="1968" customFormat="1">
      <c r="A93" s="3168"/>
      <c r="C93" s="3169"/>
      <c r="E93" s="3168"/>
    </row>
    <row r="94" spans="1:5" s="1968" customFormat="1">
      <c r="A94" s="3168"/>
      <c r="C94" s="3169"/>
      <c r="E94" s="3168"/>
    </row>
    <row r="95" spans="1:5" s="1968" customFormat="1">
      <c r="A95" s="3168"/>
      <c r="C95" s="3169"/>
      <c r="E95" s="3168"/>
    </row>
    <row r="96" spans="1:5" s="1968" customFormat="1">
      <c r="A96" s="3168"/>
      <c r="C96" s="3169"/>
      <c r="E96" s="3168"/>
    </row>
    <row r="97" spans="1:5" s="1968" customFormat="1">
      <c r="A97" s="3168"/>
      <c r="C97" s="3169"/>
      <c r="E97" s="3168"/>
    </row>
    <row r="98" spans="1:5" s="1968" customFormat="1">
      <c r="A98" s="3168"/>
      <c r="C98" s="3169"/>
      <c r="E98" s="3168"/>
    </row>
    <row r="99" spans="1:5" s="1968" customFormat="1">
      <c r="A99" s="3168"/>
      <c r="C99" s="3169"/>
      <c r="E99" s="3168"/>
    </row>
    <row r="100" spans="1:5" s="1968" customFormat="1">
      <c r="A100" s="3168"/>
      <c r="C100" s="3169"/>
      <c r="E100" s="3168"/>
    </row>
    <row r="101" spans="1:5" s="1968" customFormat="1">
      <c r="A101" s="3168"/>
      <c r="C101" s="3169"/>
      <c r="E101" s="3168"/>
    </row>
    <row r="102" spans="1:5" s="1968" customFormat="1">
      <c r="A102" s="3168"/>
      <c r="C102" s="3169"/>
      <c r="E102" s="3168"/>
    </row>
    <row r="103" spans="1:5" s="1968" customFormat="1">
      <c r="A103" s="3168"/>
      <c r="C103" s="3169"/>
      <c r="E103" s="3168"/>
    </row>
    <row r="104" spans="1:5" s="1968" customFormat="1">
      <c r="A104" s="3168"/>
      <c r="C104" s="3169"/>
      <c r="E104" s="3168"/>
    </row>
    <row r="105" spans="1:5" s="1968" customFormat="1">
      <c r="A105" s="3168"/>
      <c r="C105" s="3169"/>
      <c r="E105" s="3168"/>
    </row>
    <row r="106" spans="1:5" s="1968" customFormat="1">
      <c r="A106" s="3168"/>
      <c r="C106" s="3169"/>
      <c r="E106" s="3168"/>
    </row>
    <row r="107" spans="1:5" s="1968" customFormat="1">
      <c r="A107" s="3168"/>
      <c r="C107" s="3169"/>
      <c r="E107" s="3168"/>
    </row>
    <row r="108" spans="1:5" s="1968" customFormat="1">
      <c r="A108" s="3168"/>
      <c r="C108" s="3169"/>
      <c r="E108" s="3168"/>
    </row>
    <row r="109" spans="1:5" s="1968" customFormat="1">
      <c r="A109" s="3168"/>
      <c r="C109" s="3169"/>
      <c r="E109" s="3168"/>
    </row>
    <row r="110" spans="1:5" s="1968" customFormat="1">
      <c r="A110" s="3168"/>
      <c r="C110" s="3169"/>
      <c r="E110" s="3168"/>
    </row>
    <row r="111" spans="1:5" s="1968" customFormat="1">
      <c r="A111" s="3168"/>
      <c r="C111" s="3169"/>
      <c r="E111" s="3168"/>
    </row>
    <row r="112" spans="1:5" s="1968" customFormat="1">
      <c r="A112" s="3168"/>
      <c r="C112" s="3169"/>
      <c r="E112" s="3168"/>
    </row>
    <row r="113" spans="1:5" s="1968" customFormat="1">
      <c r="A113" s="3168"/>
      <c r="C113" s="3169"/>
      <c r="E113" s="3168"/>
    </row>
    <row r="114" spans="1:5" s="1968" customFormat="1">
      <c r="A114" s="3168"/>
      <c r="C114" s="3169"/>
      <c r="E114" s="3168"/>
    </row>
    <row r="115" spans="1:5" s="1968" customFormat="1">
      <c r="A115" s="3168"/>
      <c r="C115" s="3169"/>
      <c r="E115" s="3168"/>
    </row>
    <row r="116" spans="1:5" s="1968" customFormat="1">
      <c r="A116" s="3168"/>
      <c r="C116" s="3169"/>
      <c r="E116" s="3168"/>
    </row>
    <row r="117" spans="1:5" s="1968" customFormat="1">
      <c r="A117" s="3168"/>
      <c r="C117" s="3169"/>
      <c r="E117" s="3168"/>
    </row>
    <row r="118" spans="1:5" s="1968" customFormat="1">
      <c r="A118" s="3168"/>
      <c r="C118" s="3169"/>
      <c r="E118" s="3168"/>
    </row>
    <row r="119" spans="1:5" s="1968" customFormat="1">
      <c r="A119" s="3168"/>
      <c r="C119" s="3169"/>
      <c r="E119" s="3168"/>
    </row>
    <row r="120" spans="1:5" s="1968" customFormat="1">
      <c r="A120" s="3168"/>
      <c r="C120" s="3169"/>
      <c r="E120" s="3168"/>
    </row>
    <row r="121" spans="1:5" s="1968" customFormat="1">
      <c r="A121" s="3168"/>
      <c r="C121" s="3169"/>
      <c r="E121" s="3168"/>
    </row>
    <row r="122" spans="1:5" s="1968" customFormat="1">
      <c r="A122" s="3168"/>
      <c r="C122" s="3169"/>
      <c r="E122" s="3168"/>
    </row>
    <row r="123" spans="1:5" s="1968" customFormat="1">
      <c r="A123" s="3168"/>
      <c r="C123" s="3169"/>
      <c r="E123" s="3168"/>
    </row>
    <row r="124" spans="1:5" s="1968" customFormat="1">
      <c r="A124" s="3168"/>
      <c r="C124" s="3169"/>
      <c r="E124" s="3168"/>
    </row>
    <row r="125" spans="1:5" s="1968" customFormat="1">
      <c r="A125" s="3168"/>
      <c r="C125" s="3169"/>
      <c r="E125" s="3168"/>
    </row>
    <row r="126" spans="1:5" s="1968" customFormat="1">
      <c r="A126" s="3168"/>
      <c r="C126" s="3169"/>
      <c r="E126" s="3168"/>
    </row>
    <row r="127" spans="1:5" s="1968" customFormat="1">
      <c r="A127" s="3168"/>
      <c r="C127" s="3169"/>
      <c r="E127" s="3168"/>
    </row>
    <row r="128" spans="1:5" s="1968" customFormat="1">
      <c r="A128" s="3168"/>
      <c r="C128" s="3169"/>
      <c r="E128" s="3168"/>
    </row>
    <row r="129" spans="1:5" s="1968" customFormat="1">
      <c r="A129" s="3168"/>
      <c r="C129" s="3169"/>
      <c r="E129" s="3168"/>
    </row>
    <row r="130" spans="1:5" s="1968" customFormat="1">
      <c r="A130" s="3168"/>
      <c r="C130" s="3169"/>
      <c r="E130" s="3168"/>
    </row>
    <row r="131" spans="1:5" s="1968" customFormat="1">
      <c r="A131" s="3168"/>
      <c r="C131" s="3169"/>
      <c r="E131" s="3168"/>
    </row>
    <row r="132" spans="1:5" s="1968" customFormat="1">
      <c r="A132" s="3168"/>
      <c r="C132" s="3169"/>
      <c r="E132" s="3168"/>
    </row>
    <row r="133" spans="1:5" s="1968" customFormat="1">
      <c r="A133" s="3168"/>
      <c r="C133" s="3169"/>
      <c r="E133" s="3168"/>
    </row>
    <row r="134" spans="1:5" s="1968" customFormat="1">
      <c r="A134" s="3168"/>
      <c r="C134" s="3169"/>
      <c r="E134" s="3168"/>
    </row>
    <row r="135" spans="1:5" s="1968" customFormat="1">
      <c r="A135" s="3168"/>
      <c r="C135" s="3169"/>
      <c r="E135" s="3168"/>
    </row>
    <row r="136" spans="1:5" s="1968" customFormat="1">
      <c r="A136" s="3168"/>
      <c r="C136" s="3169"/>
      <c r="E136" s="3168"/>
    </row>
    <row r="137" spans="1:5" s="1968" customFormat="1">
      <c r="A137" s="3168"/>
      <c r="C137" s="3169"/>
      <c r="E137" s="3168"/>
    </row>
    <row r="138" spans="1:5" s="1968" customFormat="1">
      <c r="A138" s="3168"/>
      <c r="C138" s="3169"/>
      <c r="E138" s="3168"/>
    </row>
    <row r="139" spans="1:5" s="1968" customFormat="1">
      <c r="A139" s="3168"/>
      <c r="C139" s="3169"/>
      <c r="E139" s="3168"/>
    </row>
    <row r="140" spans="1:5" s="1968" customFormat="1">
      <c r="A140" s="3168"/>
      <c r="C140" s="3169"/>
      <c r="E140" s="3168"/>
    </row>
    <row r="141" spans="1:5" s="1968" customFormat="1">
      <c r="A141" s="3168"/>
      <c r="C141" s="3169"/>
      <c r="E141" s="3168"/>
    </row>
    <row r="142" spans="1:5" s="1968" customFormat="1">
      <c r="A142" s="3168"/>
      <c r="C142" s="3169"/>
      <c r="E142" s="3168"/>
    </row>
    <row r="143" spans="1:5" s="1968" customFormat="1">
      <c r="A143" s="3168"/>
      <c r="C143" s="3169"/>
      <c r="E143" s="3168"/>
    </row>
    <row r="144" spans="1:5" s="1968" customFormat="1">
      <c r="A144" s="3168"/>
      <c r="C144" s="3169"/>
      <c r="E144" s="3168"/>
    </row>
    <row r="145" spans="1:5" s="1968" customFormat="1">
      <c r="A145" s="3168"/>
      <c r="C145" s="3169"/>
      <c r="E145" s="3168"/>
    </row>
    <row r="146" spans="1:5" s="1968" customFormat="1">
      <c r="A146" s="3168"/>
      <c r="C146" s="3169"/>
      <c r="E146" s="3168"/>
    </row>
    <row r="147" spans="1:5" s="1968" customFormat="1">
      <c r="A147" s="3168"/>
      <c r="C147" s="3169"/>
      <c r="E147" s="3168"/>
    </row>
    <row r="148" spans="1:5" s="1968" customFormat="1">
      <c r="A148" s="3168"/>
      <c r="C148" s="3169"/>
      <c r="E148" s="3168"/>
    </row>
    <row r="149" spans="1:5" s="1968" customFormat="1">
      <c r="A149" s="3168"/>
      <c r="C149" s="3169"/>
      <c r="E149" s="3168"/>
    </row>
    <row r="150" spans="1:5" s="1968" customFormat="1">
      <c r="A150" s="3168"/>
      <c r="C150" s="3169"/>
      <c r="E150" s="3168"/>
    </row>
    <row r="151" spans="1:5" s="1968" customFormat="1">
      <c r="A151" s="3168"/>
      <c r="C151" s="3169"/>
      <c r="E151" s="3168"/>
    </row>
    <row r="152" spans="1:5" s="1968" customFormat="1">
      <c r="A152" s="3168"/>
      <c r="C152" s="3169"/>
      <c r="E152" s="3168"/>
    </row>
    <row r="153" spans="1:5" s="1968" customFormat="1">
      <c r="A153" s="3168"/>
      <c r="C153" s="3169"/>
      <c r="E153" s="3168"/>
    </row>
    <row r="154" spans="1:5" s="1968" customFormat="1">
      <c r="A154" s="3168"/>
      <c r="C154" s="3169"/>
      <c r="E154" s="3168"/>
    </row>
    <row r="155" spans="1:5" s="1968" customFormat="1">
      <c r="A155" s="3168"/>
      <c r="C155" s="3169"/>
      <c r="E155" s="3168"/>
    </row>
    <row r="156" spans="1:5" s="1968" customFormat="1">
      <c r="A156" s="3168"/>
      <c r="C156" s="3169"/>
      <c r="E156" s="3168"/>
    </row>
    <row r="157" spans="1:5" s="1968" customFormat="1">
      <c r="A157" s="3168"/>
      <c r="C157" s="3169"/>
      <c r="E157" s="3168"/>
    </row>
    <row r="158" spans="1:5" s="1968" customFormat="1">
      <c r="A158" s="3168"/>
      <c r="C158" s="3169"/>
      <c r="E158" s="3168"/>
    </row>
    <row r="159" spans="1:5" s="1968" customFormat="1">
      <c r="A159" s="3168"/>
      <c r="C159" s="3169"/>
      <c r="E159" s="3168"/>
    </row>
    <row r="160" spans="1:5" s="1968" customFormat="1">
      <c r="A160" s="3168"/>
      <c r="C160" s="3169"/>
      <c r="E160" s="3168"/>
    </row>
    <row r="161" spans="1:5" s="1968" customFormat="1">
      <c r="A161" s="3168"/>
      <c r="C161" s="3169"/>
      <c r="E161" s="3168"/>
    </row>
    <row r="162" spans="1:5" s="1968" customFormat="1">
      <c r="A162" s="3168"/>
      <c r="C162" s="3169"/>
      <c r="E162" s="3168"/>
    </row>
    <row r="163" spans="1:5" s="1968" customFormat="1">
      <c r="A163" s="3168"/>
      <c r="C163" s="3169"/>
      <c r="E163" s="3168"/>
    </row>
    <row r="164" spans="1:5" s="1968" customFormat="1">
      <c r="A164" s="3168"/>
      <c r="C164" s="3169"/>
      <c r="E164" s="3168"/>
    </row>
    <row r="165" spans="1:5" s="1968" customFormat="1">
      <c r="A165" s="3168"/>
      <c r="C165" s="3169"/>
      <c r="E165" s="3168"/>
    </row>
    <row r="166" spans="1:5" s="1968" customFormat="1">
      <c r="A166" s="3168"/>
      <c r="C166" s="3169"/>
      <c r="E166" s="3168"/>
    </row>
    <row r="167" spans="1:5" s="1968" customFormat="1">
      <c r="A167" s="3168"/>
      <c r="C167" s="3169"/>
      <c r="E167" s="3168"/>
    </row>
    <row r="168" spans="1:5" s="1968" customFormat="1">
      <c r="A168" s="3168"/>
      <c r="C168" s="3169"/>
      <c r="E168" s="3168"/>
    </row>
    <row r="169" spans="1:5" s="1968" customFormat="1">
      <c r="A169" s="3168"/>
      <c r="C169" s="3169"/>
      <c r="E169" s="3168"/>
    </row>
    <row r="170" spans="1:5" s="1968" customFormat="1">
      <c r="A170" s="3168"/>
      <c r="C170" s="3169"/>
      <c r="E170" s="3168"/>
    </row>
    <row r="171" spans="1:5" s="1968" customFormat="1">
      <c r="A171" s="3168"/>
      <c r="C171" s="3169"/>
      <c r="E171" s="3168"/>
    </row>
    <row r="172" spans="1:5" s="1968" customFormat="1">
      <c r="A172" s="3168"/>
      <c r="C172" s="3169"/>
      <c r="E172" s="3168"/>
    </row>
    <row r="173" spans="1:5" s="1968" customFormat="1">
      <c r="A173" s="3168"/>
      <c r="C173" s="3169"/>
      <c r="E173" s="3168"/>
    </row>
    <row r="174" spans="1:5" s="1968" customFormat="1">
      <c r="A174" s="3168"/>
      <c r="C174" s="3169"/>
      <c r="E174" s="3168"/>
    </row>
    <row r="175" spans="1:5" s="1968" customFormat="1">
      <c r="A175" s="3168"/>
      <c r="C175" s="3169"/>
      <c r="E175" s="3168"/>
    </row>
    <row r="176" spans="1:5" s="1968" customFormat="1">
      <c r="A176" s="3168"/>
      <c r="C176" s="3169"/>
      <c r="E176" s="3168"/>
    </row>
    <row r="177" spans="1:5" s="1968" customFormat="1">
      <c r="A177" s="3168"/>
      <c r="C177" s="3169"/>
      <c r="E177" s="3168"/>
    </row>
    <row r="178" spans="1:5" s="1968" customFormat="1">
      <c r="A178" s="3168"/>
      <c r="C178" s="3169"/>
      <c r="E178" s="3168"/>
    </row>
    <row r="179" spans="1:5" s="1968" customFormat="1">
      <c r="A179" s="3168"/>
      <c r="C179" s="3169"/>
      <c r="E179" s="3168"/>
    </row>
    <row r="180" spans="1:5" s="1968" customFormat="1">
      <c r="A180" s="3168"/>
      <c r="C180" s="3169"/>
      <c r="E180" s="3168"/>
    </row>
    <row r="181" spans="1:5" s="1968" customFormat="1">
      <c r="A181" s="3168"/>
      <c r="C181" s="3169"/>
      <c r="E181" s="3168"/>
    </row>
    <row r="182" spans="1:5" s="1968" customFormat="1">
      <c r="A182" s="3168"/>
      <c r="C182" s="3169"/>
      <c r="E182" s="3168"/>
    </row>
    <row r="183" spans="1:5" s="1968" customFormat="1">
      <c r="A183" s="3168"/>
      <c r="C183" s="3169"/>
      <c r="E183" s="3168"/>
    </row>
    <row r="184" spans="1:5" s="1968" customFormat="1">
      <c r="A184" s="3168"/>
      <c r="C184" s="3169"/>
      <c r="E184" s="3168"/>
    </row>
    <row r="185" spans="1:5" s="1968" customFormat="1">
      <c r="A185" s="3168"/>
      <c r="C185" s="3169"/>
      <c r="E185" s="3168"/>
    </row>
    <row r="186" spans="1:5" s="1968" customFormat="1">
      <c r="A186" s="3168"/>
      <c r="C186" s="3169"/>
      <c r="E186" s="3168"/>
    </row>
    <row r="187" spans="1:5" s="1968" customFormat="1">
      <c r="A187" s="3168"/>
      <c r="C187" s="3169"/>
      <c r="E187" s="3168"/>
    </row>
    <row r="188" spans="1:5" s="1968" customFormat="1">
      <c r="A188" s="3168"/>
      <c r="C188" s="3169"/>
      <c r="E188" s="3168"/>
    </row>
    <row r="189" spans="1:5" s="1968" customFormat="1">
      <c r="A189" s="3168"/>
      <c r="C189" s="3169"/>
      <c r="E189" s="3168"/>
    </row>
    <row r="190" spans="1:5" s="1968" customFormat="1">
      <c r="A190" s="3168"/>
      <c r="C190" s="3169"/>
      <c r="E190" s="3168"/>
    </row>
    <row r="191" spans="1:5" s="1968" customFormat="1">
      <c r="A191" s="3168"/>
      <c r="C191" s="3169"/>
      <c r="E191" s="3168"/>
    </row>
    <row r="192" spans="1:5" s="1968" customFormat="1">
      <c r="A192" s="3168"/>
      <c r="C192" s="3169"/>
      <c r="E192" s="3168"/>
    </row>
    <row r="193" spans="1:5" s="1968" customFormat="1">
      <c r="A193" s="3168"/>
      <c r="C193" s="3169"/>
      <c r="E193" s="3168"/>
    </row>
    <row r="194" spans="1:5" s="1968" customFormat="1">
      <c r="A194" s="3168"/>
      <c r="C194" s="3169"/>
      <c r="E194" s="3168"/>
    </row>
    <row r="195" spans="1:5" s="1968" customFormat="1">
      <c r="A195" s="3168"/>
      <c r="C195" s="3169"/>
      <c r="E195" s="3168"/>
    </row>
    <row r="196" spans="1:5" s="1968" customFormat="1">
      <c r="A196" s="3168"/>
      <c r="C196" s="3169"/>
      <c r="E196" s="3168"/>
    </row>
    <row r="197" spans="1:5" s="1968" customFormat="1">
      <c r="A197" s="3168"/>
      <c r="C197" s="3169"/>
      <c r="E197" s="3168"/>
    </row>
    <row r="198" spans="1:5" s="1968" customFormat="1">
      <c r="A198" s="3168"/>
      <c r="C198" s="3169"/>
      <c r="E198" s="3168"/>
    </row>
    <row r="199" spans="1:5" s="1968" customFormat="1">
      <c r="A199" s="3168"/>
      <c r="C199" s="3169"/>
      <c r="E199" s="3168"/>
    </row>
    <row r="200" spans="1:5" s="1968" customFormat="1">
      <c r="A200" s="3168"/>
      <c r="C200" s="3169"/>
      <c r="E200" s="3168"/>
    </row>
    <row r="201" spans="1:5" s="1968" customFormat="1">
      <c r="A201" s="3168"/>
      <c r="C201" s="3169"/>
      <c r="E201" s="3168"/>
    </row>
    <row r="202" spans="1:5" s="1968" customFormat="1">
      <c r="A202" s="3168"/>
      <c r="C202" s="3169"/>
      <c r="E202" s="3168"/>
    </row>
    <row r="203" spans="1:5" s="1968" customFormat="1">
      <c r="A203" s="3168"/>
      <c r="C203" s="3169"/>
      <c r="E203" s="3168"/>
    </row>
    <row r="204" spans="1:5" s="1968" customFormat="1">
      <c r="A204" s="3168"/>
      <c r="C204" s="3169"/>
      <c r="E204" s="3168"/>
    </row>
    <row r="205" spans="1:5" s="1968" customFormat="1">
      <c r="A205" s="3168"/>
      <c r="C205" s="3169"/>
      <c r="E205" s="3168"/>
    </row>
    <row r="206" spans="1:5" s="1968" customFormat="1">
      <c r="A206" s="3168"/>
      <c r="C206" s="3169"/>
      <c r="E206" s="3168"/>
    </row>
    <row r="207" spans="1:5" s="1968" customFormat="1">
      <c r="A207" s="3168"/>
      <c r="C207" s="3169"/>
      <c r="E207" s="3168"/>
    </row>
    <row r="208" spans="1:5" s="1968" customFormat="1">
      <c r="A208" s="3168"/>
      <c r="C208" s="3169"/>
      <c r="E208" s="3168"/>
    </row>
    <row r="209" spans="1:5" s="1968" customFormat="1">
      <c r="A209" s="3168"/>
      <c r="C209" s="3169"/>
      <c r="E209" s="3168"/>
    </row>
    <row r="210" spans="1:5" s="1968" customFormat="1">
      <c r="A210" s="3168"/>
      <c r="C210" s="3169"/>
      <c r="E210" s="3168"/>
    </row>
    <row r="211" spans="1:5" s="1968" customFormat="1">
      <c r="A211" s="3168"/>
      <c r="C211" s="3169"/>
      <c r="E211" s="3168"/>
    </row>
    <row r="212" spans="1:5" s="1968" customFormat="1">
      <c r="A212" s="3168"/>
      <c r="C212" s="3169"/>
      <c r="E212" s="3168"/>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F31" sqref="F31"/>
    </sheetView>
  </sheetViews>
  <sheetFormatPr defaultColWidth="9" defaultRowHeight="15"/>
  <cols>
    <col min="1" max="1" width="9" style="1914"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5.875" style="1913" customWidth="1"/>
    <col min="16" max="16" width="27.625" style="1913" customWidth="1"/>
    <col min="17" max="17" width="13.75" style="1950" customWidth="1"/>
    <col min="18" max="18" width="23.375" style="1913" customWidth="1"/>
    <col min="19" max="19" width="1.375" style="1913" customWidth="1"/>
    <col min="20" max="33" width="9" style="1913"/>
    <col min="34" max="16384" width="9" style="1914"/>
  </cols>
  <sheetData>
    <row r="1" spans="1:33" s="1908" customFormat="1" ht="21">
      <c r="A1" s="803" t="s">
        <v>1698</v>
      </c>
      <c r="B1" s="712"/>
      <c r="C1" s="745" t="s">
        <v>955</v>
      </c>
      <c r="D1" s="2762" t="s">
        <v>926</v>
      </c>
      <c r="E1" s="2212" t="s">
        <v>845</v>
      </c>
      <c r="F1" s="2213">
        <f ca="1">J53</f>
        <v>50</v>
      </c>
      <c r="G1" s="3221">
        <f>MATCH(C1,'数据-取费表'!A6:A16,0)+5</f>
        <v>6</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460</v>
      </c>
      <c r="B2" s="747">
        <f ca="1">C40+J29+L46</f>
        <v>52666</v>
      </c>
      <c r="C2" s="3226"/>
      <c r="D2" s="3227"/>
      <c r="E2" s="3228"/>
      <c r="F2" s="3228"/>
      <c r="G2" s="3222"/>
      <c r="H2" s="1911"/>
      <c r="I2" s="1911"/>
      <c r="J2" s="1911"/>
      <c r="K2" s="1912"/>
      <c r="L2" s="1911"/>
      <c r="M2" s="1911"/>
    </row>
    <row r="3" spans="1:33" ht="18" customHeight="1" thickBot="1">
      <c r="A3" s="804" t="s">
        <v>496</v>
      </c>
      <c r="B3" s="805">
        <f ca="1">IF(ISERROR(B2*10000/F43),0,ROUND(B2*10000/F43,0))</f>
        <v>5139</v>
      </c>
      <c r="C3" s="3226"/>
      <c r="D3" s="3227"/>
      <c r="E3" s="3228"/>
      <c r="F3" s="3228"/>
      <c r="G3" s="3222"/>
      <c r="H3" s="748" t="s">
        <v>672</v>
      </c>
      <c r="I3" s="1290"/>
      <c r="J3" s="1290"/>
      <c r="K3" s="1499"/>
      <c r="L3" s="1290"/>
      <c r="M3" s="1290"/>
    </row>
    <row r="4" spans="1:33" ht="18" customHeight="1">
      <c r="A4" s="749" t="s">
        <v>607</v>
      </c>
      <c r="B4" s="750" t="s">
        <v>608</v>
      </c>
      <c r="C4" s="750" t="s">
        <v>609</v>
      </c>
      <c r="D4" s="750" t="s">
        <v>610</v>
      </c>
      <c r="E4" s="751" t="s">
        <v>611</v>
      </c>
      <c r="F4" s="752"/>
      <c r="G4" s="1916"/>
      <c r="H4" s="749" t="s">
        <v>607</v>
      </c>
      <c r="I4" s="750" t="s">
        <v>608</v>
      </c>
      <c r="J4" s="750" t="s">
        <v>609</v>
      </c>
      <c r="K4" s="750" t="s">
        <v>610</v>
      </c>
      <c r="L4" s="751" t="s">
        <v>611</v>
      </c>
      <c r="M4" s="752"/>
    </row>
    <row r="5" spans="1:33" ht="18" customHeight="1">
      <c r="A5" s="753">
        <v>1</v>
      </c>
      <c r="B5" s="754" t="s">
        <v>2410</v>
      </c>
      <c r="C5" s="55">
        <f ca="1">C6+C10+C12</f>
        <v>3821</v>
      </c>
      <c r="D5" s="2317" t="s">
        <v>2413</v>
      </c>
      <c r="E5" s="2311"/>
      <c r="F5" s="2312"/>
      <c r="G5" s="1916"/>
      <c r="H5" s="753">
        <v>1</v>
      </c>
      <c r="I5" s="754" t="s">
        <v>2410</v>
      </c>
      <c r="J5" s="55">
        <f ca="1">J6+J10+J12</f>
        <v>0</v>
      </c>
      <c r="K5" s="2317" t="s">
        <v>2413</v>
      </c>
      <c r="L5" s="2311"/>
      <c r="M5" s="2312"/>
    </row>
    <row r="6" spans="1:33" ht="18" customHeight="1">
      <c r="A6" s="1717" t="s">
        <v>1797</v>
      </c>
      <c r="B6" s="3751" t="s">
        <v>2415</v>
      </c>
      <c r="C6" s="755">
        <f ca="1">ROUND(F6*F8*F7*(1-F9)/10000,0)</f>
        <v>3816</v>
      </c>
      <c r="D6" s="2318" t="s">
        <v>2414</v>
      </c>
      <c r="E6" s="756" t="s">
        <v>614</v>
      </c>
      <c r="F6" s="757">
        <f ca="1">INDIRECT("'数据-取费表'!u"&amp;$G$1)</f>
        <v>1.2</v>
      </c>
      <c r="G6" s="1916"/>
      <c r="H6" s="2325" t="s">
        <v>1797</v>
      </c>
      <c r="I6" s="3751" t="s">
        <v>2415</v>
      </c>
      <c r="J6" s="755">
        <f ca="1">ROUND(M6*M8*M7*(1-M9)/10000,0)</f>
        <v>0</v>
      </c>
      <c r="K6" s="339" t="s">
        <v>613</v>
      </c>
      <c r="L6" s="756" t="s">
        <v>614</v>
      </c>
      <c r="M6" s="757">
        <f ca="1">INDIRECT("'数据-取费表'!z"&amp;$G$1)</f>
        <v>0</v>
      </c>
    </row>
    <row r="7" spans="1:33" ht="18" customHeight="1">
      <c r="A7" s="2321"/>
      <c r="B7" s="3752"/>
      <c r="C7" s="760"/>
      <c r="D7" s="761"/>
      <c r="E7" s="756" t="s">
        <v>615</v>
      </c>
      <c r="F7" s="757">
        <f ca="1">IF(INDIRECT("'数据-取费表'!ah"&amp;$G$1)="",INDIRECT("'数据-取费表'!k"&amp;$G$1),INDIRECT("'数据-取费表'!ah"&amp;$G$1))</f>
        <v>102489.97</v>
      </c>
      <c r="G7" s="1916"/>
      <c r="H7" s="2310"/>
      <c r="I7" s="3752"/>
      <c r="J7" s="760"/>
      <c r="K7" s="761"/>
      <c r="L7" s="756" t="s">
        <v>615</v>
      </c>
      <c r="M7" s="757">
        <f ca="1">F7</f>
        <v>102489.97</v>
      </c>
    </row>
    <row r="8" spans="1:33" ht="18" customHeight="1">
      <c r="A8" s="2314"/>
      <c r="B8" s="3753"/>
      <c r="C8" s="760"/>
      <c r="D8" s="761"/>
      <c r="E8" s="756" t="s">
        <v>616</v>
      </c>
      <c r="F8" s="757">
        <f ca="1">INDIRECT("'数据-取费表'!ai"&amp;$G$1)</f>
        <v>365</v>
      </c>
      <c r="G8" s="1916"/>
      <c r="H8" s="2310"/>
      <c r="I8" s="3753"/>
      <c r="J8" s="760"/>
      <c r="K8" s="761"/>
      <c r="L8" s="756" t="s">
        <v>616</v>
      </c>
      <c r="M8" s="757">
        <f ca="1">INDIRECT("'数据-取费表'!ai"&amp;$G$1)</f>
        <v>365</v>
      </c>
    </row>
    <row r="9" spans="1:33" ht="18" customHeight="1">
      <c r="A9" s="758"/>
      <c r="B9" s="3754"/>
      <c r="C9" s="760"/>
      <c r="D9" s="761"/>
      <c r="E9" s="756" t="s">
        <v>617</v>
      </c>
      <c r="F9" s="766">
        <f ca="1">INDIRECT("'数据-取费表'!w"&amp;$G$1)</f>
        <v>0.15</v>
      </c>
      <c r="G9" s="1916"/>
      <c r="H9" s="2326"/>
      <c r="I9" s="3753"/>
      <c r="J9" s="760"/>
      <c r="K9" s="761"/>
      <c r="L9" s="767" t="s">
        <v>617</v>
      </c>
      <c r="M9" s="768">
        <f ca="1">INDIRECT("'数据-取费表'!ab"&amp;$G$1)</f>
        <v>0</v>
      </c>
    </row>
    <row r="10" spans="1:33" ht="18" customHeight="1">
      <c r="A10" s="1717" t="s">
        <v>1798</v>
      </c>
      <c r="B10" s="2315" t="s">
        <v>2411</v>
      </c>
      <c r="C10" s="771">
        <f ca="1">ROUND(IF(F10="押一",C6/12*F11,IF(F10="押二",C6/12*2*F11,IF(F10="押三",C6/12*3*F11,C11*F11))),0)</f>
        <v>5</v>
      </c>
      <c r="D10" s="2322" t="s">
        <v>2905</v>
      </c>
      <c r="E10" s="2319" t="s">
        <v>2416</v>
      </c>
      <c r="F10" s="2432" t="s">
        <v>3141</v>
      </c>
      <c r="G10" s="1916"/>
      <c r="H10" s="2382" t="s">
        <v>1798</v>
      </c>
      <c r="I10" s="2387" t="s">
        <v>2411</v>
      </c>
      <c r="J10" s="755">
        <f ca="1">ROUND(IF(M10="押一",J6/12*M11,IF(M10="押二",J6/12*2*M11,IF(M10="押三",J6/12*3*M11,J11*M11))),0)</f>
        <v>0</v>
      </c>
      <c r="K10" s="2322" t="s">
        <v>2905</v>
      </c>
      <c r="L10" s="2319" t="s">
        <v>2416</v>
      </c>
      <c r="M10" s="2432"/>
    </row>
    <row r="11" spans="1:33" ht="18" customHeight="1">
      <c r="A11" s="762"/>
      <c r="B11" s="2316" t="s">
        <v>2525</v>
      </c>
      <c r="C11" s="2320"/>
      <c r="D11" s="761"/>
      <c r="E11" s="2319" t="s">
        <v>2408</v>
      </c>
      <c r="F11" s="768">
        <f ca="1">'数据-取费表'!B39</f>
        <v>1.4999999999999999E-2</v>
      </c>
      <c r="G11" s="1916"/>
      <c r="H11" s="2383"/>
      <c r="I11" s="2316" t="s">
        <v>2525</v>
      </c>
      <c r="J11" s="2320"/>
      <c r="K11" s="2384"/>
      <c r="L11" s="2319" t="s">
        <v>2408</v>
      </c>
      <c r="M11" s="2313">
        <f ca="1">'数据-取费表'!B39</f>
        <v>1.4999999999999999E-2</v>
      </c>
    </row>
    <row r="12" spans="1:33" ht="18" customHeight="1" thickBot="1">
      <c r="A12" s="2358" t="s">
        <v>2419</v>
      </c>
      <c r="B12" s="2359" t="s">
        <v>2412</v>
      </c>
      <c r="C12" s="2360"/>
      <c r="D12" s="2361"/>
      <c r="E12" s="2362"/>
      <c r="F12" s="2363"/>
      <c r="G12" s="1916"/>
      <c r="H12" s="2372" t="s">
        <v>2419</v>
      </c>
      <c r="I12" s="2385" t="s">
        <v>2412</v>
      </c>
      <c r="J12" s="2386"/>
      <c r="K12" s="2361"/>
      <c r="L12" s="2362"/>
      <c r="M12" s="2375"/>
    </row>
    <row r="13" spans="1:33" ht="18" customHeight="1" thickTop="1">
      <c r="A13" s="1716">
        <v>2</v>
      </c>
      <c r="B13" s="1714" t="s">
        <v>621</v>
      </c>
      <c r="C13" s="764">
        <f ca="1">ROUND(C29*F13,0)</f>
        <v>20341</v>
      </c>
      <c r="D13" s="1721" t="s">
        <v>2260</v>
      </c>
      <c r="E13" s="1721" t="s">
        <v>620</v>
      </c>
      <c r="F13" s="2357">
        <f ca="1">INDIRECT("'数据-取费表'!y"&amp;$G$1)</f>
        <v>0.7</v>
      </c>
      <c r="G13" s="1916"/>
      <c r="H13" s="1716">
        <v>2</v>
      </c>
      <c r="I13" s="1714" t="s">
        <v>621</v>
      </c>
      <c r="J13" s="1706">
        <f ca="1">ROUND(J14*J15,0)</f>
        <v>0</v>
      </c>
      <c r="K13" s="1708" t="s">
        <v>619</v>
      </c>
      <c r="L13" s="2373"/>
      <c r="M13" s="2374"/>
    </row>
    <row r="14" spans="1:33" ht="18" customHeight="1">
      <c r="A14" s="1549" t="s">
        <v>1804</v>
      </c>
      <c r="B14" s="756" t="s">
        <v>622</v>
      </c>
      <c r="C14" s="776">
        <f ca="1">INDIRECT("'数据-取费表'!m"&amp;$G$1)+INDIRECT("'数据-取费表'!t"&amp;$G$1)</f>
        <v>20498</v>
      </c>
      <c r="D14" s="3441" t="s">
        <v>623</v>
      </c>
      <c r="E14" s="3442"/>
      <c r="F14" s="777"/>
      <c r="G14" s="1916"/>
      <c r="H14" s="1550" t="s">
        <v>1797</v>
      </c>
      <c r="I14" s="2081" t="s">
        <v>2775</v>
      </c>
      <c r="J14" s="53">
        <f ca="1">C29</f>
        <v>29059</v>
      </c>
      <c r="K14" s="26"/>
      <c r="L14" s="773"/>
      <c r="M14" s="774"/>
    </row>
    <row r="15" spans="1:33" s="1918" customFormat="1" ht="18" customHeight="1" thickBot="1">
      <c r="A15" s="1549" t="s">
        <v>1805</v>
      </c>
      <c r="B15" s="756" t="s">
        <v>624</v>
      </c>
      <c r="C15" s="53">
        <f ca="1">ROUND(C14*F15,0)</f>
        <v>615</v>
      </c>
      <c r="D15" s="778" t="s">
        <v>625</v>
      </c>
      <c r="E15" s="778" t="s">
        <v>626</v>
      </c>
      <c r="F15" s="779">
        <f>'数据-取费表'!B33</f>
        <v>0.03</v>
      </c>
      <c r="G15" s="3223"/>
      <c r="H15" s="2372" t="s">
        <v>1856</v>
      </c>
      <c r="I15" s="2367" t="s">
        <v>620</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1806</v>
      </c>
      <c r="B16" s="756" t="s">
        <v>627</v>
      </c>
      <c r="C16" s="53">
        <f ca="1">ROUND(INDIRECT("'数据-取费表'!m"&amp;$G$1)*F16,0)</f>
        <v>0</v>
      </c>
      <c r="D16" s="756" t="s">
        <v>625</v>
      </c>
      <c r="E16" s="756" t="s">
        <v>626</v>
      </c>
      <c r="F16" s="781">
        <f ca="1">IF(INDIRECT("'数据-取费表'!c"&amp;$G$1)="住宅",'数据-取费表'!B34,0)</f>
        <v>0</v>
      </c>
      <c r="G16" s="1916"/>
      <c r="H16" s="1716" t="s">
        <v>7</v>
      </c>
      <c r="I16" s="1714" t="s">
        <v>628</v>
      </c>
      <c r="J16" s="764">
        <f ca="1">ROUND(J17+J22+J23+J24,0)</f>
        <v>2892</v>
      </c>
      <c r="K16" s="1708" t="s">
        <v>629</v>
      </c>
      <c r="L16" s="3443"/>
      <c r="M16" s="2312"/>
    </row>
    <row r="17" spans="1:33" s="1918" customFormat="1" ht="18" customHeight="1">
      <c r="A17" s="1549" t="s">
        <v>1854</v>
      </c>
      <c r="B17" s="756" t="s">
        <v>630</v>
      </c>
      <c r="C17" s="53">
        <f ca="1">ROUND(F17*(F43+INDIRECT("'数据-取费表'!S"&amp;$G$1))/10000,0)</f>
        <v>2050</v>
      </c>
      <c r="D17" s="756" t="s">
        <v>631</v>
      </c>
      <c r="E17" s="756" t="s">
        <v>632</v>
      </c>
      <c r="F17" s="56">
        <f>'数据-取费表'!B35</f>
        <v>200</v>
      </c>
      <c r="G17" s="3223"/>
      <c r="H17" s="1550" t="s">
        <v>1797</v>
      </c>
      <c r="I17" s="756" t="s">
        <v>633</v>
      </c>
      <c r="J17" s="2982">
        <f ca="1">ROUND(IF(AND(项目基本情况!B11="自然人",项目基本情况!B10="北京市"),J6*M17/(1+'数据-取费表'!C42),J18+J19+J20),0)</f>
        <v>2456</v>
      </c>
      <c r="K17" s="3441" t="s">
        <v>634</v>
      </c>
      <c r="L17" s="3440" t="s">
        <v>635</v>
      </c>
      <c r="M17" s="2981">
        <f ca="1">IF(项目基本情况!B11="企业","——",IF('数据-取费表'!B10="住宅",IF(M6*M7*M8/12/(1+'数据-取费表'!F30)&gt;100000,4%,2.5%),IF(M6*M7*M8/12/(1+'数据-取费表'!F30)&gt;100000,12%,7%)))</f>
        <v>7.0000000000000007E-2</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1855</v>
      </c>
      <c r="B18" s="756" t="s">
        <v>636</v>
      </c>
      <c r="C18" s="53">
        <f ca="1">ROUND(C14*F18,0)</f>
        <v>307</v>
      </c>
      <c r="D18" s="756" t="s">
        <v>625</v>
      </c>
      <c r="E18" s="756" t="s">
        <v>626</v>
      </c>
      <c r="F18" s="781">
        <f>'数据-取费表'!B36</f>
        <v>1.4999999999999999E-2</v>
      </c>
      <c r="G18" s="3223"/>
      <c r="H18" s="1549" t="s">
        <v>1804</v>
      </c>
      <c r="I18" s="756" t="s">
        <v>637</v>
      </c>
      <c r="J18" s="53">
        <f ca="1">ROUND(J6*M18/(1+'数据-取费表'!C42),1)</f>
        <v>0</v>
      </c>
      <c r="K18" s="3440" t="s">
        <v>638</v>
      </c>
      <c r="L18" s="756" t="s">
        <v>626</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1797</v>
      </c>
      <c r="B19" s="756" t="s">
        <v>639</v>
      </c>
      <c r="C19" s="53">
        <f ca="1">SUM(C14:C18)</f>
        <v>23470</v>
      </c>
      <c r="D19" s="259" t="s">
        <v>640</v>
      </c>
      <c r="E19" s="3449"/>
      <c r="F19" s="56"/>
      <c r="G19" s="1916"/>
      <c r="H19" s="1549" t="s">
        <v>1805</v>
      </c>
      <c r="I19" s="756" t="s">
        <v>641</v>
      </c>
      <c r="J19" s="53">
        <f ca="1">IF(K19="按租金收入计税",ROUND(J6*M19/(1+'数据-取费表'!C42),1),ROUND(C29*F33*0.7,1))</f>
        <v>2441</v>
      </c>
      <c r="K19" s="782" t="s">
        <v>642</v>
      </c>
      <c r="L19" s="756" t="s">
        <v>626</v>
      </c>
      <c r="M19" s="781">
        <f>IF(K19="按租金收入计税",'数据-取费表'!B51,'数据-取费表'!B50)</f>
        <v>1.2E-2</v>
      </c>
    </row>
    <row r="20" spans="1:33" s="1918" customFormat="1" ht="18" customHeight="1">
      <c r="A20" s="1550" t="s">
        <v>1856</v>
      </c>
      <c r="B20" s="756" t="s">
        <v>643</v>
      </c>
      <c r="C20" s="53">
        <f ca="1">ROUND(C19*F20,0)</f>
        <v>235</v>
      </c>
      <c r="D20" s="783" t="s">
        <v>644</v>
      </c>
      <c r="E20" s="756" t="s">
        <v>626</v>
      </c>
      <c r="F20" s="781">
        <f>'数据-取费表'!B37</f>
        <v>0.01</v>
      </c>
      <c r="G20" s="3223"/>
      <c r="H20" s="1552" t="s">
        <v>1806</v>
      </c>
      <c r="I20" s="339" t="s">
        <v>645</v>
      </c>
      <c r="J20" s="54">
        <f ca="1">ROUND(M20*M21/10000,0)</f>
        <v>15</v>
      </c>
      <c r="K20" s="785" t="s">
        <v>646</v>
      </c>
      <c r="L20" s="756" t="s">
        <v>647</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1857</v>
      </c>
      <c r="B21" s="756" t="s">
        <v>648</v>
      </c>
      <c r="C21" s="53" t="s">
        <v>1</v>
      </c>
      <c r="D21" s="783" t="s">
        <v>2261</v>
      </c>
      <c r="E21" s="756" t="s">
        <v>650</v>
      </c>
      <c r="F21" s="781">
        <f>'数据-取费表'!B38</f>
        <v>0.01</v>
      </c>
      <c r="G21" s="3223"/>
      <c r="H21" s="2327"/>
      <c r="I21" s="765"/>
      <c r="J21" s="69"/>
      <c r="K21" s="787"/>
      <c r="L21" s="756" t="s">
        <v>651</v>
      </c>
      <c r="M21" s="757">
        <f ca="1">INDIRECT("'数据-取费表'!r"&amp;$G$1)</f>
        <v>102489.97</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1858</v>
      </c>
      <c r="B22" s="756" t="s">
        <v>652</v>
      </c>
      <c r="C22" s="53"/>
      <c r="D22" s="2391" t="str">
        <f>IF(F23&lt;=1,"单利计息。","复利计息。")&amp;"建造成本、管理费用、销售费用产生的利息。"</f>
        <v>复利计息。建造成本、管理费用、销售费用产生的利息。</v>
      </c>
      <c r="E22" s="3449"/>
      <c r="F22" s="56"/>
      <c r="G22" s="1916"/>
      <c r="H22" s="1550" t="s">
        <v>1856</v>
      </c>
      <c r="I22" s="756" t="s">
        <v>653</v>
      </c>
      <c r="J22" s="53">
        <f ca="1">ROUND(J14*M22,0)</f>
        <v>436</v>
      </c>
      <c r="K22" s="3440" t="s">
        <v>654</v>
      </c>
      <c r="L22" s="756" t="s">
        <v>626</v>
      </c>
      <c r="M22" s="788">
        <f ca="1">INDIRECT("'数据-取费表'!Ak"&amp;$G$1)</f>
        <v>1.4999999999999999E-2</v>
      </c>
    </row>
    <row r="23" spans="1:33" s="1918" customFormat="1" ht="18" customHeight="1">
      <c r="A23" s="1549" t="s">
        <v>1804</v>
      </c>
      <c r="B23" s="756" t="s">
        <v>2391</v>
      </c>
      <c r="C23" s="53">
        <f ca="1">ROUND(IF('数据-取费表'!B22&lt;=1,(C19+C20)*F24*F23/2,(C19+C20)*(POWER((1+F24),F23/2)-1)),0)</f>
        <v>1126</v>
      </c>
      <c r="D23" s="2390" t="str">
        <f>IF(F23&lt;=1,"(建造成本+管理费用)×利率×(建设周期÷2)","(建造成本+管理费用)×((1+利率)^(建设周期÷2)-1)")</f>
        <v>(建造成本+管理费用)×((1+利率)^(建设周期÷2)-1)</v>
      </c>
      <c r="E23" s="756" t="s">
        <v>655</v>
      </c>
      <c r="F23" s="614">
        <f>'数据-取费表'!B20</f>
        <v>2</v>
      </c>
      <c r="G23" s="3223"/>
      <c r="H23" s="1550" t="s">
        <v>1857</v>
      </c>
      <c r="I23" s="756" t="s">
        <v>656</v>
      </c>
      <c r="J23" s="53">
        <f ca="1">ROUND(J13*M23,0)</f>
        <v>0</v>
      </c>
      <c r="K23" s="3440" t="s">
        <v>657</v>
      </c>
      <c r="L23" s="756" t="s">
        <v>626</v>
      </c>
      <c r="M23" s="789">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1805</v>
      </c>
      <c r="B24" s="756" t="s">
        <v>658</v>
      </c>
      <c r="C24" s="53">
        <f ca="1">ROUND(IF('数据-取费表'!B22&lt;=1,F21*F24*F23/2,F21*(POWER((1+F24),F23/2)-1)),4)</f>
        <v>5.0000000000000001E-4</v>
      </c>
      <c r="D24" s="2390" t="str">
        <f>IF(F23&lt;=1,"销售费用×利率×(建设周期÷2)","销售费用×((1+利率)^(建设周期÷2)-1)")</f>
        <v>销售费用×((1+利率)^(建设周期÷2)-1)</v>
      </c>
      <c r="E24" s="756" t="s">
        <v>659</v>
      </c>
      <c r="F24" s="790">
        <f ca="1">'数据-取费表'!B40</f>
        <v>4.7500000000000001E-2</v>
      </c>
      <c r="G24" s="3223"/>
      <c r="H24" s="2372" t="s">
        <v>1858</v>
      </c>
      <c r="I24" s="2367" t="s">
        <v>643</v>
      </c>
      <c r="J24" s="2365">
        <f ca="1">ROUND(J5*M24,0)</f>
        <v>0</v>
      </c>
      <c r="K24" s="2366" t="s">
        <v>660</v>
      </c>
      <c r="L24" s="2367" t="s">
        <v>626</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1813</v>
      </c>
      <c r="B25" s="756" t="s">
        <v>661</v>
      </c>
      <c r="C25" s="53"/>
      <c r="D25" s="259" t="s">
        <v>662</v>
      </c>
      <c r="E25" s="3449"/>
      <c r="F25" s="56"/>
      <c r="G25" s="1916"/>
      <c r="H25" s="1716" t="s">
        <v>1749</v>
      </c>
      <c r="I25" s="2690" t="s">
        <v>2772</v>
      </c>
      <c r="J25" s="764">
        <f ca="1">J5-J16</f>
        <v>-2892</v>
      </c>
      <c r="K25" s="2369" t="s">
        <v>677</v>
      </c>
      <c r="L25" s="2370"/>
      <c r="M25" s="2371"/>
    </row>
    <row r="26" spans="1:33" ht="18" customHeight="1">
      <c r="A26" s="1549" t="s">
        <v>1804</v>
      </c>
      <c r="B26" s="756" t="s">
        <v>2392</v>
      </c>
      <c r="C26" s="53">
        <f ca="1">ROUND((C19+C20)*F26,0)</f>
        <v>2371</v>
      </c>
      <c r="D26" s="783" t="s">
        <v>678</v>
      </c>
      <c r="E26" s="767" t="s">
        <v>679</v>
      </c>
      <c r="F26" s="766">
        <f ca="1">INDIRECT("'数据-取费表'!q"&amp;$G$1)</f>
        <v>0.1</v>
      </c>
      <c r="G26" s="1916"/>
      <c r="H26" s="2323" t="s">
        <v>1753</v>
      </c>
      <c r="I26" s="2082" t="s">
        <v>2777</v>
      </c>
      <c r="J26" s="755">
        <f ca="1">IF(J5&lt;&gt;0,ROUND(J25*(1-((1+M28)/(1+M26))^M27)/(M26-M28),0),0)</f>
        <v>0</v>
      </c>
      <c r="K26" s="785" t="s">
        <v>681</v>
      </c>
      <c r="L26" s="756" t="s">
        <v>2379</v>
      </c>
      <c r="M26" s="766">
        <f ca="1">INDIRECT("'数据-取费表'!I"&amp;$G$1)</f>
        <v>4.4999999999999998E-2</v>
      </c>
    </row>
    <row r="27" spans="1:33" ht="18" customHeight="1">
      <c r="A27" s="1549" t="s">
        <v>1805</v>
      </c>
      <c r="B27" s="756" t="s">
        <v>663</v>
      </c>
      <c r="C27" s="53">
        <f ca="1">ROUND(F21*F26,4)</f>
        <v>1E-3</v>
      </c>
      <c r="D27" s="783" t="s">
        <v>683</v>
      </c>
      <c r="E27" s="778"/>
      <c r="F27" s="779"/>
      <c r="G27" s="1916"/>
      <c r="H27" s="2324"/>
      <c r="I27" s="759"/>
      <c r="J27" s="760"/>
      <c r="K27" s="792" t="s">
        <v>684</v>
      </c>
      <c r="L27" s="756" t="s">
        <v>685</v>
      </c>
      <c r="M27" s="793">
        <f ca="1">INDIRECT("'数据-取费表'!ag"&amp;$G$1)</f>
        <v>0</v>
      </c>
    </row>
    <row r="28" spans="1:33" s="1918" customFormat="1" ht="18" customHeight="1">
      <c r="A28" s="1551" t="s">
        <v>1814</v>
      </c>
      <c r="B28" s="756" t="s">
        <v>664</v>
      </c>
      <c r="C28" s="53">
        <f>ROUND(F28/(1+'数据-取费表'!C42),4)</f>
        <v>5.2400000000000002E-2</v>
      </c>
      <c r="D28" s="783" t="s">
        <v>2262</v>
      </c>
      <c r="E28" s="756" t="s">
        <v>626</v>
      </c>
      <c r="F28" s="781">
        <f>'数据-取费表'!B41</f>
        <v>5.5000000000000007E-2</v>
      </c>
      <c r="G28" s="3223"/>
      <c r="H28" s="1716"/>
      <c r="I28" s="763"/>
      <c r="J28" s="764"/>
      <c r="K28" s="787"/>
      <c r="L28" s="756" t="s">
        <v>687</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1859</v>
      </c>
      <c r="B29" s="2362" t="s">
        <v>2263</v>
      </c>
      <c r="C29" s="2365">
        <f ca="1">ROUND((C19+C20+C23+C26)/(1-F21-C24-C27-C28),0)</f>
        <v>29059</v>
      </c>
      <c r="D29" s="2366"/>
      <c r="E29" s="2367"/>
      <c r="F29" s="2368"/>
      <c r="G29" s="3223"/>
      <c r="H29" s="794" t="s">
        <v>1760</v>
      </c>
      <c r="I29" s="795" t="s">
        <v>1761</v>
      </c>
      <c r="J29" s="796">
        <f ca="1">ROUND(J26/(1+F40)^F41,0)</f>
        <v>0</v>
      </c>
      <c r="K29" s="797" t="s">
        <v>665</v>
      </c>
      <c r="L29" s="798"/>
      <c r="M29" s="799">
        <f ca="1">INDIRECT("'数据-取费表'!k"&amp;$G$1)</f>
        <v>102489.97</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7</v>
      </c>
      <c r="B30" s="1714" t="s">
        <v>628</v>
      </c>
      <c r="C30" s="764">
        <f ca="1">ROUND(C31+C36+C37+C38,0)</f>
        <v>1156</v>
      </c>
      <c r="D30" s="1708" t="s">
        <v>629</v>
      </c>
      <c r="E30" s="3443"/>
      <c r="F30" s="2312"/>
      <c r="G30" s="1916"/>
      <c r="H30" s="1919"/>
      <c r="I30" s="1920"/>
      <c r="J30" s="1921"/>
      <c r="K30" s="1922"/>
      <c r="L30" s="1923"/>
      <c r="M30" s="1924"/>
    </row>
    <row r="31" spans="1:33" ht="18" customHeight="1">
      <c r="A31" s="1550" t="s">
        <v>1797</v>
      </c>
      <c r="B31" s="756" t="s">
        <v>633</v>
      </c>
      <c r="C31" s="2982">
        <f ca="1">ROUND(IF(AND(项目基本情况!B11="自然人",项目基本情况!B10="北京市"),C6*F31/(1+'数据-取费表'!C42),C32+C33+C34),0)</f>
        <v>651</v>
      </c>
      <c r="D31" s="3441" t="s">
        <v>634</v>
      </c>
      <c r="E31" s="3440" t="s">
        <v>667</v>
      </c>
      <c r="F31" s="2981">
        <f ca="1">IF(项目基本情况!B11="企业","——",IF('数据-取费表'!B10="住宅",IF(F6*F7*F8/12/(1+'数据-取费表'!F30)&gt;100000,4%,2.5%),IF(F6*F7*F8/12/(1+'数据-取费表'!F30)&gt;100000,12%,7%)))</f>
        <v>0.12</v>
      </c>
      <c r="G31" s="1916"/>
      <c r="H31" s="3220" t="s">
        <v>2959</v>
      </c>
      <c r="I31" s="1920"/>
      <c r="J31" s="1921"/>
      <c r="K31" s="1922"/>
      <c r="L31" s="1923"/>
      <c r="M31" s="1924"/>
    </row>
    <row r="32" spans="1:33" ht="18" customHeight="1">
      <c r="A32" s="1549" t="s">
        <v>1804</v>
      </c>
      <c r="B32" s="756" t="s">
        <v>637</v>
      </c>
      <c r="C32" s="53">
        <f ca="1">ROUND(C6*F32/(1+'数据-取费表'!C42),1)</f>
        <v>199.9</v>
      </c>
      <c r="D32" s="3440" t="s">
        <v>638</v>
      </c>
      <c r="E32" s="756" t="s">
        <v>626</v>
      </c>
      <c r="F32" s="781">
        <f>'数据-取费表'!B41</f>
        <v>5.5000000000000007E-2</v>
      </c>
      <c r="G32" s="1916"/>
      <c r="H32" s="1925"/>
      <c r="I32" s="1926"/>
      <c r="J32" s="1927"/>
      <c r="K32" s="1928"/>
      <c r="L32" s="1929"/>
      <c r="M32" s="1930"/>
    </row>
    <row r="33" spans="1:18" ht="18" customHeight="1">
      <c r="A33" s="1549" t="s">
        <v>1805</v>
      </c>
      <c r="B33" s="756" t="s">
        <v>641</v>
      </c>
      <c r="C33" s="53">
        <f ca="1">IF(D33="按租金收入计税",ROUND(C6*F33/(1+'数据-取费表'!C42),1),IF(D33="按房产原值计税",ROUND(C29*F33*0.7,1),INDIRECT("'数据-取费表'!Aj"&amp;$G$1)))</f>
        <v>436.1</v>
      </c>
      <c r="D33" s="782" t="s">
        <v>3142</v>
      </c>
      <c r="E33" s="756" t="s">
        <v>626</v>
      </c>
      <c r="F33" s="781">
        <f>IF(D33="按租金收入计税",'数据-取费表'!B51,'数据-取费表'!B50)</f>
        <v>0.12</v>
      </c>
      <c r="G33" s="1916"/>
      <c r="H33" s="1931"/>
      <c r="I33" s="1931"/>
      <c r="J33" s="1931"/>
      <c r="K33" s="1932"/>
      <c r="L33" s="1931"/>
      <c r="M33" s="1931"/>
    </row>
    <row r="34" spans="1:18" ht="18" customHeight="1">
      <c r="A34" s="1552" t="s">
        <v>1806</v>
      </c>
      <c r="B34" s="339" t="s">
        <v>645</v>
      </c>
      <c r="C34" s="54">
        <f ca="1">ROUND(F34*F35/10000,1)</f>
        <v>15.4</v>
      </c>
      <c r="D34" s="785" t="s">
        <v>646</v>
      </c>
      <c r="E34" s="756" t="s">
        <v>647</v>
      </c>
      <c r="F34" s="614">
        <f>'数据-取费表'!B52</f>
        <v>1.5</v>
      </c>
      <c r="G34" s="1916"/>
      <c r="H34" s="1919"/>
      <c r="I34" s="806" t="s">
        <v>1786</v>
      </c>
      <c r="J34" s="807"/>
      <c r="K34" s="1934"/>
      <c r="L34" s="1933"/>
      <c r="M34" s="1933"/>
    </row>
    <row r="35" spans="1:18" ht="18" customHeight="1">
      <c r="A35" s="786"/>
      <c r="B35" s="765"/>
      <c r="C35" s="69"/>
      <c r="D35" s="787"/>
      <c r="E35" s="756" t="s">
        <v>651</v>
      </c>
      <c r="F35" s="757">
        <f ca="1">INDIRECT("'数据-取费表'!r"&amp;$G$1)</f>
        <v>102489.97</v>
      </c>
      <c r="G35" s="1916"/>
      <c r="H35" s="1919"/>
      <c r="I35" s="808" t="s">
        <v>1787</v>
      </c>
      <c r="J35" s="809">
        <f ca="1">ROUND(C13*J36,0)</f>
        <v>0</v>
      </c>
      <c r="K35" s="1932"/>
      <c r="L35" s="1931"/>
      <c r="M35" s="1931"/>
    </row>
    <row r="36" spans="1:18" ht="18" customHeight="1">
      <c r="A36" s="1550" t="s">
        <v>1856</v>
      </c>
      <c r="B36" s="756" t="s">
        <v>653</v>
      </c>
      <c r="C36" s="53">
        <f ca="1">ROUND(C29*F36,1)</f>
        <v>435.9</v>
      </c>
      <c r="D36" s="3440" t="s">
        <v>668</v>
      </c>
      <c r="E36" s="756" t="s">
        <v>626</v>
      </c>
      <c r="F36" s="788">
        <f ca="1">INDIRECT("'数据-取费表'!Ak"&amp;$G$1)</f>
        <v>1.4999999999999999E-2</v>
      </c>
      <c r="G36" s="1916"/>
      <c r="H36" s="1931"/>
      <c r="I36" s="810" t="s">
        <v>1788</v>
      </c>
      <c r="J36" s="811">
        <f ca="1">INDIRECT("'数据-取费表'!j"&amp;$G$1)</f>
        <v>0</v>
      </c>
      <c r="K36" s="1935"/>
      <c r="L36" s="1931"/>
      <c r="M36" s="1931"/>
    </row>
    <row r="37" spans="1:18" ht="18" customHeight="1">
      <c r="A37" s="1550" t="s">
        <v>1857</v>
      </c>
      <c r="B37" s="756" t="s">
        <v>656</v>
      </c>
      <c r="C37" s="53">
        <f ca="1">ROUND(C13*F37,1)</f>
        <v>30.5</v>
      </c>
      <c r="D37" s="3440" t="s">
        <v>657</v>
      </c>
      <c r="E37" s="756" t="s">
        <v>626</v>
      </c>
      <c r="F37" s="789">
        <f ca="1">INDIRECT("'数据-取费表'!Al"&amp;$G$1)</f>
        <v>1.5E-3</v>
      </c>
      <c r="G37" s="1916"/>
      <c r="H37" s="1931"/>
      <c r="I37" s="812" t="s">
        <v>1789</v>
      </c>
      <c r="J37" s="813"/>
      <c r="K37" s="1935"/>
      <c r="L37" s="1931"/>
      <c r="M37" s="1931"/>
    </row>
    <row r="38" spans="1:18" ht="18" customHeight="1" thickBot="1">
      <c r="A38" s="2372" t="s">
        <v>1858</v>
      </c>
      <c r="B38" s="2367" t="s">
        <v>643</v>
      </c>
      <c r="C38" s="2365">
        <f ca="1">ROUND(C5*F38,1)</f>
        <v>38.200000000000003</v>
      </c>
      <c r="D38" s="2366" t="s">
        <v>660</v>
      </c>
      <c r="E38" s="2367" t="s">
        <v>626</v>
      </c>
      <c r="F38" s="2363">
        <f ca="1">INDIRECT("'数据-取费表'!Am"&amp;$G$1)</f>
        <v>0.01</v>
      </c>
      <c r="G38" s="1916"/>
      <c r="H38" s="1931"/>
      <c r="I38" s="814" t="s">
        <v>1790</v>
      </c>
      <c r="J38" s="815"/>
      <c r="K38" s="1936"/>
      <c r="L38" s="1931"/>
      <c r="M38" s="1931"/>
    </row>
    <row r="39" spans="1:18" ht="24.6" customHeight="1" thickTop="1">
      <c r="A39" s="1716" t="s">
        <v>1749</v>
      </c>
      <c r="B39" s="2690" t="s">
        <v>2772</v>
      </c>
      <c r="C39" s="764">
        <f ca="1">C5-C30</f>
        <v>2665</v>
      </c>
      <c r="D39" s="2369" t="s">
        <v>677</v>
      </c>
      <c r="E39" s="2370"/>
      <c r="F39" s="2371"/>
      <c r="G39" s="1916"/>
      <c r="H39" s="1931"/>
      <c r="I39" s="808" t="s">
        <v>1791</v>
      </c>
      <c r="J39" s="816">
        <f ca="1">ROUND(J35/C39,3)</f>
        <v>0</v>
      </c>
      <c r="K39" s="1936"/>
      <c r="L39" s="1931"/>
      <c r="M39" s="1931"/>
    </row>
    <row r="40" spans="1:18" ht="18" customHeight="1">
      <c r="A40" s="753" t="s">
        <v>1753</v>
      </c>
      <c r="B40" s="2082" t="s">
        <v>2264</v>
      </c>
      <c r="C40" s="755">
        <f ca="1">ROUND(C39*(1-((1+F42)/(1+F40))^F41)/(F40-F42),0)</f>
        <v>52666</v>
      </c>
      <c r="D40" s="785" t="s">
        <v>681</v>
      </c>
      <c r="E40" s="756" t="s">
        <v>2379</v>
      </c>
      <c r="F40" s="766">
        <f ca="1">INDIRECT("'数据-取费表'!I"&amp;$G$1)</f>
        <v>4.4999999999999998E-2</v>
      </c>
      <c r="G40" s="1916"/>
      <c r="H40" s="1916"/>
      <c r="I40" s="808" t="s">
        <v>1792</v>
      </c>
      <c r="J40" s="816">
        <f ca="1">1-J39</f>
        <v>1</v>
      </c>
      <c r="K40" s="1936"/>
      <c r="L40" s="1916"/>
      <c r="M40" s="1916"/>
    </row>
    <row r="41" spans="1:18" ht="18" customHeight="1">
      <c r="A41" s="758"/>
      <c r="B41" s="759"/>
      <c r="C41" s="760"/>
      <c r="D41" s="792" t="s">
        <v>1781</v>
      </c>
      <c r="E41" s="756" t="s">
        <v>685</v>
      </c>
      <c r="F41" s="793">
        <f ca="1">IF(INDIRECT("'数据-取费表'!af"&amp;$G$1)=0,INDIRECT("'数据-取费表'!ae"&amp;$G$1),INDIRECT("'数据-取费表'!af"&amp;$G$1))</f>
        <v>50</v>
      </c>
      <c r="G41" s="1916"/>
      <c r="H41" s="1871"/>
      <c r="I41" s="814" t="s">
        <v>1793</v>
      </c>
      <c r="J41" s="817"/>
      <c r="K41" s="1935"/>
      <c r="L41" s="1871"/>
      <c r="M41" s="1871"/>
    </row>
    <row r="42" spans="1:18" ht="18" customHeight="1">
      <c r="A42" s="762"/>
      <c r="B42" s="763"/>
      <c r="C42" s="764"/>
      <c r="D42" s="787"/>
      <c r="E42" s="756" t="s">
        <v>687</v>
      </c>
      <c r="F42" s="766">
        <f ca="1">INDIRECT("'数据-取费表'!v"&amp;$G$1)</f>
        <v>0</v>
      </c>
      <c r="G42" s="1916"/>
      <c r="H42" s="1871"/>
      <c r="I42" s="818" t="s">
        <v>1794</v>
      </c>
      <c r="J42" s="816">
        <f ca="1">ROUND(C13/C40,3)</f>
        <v>0.38600000000000001</v>
      </c>
      <c r="K42" s="1935"/>
      <c r="L42" s="1871"/>
      <c r="M42" s="1871"/>
    </row>
    <row r="43" spans="1:18" ht="18" customHeight="1" thickBot="1">
      <c r="A43" s="794" t="s">
        <v>1760</v>
      </c>
      <c r="B43" s="795" t="s">
        <v>1783</v>
      </c>
      <c r="C43" s="796">
        <f ca="1">ROUND(C40*10000/F43,0)</f>
        <v>5139</v>
      </c>
      <c r="D43" s="797" t="s">
        <v>1784</v>
      </c>
      <c r="E43" s="798" t="s">
        <v>1785</v>
      </c>
      <c r="F43" s="799">
        <f ca="1">INDIRECT("'数据-取费表'!k"&amp;$G$1)</f>
        <v>102489.97</v>
      </c>
      <c r="G43" s="1916"/>
      <c r="H43" s="1871"/>
      <c r="I43" s="818" t="s">
        <v>1795</v>
      </c>
      <c r="J43" s="819">
        <f ca="1">1-J42</f>
        <v>0.61399999999999999</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2258</v>
      </c>
      <c r="B46" s="1938"/>
      <c r="C46" s="2393">
        <f ca="1">C67-C40</f>
        <v>-62172</v>
      </c>
      <c r="D46" s="3224"/>
      <c r="E46" s="3224"/>
      <c r="F46" s="3224"/>
      <c r="I46" s="2203" t="s">
        <v>2303</v>
      </c>
      <c r="J46" s="2204"/>
      <c r="K46" s="2205"/>
      <c r="L46" s="2775" t="str">
        <f ca="1">IF(OR(M47="住宅",D1="土地（套用方法）"),0,IF(L48&gt;J51,L60,J60))</f>
        <v>0</v>
      </c>
      <c r="M46" s="3225"/>
      <c r="O46" s="2219" t="s">
        <v>2370</v>
      </c>
      <c r="P46" s="1500"/>
      <c r="Q46" s="1508"/>
      <c r="R46" s="1500"/>
    </row>
    <row r="47" spans="1:18" s="1913" customFormat="1" ht="18" customHeight="1" thickBot="1">
      <c r="A47" s="2197">
        <v>1</v>
      </c>
      <c r="B47" s="2198" t="s">
        <v>612</v>
      </c>
      <c r="C47" s="2393">
        <f ca="1">C48+C52+C54</f>
        <v>0</v>
      </c>
      <c r="D47" s="3224"/>
      <c r="E47" s="3224"/>
      <c r="F47" s="3224"/>
      <c r="I47" s="2766" t="s">
        <v>2304</v>
      </c>
      <c r="J47" s="2206" t="s">
        <v>3143</v>
      </c>
      <c r="K47" s="2772" t="s">
        <v>2309</v>
      </c>
      <c r="L47" s="2776">
        <f ca="1">INDIRECT("'数据-取费表'!d"&amp;$G$1)</f>
        <v>50</v>
      </c>
      <c r="M47" s="1508" t="str">
        <f>IF(ISNUMBER(FIND("住宅",C1)),"住宅","非住宅")</f>
        <v>非住宅</v>
      </c>
      <c r="O47" s="2220" t="s">
        <v>2335</v>
      </c>
      <c r="P47" s="2221" t="s">
        <v>2336</v>
      </c>
      <c r="Q47" s="2222" t="s">
        <v>2337</v>
      </c>
      <c r="R47" s="2221" t="s">
        <v>2338</v>
      </c>
    </row>
    <row r="48" spans="1:18" s="1913" customFormat="1" ht="18" customHeight="1" thickBot="1">
      <c r="A48" s="2451" t="s">
        <v>1837</v>
      </c>
      <c r="B48" s="2452" t="s">
        <v>2490</v>
      </c>
      <c r="C48" s="2199">
        <f ca="1">ROUND(F48*F50*F49*(1-F51)/10000,0)</f>
        <v>0</v>
      </c>
      <c r="D48" s="2200" t="s">
        <v>613</v>
      </c>
      <c r="E48" s="2201" t="s">
        <v>2259</v>
      </c>
      <c r="F48" s="2202"/>
      <c r="G48" s="1943"/>
      <c r="I48" s="2763" t="s">
        <v>2305</v>
      </c>
      <c r="J48" s="2207" t="s">
        <v>2328</v>
      </c>
      <c r="K48" s="2773" t="s">
        <v>2311</v>
      </c>
      <c r="L48" s="1794">
        <f ca="1">INDIRECT("'数据-取费表'!f"&amp;$G$1)</f>
        <v>50</v>
      </c>
      <c r="M48" s="3225"/>
      <c r="O48" s="2223" t="s">
        <v>2339</v>
      </c>
      <c r="P48" s="2224" t="s">
        <v>2365</v>
      </c>
      <c r="Q48" s="2225">
        <f ca="1">C40+J29</f>
        <v>52666</v>
      </c>
      <c r="R48" s="2224" t="s">
        <v>2340</v>
      </c>
    </row>
    <row r="49" spans="1:18" s="1913" customFormat="1" ht="18" customHeight="1" thickBot="1">
      <c r="A49" s="758"/>
      <c r="B49" s="759"/>
      <c r="C49" s="760"/>
      <c r="D49" s="761"/>
      <c r="E49" s="756" t="s">
        <v>615</v>
      </c>
      <c r="F49" s="757">
        <f ca="1">F7</f>
        <v>102489.97</v>
      </c>
      <c r="G49" s="1943"/>
      <c r="H49" s="1946"/>
      <c r="I49" s="2763" t="s">
        <v>2306</v>
      </c>
      <c r="J49" s="2208"/>
      <c r="K49" s="2774" t="s">
        <v>2312</v>
      </c>
      <c r="L49" s="2209"/>
      <c r="M49" s="3225"/>
      <c r="O49" s="2223" t="s">
        <v>2341</v>
      </c>
      <c r="P49" s="2224" t="s">
        <v>2366</v>
      </c>
      <c r="Q49" s="2225" t="str">
        <f ca="1">J60</f>
        <v>0</v>
      </c>
      <c r="R49" s="2224" t="s">
        <v>2342</v>
      </c>
    </row>
    <row r="50" spans="1:18" s="1913" customFormat="1" ht="18" customHeight="1" thickBot="1">
      <c r="A50" s="758"/>
      <c r="B50" s="759"/>
      <c r="C50" s="760"/>
      <c r="D50" s="761"/>
      <c r="E50" s="756" t="s">
        <v>616</v>
      </c>
      <c r="F50" s="757">
        <f ca="1">F8</f>
        <v>365</v>
      </c>
      <c r="G50" s="1948"/>
      <c r="H50" s="1946"/>
      <c r="I50" s="2763" t="s">
        <v>2307</v>
      </c>
      <c r="J50" s="2770">
        <f>SUMPRODUCT((I63:I65=J47)*(J62:L62=J48)*(J63:L65))</f>
        <v>50</v>
      </c>
      <c r="K50" s="2774" t="s">
        <v>2313</v>
      </c>
      <c r="L50" s="2209"/>
      <c r="M50" s="3225"/>
      <c r="O50" s="2226" t="s">
        <v>2343</v>
      </c>
      <c r="P50" s="2224" t="s">
        <v>2367</v>
      </c>
      <c r="Q50" s="2225">
        <f ca="1">C29</f>
        <v>29059</v>
      </c>
      <c r="R50" s="2224" t="s">
        <v>2340</v>
      </c>
    </row>
    <row r="51" spans="1:18" s="1913" customFormat="1" ht="18" customHeight="1" thickBot="1">
      <c r="A51" s="758"/>
      <c r="B51" s="759"/>
      <c r="C51" s="760"/>
      <c r="D51" s="761"/>
      <c r="E51" s="756" t="s">
        <v>617</v>
      </c>
      <c r="F51" s="2196"/>
      <c r="H51" s="1946"/>
      <c r="I51" s="2767" t="s">
        <v>2308</v>
      </c>
      <c r="J51" s="2771">
        <f>IF(J49="",J50,J49+J50-YEAR('数据-取费表'!B2))</f>
        <v>50</v>
      </c>
      <c r="K51" s="2763" t="s">
        <v>2314</v>
      </c>
      <c r="L51" s="2777">
        <f ca="1">ROUND(-PV(INDIRECT("'数据-取费表'!h"&amp;$G$1),J51,(C39-C13*J36),0),0)</f>
        <v>133250</v>
      </c>
      <c r="M51" s="3225"/>
      <c r="O51" s="2226" t="s">
        <v>2344</v>
      </c>
      <c r="P51" s="2224" t="s">
        <v>2345</v>
      </c>
      <c r="Q51" s="2227" t="e">
        <f ca="1">J58</f>
        <v>#VALUE!</v>
      </c>
      <c r="R51" s="2228"/>
    </row>
    <row r="52" spans="1:18" s="1913" customFormat="1" ht="18" customHeight="1" thickBot="1">
      <c r="A52" s="753" t="s">
        <v>2488</v>
      </c>
      <c r="B52" s="2315" t="s">
        <v>2411</v>
      </c>
      <c r="C52" s="771">
        <f ca="1">ROUND(IF(F52="押一",C48/12*F11,IF(F52="押二",C48/12*2*F11,IF(F52="押三",C48/12*3*F11,C53*F11))),0)</f>
        <v>0</v>
      </c>
      <c r="D52" s="2322" t="s">
        <v>2905</v>
      </c>
      <c r="E52" s="2319" t="s">
        <v>2416</v>
      </c>
      <c r="F52" s="2432"/>
      <c r="I52" s="2768" t="s">
        <v>2381</v>
      </c>
      <c r="J52" s="2210"/>
      <c r="K52" s="2768" t="s">
        <v>2380</v>
      </c>
      <c r="L52" s="2210"/>
      <c r="M52" s="3225"/>
      <c r="O52" s="2226" t="s">
        <v>2346</v>
      </c>
      <c r="P52" s="2224" t="s">
        <v>2347</v>
      </c>
      <c r="Q52" s="2227">
        <f>J52</f>
        <v>0</v>
      </c>
      <c r="R52" s="2228"/>
    </row>
    <row r="53" spans="1:18" s="1913" customFormat="1" ht="39.75" customHeight="1" thickBot="1">
      <c r="A53" s="758"/>
      <c r="B53" s="2316" t="s">
        <v>2525</v>
      </c>
      <c r="C53" s="2320"/>
      <c r="D53" s="2322"/>
      <c r="E53" s="2319"/>
      <c r="F53" s="772"/>
      <c r="I53" s="2769" t="s">
        <v>2909</v>
      </c>
      <c r="J53" s="2822">
        <f ca="1">IF(M47="住宅",IF(D1="——",MAX(J51,L48),MAX(J51,L48-'数据-取费表'!B20)),IF(D1="——",MIN(J51,L48),MIN(J51,L48-'数据-取费表'!B20)))</f>
        <v>50</v>
      </c>
      <c r="K53" s="3749" t="s">
        <v>2899</v>
      </c>
      <c r="L53" s="3750"/>
      <c r="M53" s="3225"/>
      <c r="O53" s="2226" t="s">
        <v>2348</v>
      </c>
      <c r="P53" s="2224" t="s">
        <v>2349</v>
      </c>
      <c r="Q53" s="2225">
        <f ca="1">J53</f>
        <v>50</v>
      </c>
      <c r="R53" s="2224" t="s">
        <v>2350</v>
      </c>
    </row>
    <row r="54" spans="1:18" s="1913" customFormat="1" ht="18" customHeight="1" thickBot="1">
      <c r="A54" s="2358" t="s">
        <v>2419</v>
      </c>
      <c r="B54" s="2359" t="s">
        <v>2412</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5"/>
      <c r="O54" s="2223" t="s">
        <v>2351</v>
      </c>
      <c r="P54" s="2224" t="s">
        <v>2368</v>
      </c>
      <c r="Q54" s="2225">
        <f ca="1">Q48+Q49</f>
        <v>52666</v>
      </c>
      <c r="R54" s="2228" t="s">
        <v>2352</v>
      </c>
    </row>
    <row r="55" spans="1:18" s="1913" customFormat="1" ht="18" customHeight="1" thickTop="1" thickBot="1">
      <c r="A55" s="769">
        <v>2</v>
      </c>
      <c r="B55" s="770" t="s">
        <v>621</v>
      </c>
      <c r="C55" s="771">
        <f ca="1">C13</f>
        <v>20341</v>
      </c>
      <c r="D55" s="767"/>
      <c r="E55" s="767"/>
      <c r="F55" s="772"/>
      <c r="I55" s="2780" t="s">
        <v>2315</v>
      </c>
      <c r="J55" s="2752" t="e">
        <f ca="1">ROUND(IF(J47="钢混",J57/J50,1-(1-2%)*(J50-J57)/J50),3)</f>
        <v>#VALUE!</v>
      </c>
      <c r="K55" s="2781" t="s">
        <v>2316</v>
      </c>
      <c r="L55" s="2211"/>
      <c r="M55" s="3225"/>
      <c r="O55" s="2229" t="s">
        <v>2371</v>
      </c>
      <c r="P55" s="1500"/>
      <c r="Q55" s="1508"/>
      <c r="R55" s="1500"/>
    </row>
    <row r="56" spans="1:18" s="1913" customFormat="1" ht="42.75" customHeight="1" thickBot="1">
      <c r="A56" s="1551"/>
      <c r="B56" s="2081" t="s">
        <v>2263</v>
      </c>
      <c r="C56" s="53">
        <f ca="1">C29</f>
        <v>29059</v>
      </c>
      <c r="D56" s="3440"/>
      <c r="E56" s="756"/>
      <c r="F56" s="781"/>
      <c r="I56" s="2782" t="s">
        <v>2317</v>
      </c>
      <c r="J56" s="2792" t="s">
        <v>1651</v>
      </c>
      <c r="K56" s="2763" t="s">
        <v>2322</v>
      </c>
      <c r="L56" s="1794">
        <f ca="1">IF(L48&lt;J51,"——",L48-J51)</f>
        <v>0</v>
      </c>
      <c r="M56" s="3225"/>
      <c r="O56" s="2220" t="s">
        <v>2335</v>
      </c>
      <c r="P56" s="2221" t="s">
        <v>2336</v>
      </c>
      <c r="Q56" s="2222" t="s">
        <v>2337</v>
      </c>
      <c r="R56" s="2221" t="s">
        <v>2338</v>
      </c>
    </row>
    <row r="57" spans="1:18" s="1913" customFormat="1" ht="28.5" customHeight="1" thickBot="1">
      <c r="A57" s="769" t="s">
        <v>7</v>
      </c>
      <c r="B57" s="770" t="s">
        <v>628</v>
      </c>
      <c r="C57" s="771">
        <f ca="1">ROUND(C58+C63+C64+C65,0)</f>
        <v>481</v>
      </c>
      <c r="D57" s="26" t="s">
        <v>629</v>
      </c>
      <c r="E57" s="3449"/>
      <c r="F57" s="56"/>
      <c r="I57" s="2783" t="s">
        <v>2318</v>
      </c>
      <c r="J57" s="2784" t="str">
        <f ca="1">IF(OR(M47="住宅",J51&lt;L48,J56="是"),"——",J51-L48)</f>
        <v>——</v>
      </c>
      <c r="K57" s="2763" t="s">
        <v>2323</v>
      </c>
      <c r="L57" s="1794">
        <f ca="1">IF(L48&lt;J51,"——",IF(L55="比较法",L49,IF(L55="基准地价",L50,L51)))</f>
        <v>133250</v>
      </c>
      <c r="M57" s="3225"/>
      <c r="O57" s="2223" t="s">
        <v>2339</v>
      </c>
      <c r="P57" s="2224" t="s">
        <v>2365</v>
      </c>
      <c r="Q57" s="2225">
        <f ca="1">C40+J29</f>
        <v>52666</v>
      </c>
      <c r="R57" s="2224" t="s">
        <v>2340</v>
      </c>
    </row>
    <row r="58" spans="1:18" s="1913" customFormat="1" ht="28.5" customHeight="1" thickBot="1">
      <c r="A58" s="1550" t="s">
        <v>1797</v>
      </c>
      <c r="B58" s="756" t="s">
        <v>633</v>
      </c>
      <c r="C58" s="2982">
        <f ca="1">ROUND(IF(AND(项目基本情况!B11="自然人",项目基本情况!B10="北京市"),C48*F58/(1+'数据-取费表'!C42),C59+C60+C61),0)</f>
        <v>15</v>
      </c>
      <c r="D58" s="3441" t="s">
        <v>634</v>
      </c>
      <c r="E58" s="3440" t="s">
        <v>667</v>
      </c>
      <c r="F58" s="2981">
        <f ca="1">IF(项目基本情况!B11="企业","——",IF('数据-取费表'!B10="住宅",IF(F48*F49*F50/12/(1+'数据-取费表'!F30)&gt;100000,4%,2.5%),IF(F48*F49*F50/12/(1+'数据-取费表'!F30)&gt;100000,12%,7%)))</f>
        <v>7.0000000000000007E-2</v>
      </c>
      <c r="I58" s="2783" t="s">
        <v>2319</v>
      </c>
      <c r="J58" s="2753" t="e">
        <f ca="1">IF(J55&lt;0.4,0.4,J55)</f>
        <v>#VALUE!</v>
      </c>
      <c r="K58" s="2763" t="s">
        <v>2324</v>
      </c>
      <c r="L58" s="1794" t="e">
        <f ca="1">ROUND(POWER(1+L52,L47-L48)*(POWER(1+L52,L48)-1)/(POWER(1+L52,L47)-1),4)</f>
        <v>#DIV/0!</v>
      </c>
      <c r="M58" s="3225"/>
      <c r="O58" s="2223" t="s">
        <v>2341</v>
      </c>
      <c r="P58" s="2224" t="s">
        <v>2372</v>
      </c>
      <c r="Q58" s="2225" t="e">
        <f ca="1">L60</f>
        <v>#DIV/0!</v>
      </c>
      <c r="R58" s="2228" t="s">
        <v>2374</v>
      </c>
    </row>
    <row r="59" spans="1:18" s="1913" customFormat="1" ht="28.5" customHeight="1" thickBot="1">
      <c r="A59" s="1549" t="s">
        <v>1804</v>
      </c>
      <c r="B59" s="756" t="s">
        <v>637</v>
      </c>
      <c r="C59" s="53">
        <f ca="1">ROUND(C47*F59/1.05,1)</f>
        <v>0</v>
      </c>
      <c r="D59" s="3440" t="s">
        <v>638</v>
      </c>
      <c r="E59" s="756" t="s">
        <v>626</v>
      </c>
      <c r="F59" s="781">
        <f t="shared" ref="F59:F65" si="0">F32</f>
        <v>5.5000000000000007E-2</v>
      </c>
      <c r="I59" s="2783" t="s">
        <v>2320</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5"/>
      <c r="O59" s="2226" t="s">
        <v>2343</v>
      </c>
      <c r="P59" s="2224" t="s">
        <v>2373</v>
      </c>
      <c r="Q59" s="2225">
        <f>IF(L55="比较法",L49,IF(L55="基准地价",L50,0))</f>
        <v>0</v>
      </c>
      <c r="R59" s="2224" t="s">
        <v>2340</v>
      </c>
    </row>
    <row r="60" spans="1:18" s="1913" customFormat="1" ht="18" customHeight="1" thickBot="1">
      <c r="A60" s="1549" t="s">
        <v>1805</v>
      </c>
      <c r="B60" s="756" t="s">
        <v>641</v>
      </c>
      <c r="C60" s="53">
        <f ca="1">IF(D60="按租金收入计税",ROUND(C48*F60/(1+'数据-取费表'!C42),1),IF(D60="按房产原值计税",ROUND(C56*F60*0.7,1),INDIRECT("'数据-取费表'!Aj"&amp;$G$1)))</f>
        <v>0</v>
      </c>
      <c r="D60" s="3440" t="str">
        <f>D33</f>
        <v>按租金收入计税</v>
      </c>
      <c r="E60" s="756" t="s">
        <v>626</v>
      </c>
      <c r="F60" s="781">
        <f t="shared" si="0"/>
        <v>0.12</v>
      </c>
      <c r="I60" s="2785" t="s">
        <v>2321</v>
      </c>
      <c r="J60" s="2786" t="str">
        <f ca="1">IF(OR(M47="住宅",J51&lt;L48,J56="是"),"0",ROUND(J59/(1+J52)^J53,0))</f>
        <v>0</v>
      </c>
      <c r="K60" s="2787" t="s">
        <v>2326</v>
      </c>
      <c r="L60" s="2786" t="e">
        <f ca="1">IF(OR(M47="住宅",L48&lt;J51),0,ROUND(L57*(L58/L59-1),0))</f>
        <v>#DIV/0!</v>
      </c>
      <c r="M60" s="3225"/>
      <c r="O60" s="2226" t="s">
        <v>2344</v>
      </c>
      <c r="P60" s="2224" t="s">
        <v>2353</v>
      </c>
      <c r="Q60" s="2227">
        <f>L52</f>
        <v>0</v>
      </c>
      <c r="R60" s="2228"/>
    </row>
    <row r="61" spans="1:18" s="1913" customFormat="1" ht="18" customHeight="1" thickBot="1">
      <c r="A61" s="1552" t="s">
        <v>1806</v>
      </c>
      <c r="B61" s="339" t="s">
        <v>645</v>
      </c>
      <c r="C61" s="54">
        <f ca="1">ROUND(F61*F62/10000,1)</f>
        <v>15.4</v>
      </c>
      <c r="D61" s="785" t="s">
        <v>646</v>
      </c>
      <c r="E61" s="756" t="s">
        <v>647</v>
      </c>
      <c r="F61" s="614">
        <f t="shared" si="0"/>
        <v>1.5</v>
      </c>
      <c r="K61" s="1939"/>
      <c r="O61" s="2226" t="s">
        <v>2346</v>
      </c>
      <c r="P61" s="2224" t="s">
        <v>2354</v>
      </c>
      <c r="Q61" s="2225" t="e">
        <f ca="1">L58</f>
        <v>#DIV/0!</v>
      </c>
      <c r="R61" s="2228" t="s">
        <v>2355</v>
      </c>
    </row>
    <row r="62" spans="1:18" s="1913" customFormat="1" ht="15.75" thickBot="1">
      <c r="A62" s="786"/>
      <c r="B62" s="765"/>
      <c r="C62" s="69"/>
      <c r="D62" s="787"/>
      <c r="E62" s="756" t="s">
        <v>651</v>
      </c>
      <c r="F62" s="757">
        <f t="shared" ca="1" si="0"/>
        <v>102489.97</v>
      </c>
      <c r="I62" s="2788" t="s">
        <v>2327</v>
      </c>
      <c r="J62" s="2789" t="s">
        <v>2328</v>
      </c>
      <c r="K62" s="2789" t="s">
        <v>2329</v>
      </c>
      <c r="L62" s="2789" t="s">
        <v>2310</v>
      </c>
      <c r="M62" s="2790" t="s">
        <v>2878</v>
      </c>
      <c r="O62" s="2226" t="s">
        <v>2348</v>
      </c>
      <c r="P62" s="2224" t="str">
        <f>K59</f>
        <v>建筑物剩余耐用年限下的土地年期修正系数Kn</v>
      </c>
      <c r="Q62" s="2225" t="e">
        <f ca="1">L59</f>
        <v>#DIV/0!</v>
      </c>
      <c r="R62" s="2228" t="s">
        <v>2357</v>
      </c>
    </row>
    <row r="63" spans="1:18" s="1913" customFormat="1" ht="15.75" thickBot="1">
      <c r="A63" s="1550" t="s">
        <v>1856</v>
      </c>
      <c r="B63" s="756" t="s">
        <v>653</v>
      </c>
      <c r="C63" s="53">
        <f ca="1">ROUND(C56*F63,1)</f>
        <v>435.9</v>
      </c>
      <c r="D63" s="3440" t="s">
        <v>668</v>
      </c>
      <c r="E63" s="756" t="s">
        <v>626</v>
      </c>
      <c r="F63" s="788">
        <f t="shared" ca="1" si="0"/>
        <v>1.4999999999999999E-2</v>
      </c>
      <c r="I63" s="2788" t="s">
        <v>2330</v>
      </c>
      <c r="J63" s="2789">
        <v>70</v>
      </c>
      <c r="K63" s="2789">
        <v>50</v>
      </c>
      <c r="L63" s="2789">
        <v>80</v>
      </c>
      <c r="M63" s="2791">
        <v>0.02</v>
      </c>
      <c r="O63" s="2223" t="s">
        <v>2351</v>
      </c>
      <c r="P63" s="2224" t="s">
        <v>2368</v>
      </c>
      <c r="Q63" s="2225" t="e">
        <f ca="1">Q57+Q58</f>
        <v>#DIV/0!</v>
      </c>
      <c r="R63" s="2228" t="s">
        <v>2352</v>
      </c>
    </row>
    <row r="64" spans="1:18" s="1913" customFormat="1" ht="16.5" thickBot="1">
      <c r="A64" s="1550" t="s">
        <v>1857</v>
      </c>
      <c r="B64" s="756" t="s">
        <v>656</v>
      </c>
      <c r="C64" s="53">
        <f ca="1">ROUND(C55*F64,1)</f>
        <v>30.5</v>
      </c>
      <c r="D64" s="3440" t="s">
        <v>657</v>
      </c>
      <c r="E64" s="756" t="s">
        <v>626</v>
      </c>
      <c r="F64" s="789">
        <f t="shared" ca="1" si="0"/>
        <v>1.5E-3</v>
      </c>
      <c r="I64" s="2788" t="s">
        <v>2331</v>
      </c>
      <c r="J64" s="2789">
        <v>50</v>
      </c>
      <c r="K64" s="2789">
        <v>35</v>
      </c>
      <c r="L64" s="2789">
        <v>60</v>
      </c>
      <c r="M64" s="817">
        <v>0</v>
      </c>
      <c r="O64" s="2229" t="s">
        <v>2375</v>
      </c>
      <c r="P64" s="1500"/>
      <c r="Q64" s="1508"/>
      <c r="R64" s="1500"/>
    </row>
    <row r="65" spans="1:18" s="1913" customFormat="1" ht="15.75" thickBot="1">
      <c r="A65" s="1550" t="s">
        <v>1858</v>
      </c>
      <c r="B65" s="756" t="s">
        <v>643</v>
      </c>
      <c r="C65" s="53">
        <f ca="1">ROUND(C47*F65,1)</f>
        <v>0</v>
      </c>
      <c r="D65" s="3440" t="s">
        <v>660</v>
      </c>
      <c r="E65" s="756" t="s">
        <v>626</v>
      </c>
      <c r="F65" s="766">
        <f t="shared" ca="1" si="0"/>
        <v>0.01</v>
      </c>
      <c r="I65" s="2788" t="s">
        <v>2332</v>
      </c>
      <c r="J65" s="2789">
        <v>40</v>
      </c>
      <c r="K65" s="2789">
        <v>30</v>
      </c>
      <c r="L65" s="2789">
        <v>50</v>
      </c>
      <c r="M65" s="2791">
        <v>0.02</v>
      </c>
      <c r="O65" s="2220" t="s">
        <v>2335</v>
      </c>
      <c r="P65" s="2221" t="s">
        <v>2336</v>
      </c>
      <c r="Q65" s="2222" t="s">
        <v>2337</v>
      </c>
      <c r="R65" s="2221" t="s">
        <v>2338</v>
      </c>
    </row>
    <row r="66" spans="1:18" s="1913" customFormat="1" ht="24.75" thickBot="1">
      <c r="A66" s="769" t="s">
        <v>1749</v>
      </c>
      <c r="B66" s="2691" t="s">
        <v>2772</v>
      </c>
      <c r="C66" s="771">
        <f ca="1">C47-C57</f>
        <v>-481</v>
      </c>
      <c r="D66" s="3441" t="s">
        <v>677</v>
      </c>
      <c r="E66" s="3444"/>
      <c r="F66" s="791"/>
      <c r="K66" s="1939"/>
      <c r="O66" s="2223" t="s">
        <v>2339</v>
      </c>
      <c r="P66" s="2224" t="s">
        <v>2365</v>
      </c>
      <c r="Q66" s="2225">
        <f ca="1">C40+J29</f>
        <v>52666</v>
      </c>
      <c r="R66" s="2224" t="s">
        <v>2340</v>
      </c>
    </row>
    <row r="67" spans="1:18" s="1913" customFormat="1" ht="20.25" thickBot="1">
      <c r="A67" s="753" t="s">
        <v>1753</v>
      </c>
      <c r="B67" s="2082" t="s">
        <v>2264</v>
      </c>
      <c r="C67" s="755">
        <f ca="1">ROUND(C66*(1-((1+F69)/(1+F67))^F68)/(F67-F69),0)</f>
        <v>-9506</v>
      </c>
      <c r="D67" s="785" t="s">
        <v>681</v>
      </c>
      <c r="E67" s="756" t="s">
        <v>682</v>
      </c>
      <c r="F67" s="766">
        <f ca="1">F40</f>
        <v>4.4999999999999998E-2</v>
      </c>
      <c r="K67" s="1939"/>
      <c r="O67" s="2223" t="s">
        <v>2341</v>
      </c>
      <c r="P67" s="2224" t="s">
        <v>2372</v>
      </c>
      <c r="Q67" s="2225" t="e">
        <f ca="1">L60</f>
        <v>#DIV/0!</v>
      </c>
      <c r="R67" s="2228" t="s">
        <v>2374</v>
      </c>
    </row>
    <row r="68" spans="1:18" ht="21.75" thickBot="1">
      <c r="A68" s="758"/>
      <c r="B68" s="759"/>
      <c r="C68" s="760"/>
      <c r="D68" s="792" t="s">
        <v>1781</v>
      </c>
      <c r="E68" s="756" t="s">
        <v>685</v>
      </c>
      <c r="F68" s="793">
        <f ca="1">F41</f>
        <v>50</v>
      </c>
      <c r="O68" s="2226" t="s">
        <v>2343</v>
      </c>
      <c r="P68" s="2224" t="s">
        <v>2373</v>
      </c>
      <c r="Q68" s="2230">
        <f ca="1">L51</f>
        <v>133250</v>
      </c>
      <c r="R68" s="2231" t="s">
        <v>2376</v>
      </c>
    </row>
    <row r="69" spans="1:18" ht="20.25" thickBot="1">
      <c r="A69" s="762"/>
      <c r="B69" s="763"/>
      <c r="C69" s="764"/>
      <c r="D69" s="787"/>
      <c r="E69" s="756" t="s">
        <v>687</v>
      </c>
      <c r="F69" s="2196"/>
      <c r="O69" s="2226" t="s">
        <v>2344</v>
      </c>
      <c r="P69" s="2232" t="s">
        <v>2358</v>
      </c>
      <c r="Q69" s="2225">
        <f ca="1">ROUND(Q70-Q71*Q72,0)</f>
        <v>2665</v>
      </c>
      <c r="R69" s="2228"/>
    </row>
    <row r="70" spans="1:18" ht="15.75" thickBot="1">
      <c r="A70" s="794" t="s">
        <v>1760</v>
      </c>
      <c r="B70" s="795" t="s">
        <v>1783</v>
      </c>
      <c r="C70" s="796">
        <f ca="1">ROUND(C67*10000/F70,0)</f>
        <v>-928</v>
      </c>
      <c r="D70" s="797" t="s">
        <v>1784</v>
      </c>
      <c r="E70" s="798" t="s">
        <v>1785</v>
      </c>
      <c r="F70" s="799">
        <f ca="1">F43</f>
        <v>102489.97</v>
      </c>
      <c r="O70" s="2226" t="s">
        <v>2359</v>
      </c>
      <c r="P70" s="2232" t="s">
        <v>2360</v>
      </c>
      <c r="Q70" s="2225">
        <f ca="1">C39</f>
        <v>2665</v>
      </c>
      <c r="R70" s="2224" t="s">
        <v>2340</v>
      </c>
    </row>
    <row r="71" spans="1:18" ht="15.75" thickBot="1">
      <c r="O71" s="2226" t="s">
        <v>2361</v>
      </c>
      <c r="P71" s="2232" t="s">
        <v>2362</v>
      </c>
      <c r="Q71" s="2225">
        <f ca="1">C13</f>
        <v>20341</v>
      </c>
      <c r="R71" s="2224" t="s">
        <v>2340</v>
      </c>
    </row>
    <row r="72" spans="1:18" ht="15.75" thickBot="1">
      <c r="O72" s="2226" t="s">
        <v>2363</v>
      </c>
      <c r="P72" s="2232" t="s">
        <v>2364</v>
      </c>
      <c r="Q72" s="2227">
        <f ca="1">J36</f>
        <v>0</v>
      </c>
      <c r="R72" s="2228"/>
    </row>
    <row r="73" spans="1:18" ht="15.75" thickBot="1">
      <c r="O73" s="2226" t="s">
        <v>2346</v>
      </c>
      <c r="P73" s="2224" t="s">
        <v>2353</v>
      </c>
      <c r="Q73" s="2227">
        <f>L52</f>
        <v>0</v>
      </c>
      <c r="R73" s="2228"/>
    </row>
    <row r="74" spans="1:18" ht="20.25" thickBot="1">
      <c r="O74" s="2226" t="s">
        <v>2348</v>
      </c>
      <c r="P74" s="2224" t="s">
        <v>2354</v>
      </c>
      <c r="Q74" s="2225" t="e">
        <f ca="1">L58</f>
        <v>#DIV/0!</v>
      </c>
      <c r="R74" s="2228" t="s">
        <v>2355</v>
      </c>
    </row>
    <row r="75" spans="1:18" ht="15.75" thickBot="1">
      <c r="O75" s="2226" t="s">
        <v>2377</v>
      </c>
      <c r="P75" s="2224" t="str">
        <f>K59</f>
        <v>建筑物剩余耐用年限下的土地年期修正系数Kn</v>
      </c>
      <c r="Q75" s="2225" t="e">
        <f ca="1">L59</f>
        <v>#DIV/0!</v>
      </c>
      <c r="R75" s="2228" t="s">
        <v>2357</v>
      </c>
    </row>
    <row r="76" spans="1:18" ht="15.75" thickBot="1">
      <c r="O76" s="2223" t="s">
        <v>2351</v>
      </c>
      <c r="P76" s="2224" t="s">
        <v>2368</v>
      </c>
      <c r="Q76" s="2225" t="e">
        <f ca="1">Q66+Q67</f>
        <v>#DIV/0!</v>
      </c>
      <c r="R76" s="2228"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9" priority="6">
      <formula>$L$48&gt;$J$51</formula>
    </cfRule>
  </conditionalFormatting>
  <conditionalFormatting sqref="I55">
    <cfRule type="expression" dxfId="158" priority="7">
      <formula>$J$51&gt;$L$48</formula>
    </cfRule>
  </conditionalFormatting>
  <conditionalFormatting sqref="I60">
    <cfRule type="expression" dxfId="157" priority="5">
      <formula>$J$51&gt;$L$48</formula>
    </cfRule>
  </conditionalFormatting>
  <conditionalFormatting sqref="K60">
    <cfRule type="expression" dxfId="156" priority="4">
      <formula>$L$48&gt;$J$51</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3">
    <cfRule type="expression" dxfId="15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80" zoomScaleNormal="60" zoomScaleSheetLayoutView="80" workbookViewId="0">
      <selection activeCell="C54" sqref="C5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965</v>
      </c>
      <c r="D1" s="1434">
        <f>SUM(D29:D30,D33:D39)</f>
        <v>41534</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1609</v>
      </c>
      <c r="T1" s="2620" t="s">
        <v>2734</v>
      </c>
      <c r="U1" s="2620" t="s">
        <v>2735</v>
      </c>
      <c r="V1" s="2620" t="s">
        <v>966</v>
      </c>
      <c r="W1" s="2040"/>
      <c r="X1" s="2040"/>
      <c r="Y1" s="2040"/>
      <c r="Z1" s="2040"/>
      <c r="AA1" s="2040"/>
      <c r="AB1" s="2040"/>
      <c r="AC1" s="2041"/>
    </row>
    <row r="2" spans="1:39" ht="15.75">
      <c r="A2" s="1328" t="s">
        <v>894</v>
      </c>
      <c r="B2" s="1007">
        <f>C26</f>
        <v>46115</v>
      </c>
      <c r="C2" s="1329" t="s">
        <v>895</v>
      </c>
      <c r="D2" s="1330" t="s">
        <v>872</v>
      </c>
      <c r="E2" s="1331" t="s">
        <v>3122</v>
      </c>
      <c r="F2" s="1330" t="s">
        <v>873</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17531</v>
      </c>
      <c r="U2" s="2610"/>
      <c r="V2" s="2621">
        <f>ROUND(T2*U2/10000,0)</f>
        <v>0</v>
      </c>
      <c r="W2" s="2040"/>
      <c r="X2" s="2040"/>
      <c r="Y2" s="2040"/>
      <c r="Z2" s="2040"/>
      <c r="AA2" s="2040"/>
      <c r="AB2" s="2040"/>
      <c r="AC2" s="2041"/>
    </row>
    <row r="3" spans="1:39" ht="15.75">
      <c r="A3" s="1333" t="s">
        <v>1660</v>
      </c>
      <c r="B3" s="1007">
        <f>ROUND(B2*10000/D1,0)</f>
        <v>11103</v>
      </c>
      <c r="C3" s="1329" t="s">
        <v>901</v>
      </c>
      <c r="D3" s="1330" t="s">
        <v>902</v>
      </c>
      <c r="E3" s="1334" t="s">
        <v>3315</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11554</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9092</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8740</v>
      </c>
      <c r="D5" s="2757">
        <f>ROUND(C6+C16,0)</f>
        <v>8740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6793</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8740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5109</v>
      </c>
      <c r="U6" s="2610"/>
      <c r="V6" s="2621">
        <f t="shared" si="1"/>
        <v>0</v>
      </c>
      <c r="W6" s="2040"/>
      <c r="X6" s="2040"/>
      <c r="Y6" s="2040"/>
      <c r="Z6" s="2040"/>
      <c r="AA6" s="2040"/>
      <c r="AB6" s="2040"/>
      <c r="AC6" s="2042"/>
      <c r="AD6" s="1341"/>
      <c r="AE6" s="1341"/>
      <c r="AF6" s="1341"/>
      <c r="AG6" s="1341"/>
      <c r="AH6" s="1341"/>
      <c r="AI6" s="1341"/>
      <c r="AJ6" s="1342"/>
    </row>
    <row r="7" spans="1:39" ht="24">
      <c r="A7" s="3807" t="str">
        <f>IF(E2="商业",IF(C8="不临58条商业街","",2),"")</f>
        <v/>
      </c>
      <c r="B7" s="1349" t="s">
        <v>906</v>
      </c>
      <c r="C7" s="1012">
        <f>IF(C8="不临58条商业街",1,ROUND(1+(1.6*E8+1.2*E9+0.8*E10+0.4*E11)*C9,4))</f>
        <v>1</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4085</v>
      </c>
      <c r="U7" s="2610"/>
      <c r="V7" s="2621">
        <f t="shared" si="1"/>
        <v>0</v>
      </c>
      <c r="W7" s="3448" t="s">
        <v>2715</v>
      </c>
      <c r="X7" s="2611" t="str">
        <f>G2</f>
        <v>八级</v>
      </c>
      <c r="Y7" s="2611" t="s">
        <v>2716</v>
      </c>
      <c r="Z7" s="2612">
        <f>G3</f>
        <v>1</v>
      </c>
      <c r="AA7" s="2043"/>
      <c r="AB7" s="2043"/>
      <c r="AC7" s="2044"/>
      <c r="AD7" s="2613"/>
      <c r="AE7" s="2613"/>
      <c r="AF7" s="2613"/>
      <c r="AG7" s="2613"/>
      <c r="AH7" s="2613"/>
      <c r="AI7" s="2613"/>
      <c r="AJ7" s="2614"/>
    </row>
    <row r="8" spans="1:39" ht="25.5">
      <c r="A8" s="3811"/>
      <c r="B8" s="1336" t="s">
        <v>908</v>
      </c>
      <c r="C8" s="1442" t="s">
        <v>3316</v>
      </c>
      <c r="D8" s="1014" t="s">
        <v>909</v>
      </c>
      <c r="E8" s="1015" t="e">
        <f>ROUND(C11/E7,4)</f>
        <v>#DIV/0!</v>
      </c>
      <c r="F8" s="1354" t="s">
        <v>910</v>
      </c>
      <c r="G8" s="1355"/>
      <c r="H8" s="1355"/>
      <c r="I8" s="1355"/>
      <c r="J8" s="1356"/>
      <c r="K8" s="3197"/>
      <c r="L8" s="1771" t="s">
        <v>2210</v>
      </c>
      <c r="M8" s="1772">
        <f>SUMPRODUCT((区片价!B206:B244=I2)*(区片价!C3:F3=E2)*(区片价!C206:F244))</f>
        <v>5540</v>
      </c>
      <c r="N8" s="1773">
        <f>SUMPRODUCT((因素修正幅度!B206:B244=I2)*(因素修正幅度!C3:F3=E2)*(因素修正幅度!C206:F244))</f>
        <v>0.15</v>
      </c>
      <c r="O8" s="3197"/>
      <c r="P8" s="2040"/>
      <c r="Q8" s="2040"/>
      <c r="R8" s="2621">
        <v>7</v>
      </c>
      <c r="S8" s="2610"/>
      <c r="T8" s="2621">
        <f t="shared" si="0"/>
        <v>0</v>
      </c>
      <c r="U8" s="2610"/>
      <c r="V8" s="2621">
        <f t="shared" si="1"/>
        <v>0</v>
      </c>
      <c r="W8" s="3812" t="s">
        <v>2733</v>
      </c>
      <c r="X8" s="3813"/>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11"/>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14"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11"/>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14"/>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11"/>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14"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807"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14"/>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15"/>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14"/>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15"/>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16"/>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807" t="s">
        <v>1811</v>
      </c>
      <c r="B16" s="1349" t="s">
        <v>924</v>
      </c>
      <c r="C16" s="1021">
        <f>ROUND(IF(F17="与级别开发程度一致",0,(G17-E17)/C17),0)</f>
        <v>0</v>
      </c>
      <c r="D16" s="3809" t="s">
        <v>928</v>
      </c>
      <c r="E16" s="3810"/>
      <c r="F16" s="3809" t="s">
        <v>925</v>
      </c>
      <c r="G16" s="3810"/>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808"/>
      <c r="B17" s="2818" t="s">
        <v>927</v>
      </c>
      <c r="C17" s="2819">
        <f>SUMPRODUCT((修正!A2:A5=E2)*(修正!B1:M1=G2)*(修正!B2:M5))</f>
        <v>2</v>
      </c>
      <c r="D17" s="2820" t="str">
        <f>IF(OR(G2="八级",G2="九级",G2="十级",G2="十一级",G2="十二级"),"五通一平","七通一平")</f>
        <v>五通一平</v>
      </c>
      <c r="E17" s="2810">
        <v>315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1799</v>
      </c>
      <c r="B18" s="2813" t="s">
        <v>929</v>
      </c>
      <c r="C18" s="2814">
        <f>SUMIF(修正!C18:C39,E3,修正!E18:E39)</f>
        <v>1</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1800</v>
      </c>
      <c r="B19" s="1384" t="s">
        <v>930</v>
      </c>
      <c r="C19" s="1022">
        <f>ROUND(IF(H19="按公示增长率计算",SUMPRODUCT((地价!A3:A37=YEAR(G19)&amp;"-"&amp;ROUNDUP(MONTH(G19)/3,0))*(地价!X2:AB2=E2)*(地价!X3:AB37)),IF(H19="地价指数",M20/M19,(1+I19)^O19)),4)</f>
        <v>1.0154000000000001</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258</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1801</v>
      </c>
      <c r="B20" s="2465" t="s">
        <v>945</v>
      </c>
      <c r="C20" s="2466">
        <f>ROUND(POWER(1+G20,J20-I20)*(POWER(1+G20,I20)-1)/(POWER(1+G20,J20)-1),4)</f>
        <v>1</v>
      </c>
      <c r="D20" s="2467" t="s">
        <v>946</v>
      </c>
      <c r="E20" s="2747">
        <f ca="1">存贷款利率!I4/100</f>
        <v>4.3499999999999997E-2</v>
      </c>
      <c r="F20" s="2467" t="s">
        <v>947</v>
      </c>
      <c r="G20" s="2468">
        <v>5.5E-2</v>
      </c>
      <c r="H20" s="2467" t="s">
        <v>948</v>
      </c>
      <c r="I20" s="2463">
        <f>SUMIF('数据-取费表'!C6:C15,E2,'数据-取费表'!F6:F15)/COUNTIF('数据-取费表'!C6:C15,E2)</f>
        <v>40</v>
      </c>
      <c r="J20" s="2469">
        <f>IF(E2="住宅",70,IF(E2="商业",40,50))</f>
        <v>40</v>
      </c>
      <c r="K20" s="2808"/>
      <c r="L20" s="2719" t="s">
        <v>2789</v>
      </c>
      <c r="M20" s="2801">
        <f>ROUND(SUMPRODUCT((地价!A4:A37=YEAR(G19)&amp;"-"&amp;ROUNDUP(MONTH(G19)/3,0))*(地价!B2:F2=E2)*(地价!B4:F37)),0)</f>
        <v>353</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1.2299</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1.4097</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1.0172000000000001</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46115</v>
      </c>
      <c r="D26" s="1403"/>
      <c r="E26" s="1378"/>
      <c r="F26" s="1404"/>
      <c r="G26" s="1378"/>
      <c r="H26" s="1378"/>
      <c r="I26" s="1378"/>
      <c r="J26" s="1405"/>
      <c r="K26" s="3197"/>
      <c r="L26" s="1502" t="s">
        <v>872</v>
      </c>
      <c r="M26" s="1350" t="s">
        <v>949</v>
      </c>
      <c r="N26" s="1350" t="s">
        <v>952</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11103</v>
      </c>
      <c r="D29" s="1417">
        <f>剩余法商业!C9</f>
        <v>41534</v>
      </c>
      <c r="E29" s="1735">
        <f>ROUND(C29*D29/10000,0)</f>
        <v>46115</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2776</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02"/>
      <c r="B33" s="1437" t="s">
        <v>973</v>
      </c>
      <c r="C33" s="1028">
        <f>ROUND(D5*C19*C20*C24*F33,0)</f>
        <v>5416</v>
      </c>
      <c r="D33" s="1450"/>
      <c r="E33" s="1017">
        <f>ROUND(C33*D33/10000,0)</f>
        <v>0</v>
      </c>
      <c r="F33" s="1017">
        <f>SUMIF(修正!A45:A56,G2,修正!B45:B56)</f>
        <v>0.6</v>
      </c>
      <c r="G33" s="1017">
        <f t="shared" ref="G33" si="6">ROUND(IF(E2="工业",C33*$M$39,C33*$M$38),0)</f>
        <v>1354</v>
      </c>
      <c r="H33" s="1017">
        <f>D33</f>
        <v>0</v>
      </c>
      <c r="I33" s="1017">
        <f>ROUND(G33*H33/10000,0)</f>
        <v>0</v>
      </c>
      <c r="J33" s="380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03"/>
      <c r="B34" s="1367" t="s">
        <v>974</v>
      </c>
      <c r="C34" s="1028">
        <f>ROUND(D5*C19*C20*C24*F34,0)</f>
        <v>2708</v>
      </c>
      <c r="D34" s="1450"/>
      <c r="E34" s="1017">
        <f t="shared" ref="E34:E39" si="7">ROUND(C34*D34/10000,0)</f>
        <v>0</v>
      </c>
      <c r="F34" s="1017">
        <f>SUMIF(修正!A45:A56,G2,修正!C45:C56)</f>
        <v>0.3</v>
      </c>
      <c r="G34" s="1017">
        <f>ROUND(IF(E2="工业",C34*$M$39,C34*$M$38),0)</f>
        <v>677</v>
      </c>
      <c r="H34" s="1017">
        <f t="shared" ref="H34:H39" si="8">D34</f>
        <v>0</v>
      </c>
      <c r="I34" s="1017">
        <f t="shared" ref="I34:I39" si="9">ROUND(G34*H34/10000,0)</f>
        <v>0</v>
      </c>
      <c r="J34" s="380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03"/>
      <c r="B35" s="1367" t="s">
        <v>975</v>
      </c>
      <c r="C35" s="1028">
        <f>ROUND(D5*C19*C20*C24*F35,0)</f>
        <v>1805</v>
      </c>
      <c r="D35" s="1450"/>
      <c r="E35" s="1017">
        <f t="shared" si="7"/>
        <v>0</v>
      </c>
      <c r="F35" s="1017">
        <f>SUMIF(修正!A45:A56,G2,修正!D45:D56)</f>
        <v>0.2</v>
      </c>
      <c r="G35" s="1017">
        <f>ROUND(IF(E2="工业",C35*$M$39,C35*$M$38),0)</f>
        <v>451</v>
      </c>
      <c r="H35" s="1017">
        <f t="shared" si="8"/>
        <v>0</v>
      </c>
      <c r="I35" s="1017">
        <f t="shared" si="9"/>
        <v>0</v>
      </c>
      <c r="J35" s="380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04"/>
      <c r="B36" s="1367" t="s">
        <v>976</v>
      </c>
      <c r="C36" s="1028">
        <f>ROUND(D5*C19*C20*C24*F36,0)</f>
        <v>1805</v>
      </c>
      <c r="D36" s="1450"/>
      <c r="E36" s="1017">
        <f t="shared" si="7"/>
        <v>0</v>
      </c>
      <c r="F36" s="1017">
        <f>SUMIF(修正!A45:A56,G2,修正!E45:E56)</f>
        <v>0.2</v>
      </c>
      <c r="G36" s="1017">
        <f>ROUND(IF(E2="工业",C36*$M$39,C36*$M$38),0)</f>
        <v>451</v>
      </c>
      <c r="H36" s="1017">
        <f t="shared" si="8"/>
        <v>0</v>
      </c>
      <c r="I36" s="1017">
        <f t="shared" si="9"/>
        <v>0</v>
      </c>
      <c r="J36" s="380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1805</v>
      </c>
      <c r="D37" s="1450"/>
      <c r="E37" s="1017">
        <f t="shared" si="7"/>
        <v>0</v>
      </c>
      <c r="F37" s="1028">
        <f>SUMIF(修正!A45:A56,G2,修正!F45:F56)</f>
        <v>0.2</v>
      </c>
      <c r="G37" s="1017">
        <f>ROUND(IF(E2="工业",C37*$M$39,C37*$M$38),0)</f>
        <v>451</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5.5E-2</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949</v>
      </c>
      <c r="B45" s="2250">
        <f>1+E47</f>
        <v>1.0172000000000001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2" t="s">
        <v>994</v>
      </c>
      <c r="B47" s="2236" t="str">
        <f>估价对象房地状况!C16</f>
        <v>估价对象位于XX商圈，周边商业氛围成熟，人流量大，商业繁华度好</v>
      </c>
      <c r="C47" s="1019" t="s">
        <v>3185</v>
      </c>
      <c r="D47" s="2242">
        <f t="shared" ref="D47:D55" si="10">SUMIF($J$46:$N$46,C47,J47:N47)</f>
        <v>0</v>
      </c>
      <c r="E47" s="2261">
        <f>ROUND(SUM(D47:D55),4)</f>
        <v>1.72E-2</v>
      </c>
      <c r="F47" s="2262">
        <f>IF(E2="商业",SUMIF(L1:L12,G2,N1:N12),"——")</f>
        <v>0.15</v>
      </c>
      <c r="G47" s="2240">
        <f>H47</f>
        <v>2.47E-2</v>
      </c>
      <c r="H47" s="2285">
        <f t="shared" ref="H47:H55" si="11">IFERROR(ROUNDDOWN(($F$47*I47/2),4),"——")</f>
        <v>2.47E-2</v>
      </c>
      <c r="I47" s="2260">
        <v>0.33</v>
      </c>
      <c r="J47" s="2263">
        <f t="shared" ref="J47:J55" si="12">K47+$G47</f>
        <v>4.9399999999999999E-2</v>
      </c>
      <c r="K47" s="2263">
        <f t="shared" ref="K47:K55" si="13">$L47+$G47</f>
        <v>2.47E-2</v>
      </c>
      <c r="L47" s="2263">
        <v>0</v>
      </c>
      <c r="M47" s="2263">
        <f t="shared" ref="M47:N55" si="14">L47-$G47</f>
        <v>-2.47E-2</v>
      </c>
      <c r="N47" s="2263">
        <f t="shared" si="14"/>
        <v>-4.9399999999999999E-2</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2" t="s">
        <v>995</v>
      </c>
      <c r="B48" s="2233" t="str">
        <f>估价对象房地状况!C18</f>
        <v>估价对象周边道路状况、公共交通通达情况、停车便捷程度，综合评价交通便捷度较好</v>
      </c>
      <c r="C48" s="1019" t="s">
        <v>3185</v>
      </c>
      <c r="D48" s="2242">
        <f t="shared" si="10"/>
        <v>0</v>
      </c>
      <c r="E48" s="2264"/>
      <c r="F48" s="2262"/>
      <c r="G48" s="2240">
        <f t="shared" ref="G48:G55" si="15">H48</f>
        <v>1.8700000000000001E-2</v>
      </c>
      <c r="H48" s="2285">
        <f t="shared" si="11"/>
        <v>1.8700000000000001E-2</v>
      </c>
      <c r="I48" s="2260">
        <v>0.25</v>
      </c>
      <c r="J48" s="2263">
        <f t="shared" si="12"/>
        <v>3.7400000000000003E-2</v>
      </c>
      <c r="K48" s="2263">
        <f t="shared" si="13"/>
        <v>1.8700000000000001E-2</v>
      </c>
      <c r="L48" s="2263">
        <v>0</v>
      </c>
      <c r="M48" s="2263">
        <f t="shared" si="14"/>
        <v>-1.8700000000000001E-2</v>
      </c>
      <c r="N48" s="2263">
        <f t="shared" si="14"/>
        <v>-3.7400000000000003E-2</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2" t="s">
        <v>996</v>
      </c>
      <c r="B49" s="2233">
        <f>估价对象房地状况!C19</f>
        <v>0</v>
      </c>
      <c r="C49" s="1019" t="s">
        <v>3185</v>
      </c>
      <c r="D49" s="2242">
        <f t="shared" si="10"/>
        <v>0</v>
      </c>
      <c r="E49" s="2264"/>
      <c r="F49" s="2262"/>
      <c r="G49" s="2240">
        <f t="shared" si="15"/>
        <v>3.7000000000000002E-3</v>
      </c>
      <c r="H49" s="2285">
        <f t="shared" si="11"/>
        <v>3.7000000000000002E-3</v>
      </c>
      <c r="I49" s="2260">
        <v>0.05</v>
      </c>
      <c r="J49" s="2263">
        <f t="shared" si="12"/>
        <v>7.4000000000000003E-3</v>
      </c>
      <c r="K49" s="2263">
        <f t="shared" si="13"/>
        <v>3.7000000000000002E-3</v>
      </c>
      <c r="L49" s="2263">
        <v>0</v>
      </c>
      <c r="M49" s="2263">
        <f t="shared" si="14"/>
        <v>-3.7000000000000002E-3</v>
      </c>
      <c r="N49" s="2263">
        <f t="shared" si="14"/>
        <v>-7.4000000000000003E-3</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2" t="s">
        <v>997</v>
      </c>
      <c r="B50" s="2749" t="s">
        <v>2873</v>
      </c>
      <c r="C50" s="1019" t="s">
        <v>3185</v>
      </c>
      <c r="D50" s="2242">
        <f t="shared" si="10"/>
        <v>0</v>
      </c>
      <c r="E50" s="2264"/>
      <c r="F50" s="2262"/>
      <c r="G50" s="2240">
        <f t="shared" si="15"/>
        <v>3.7000000000000002E-3</v>
      </c>
      <c r="H50" s="2285">
        <f t="shared" si="11"/>
        <v>3.7000000000000002E-3</v>
      </c>
      <c r="I50" s="2260">
        <v>0.05</v>
      </c>
      <c r="J50" s="2263">
        <f t="shared" si="12"/>
        <v>7.4000000000000003E-3</v>
      </c>
      <c r="K50" s="2263">
        <f t="shared" si="13"/>
        <v>3.7000000000000002E-3</v>
      </c>
      <c r="L50" s="2263">
        <v>0</v>
      </c>
      <c r="M50" s="2263">
        <f t="shared" si="14"/>
        <v>-3.7000000000000002E-3</v>
      </c>
      <c r="N50" s="2263">
        <f t="shared" si="14"/>
        <v>-7.4000000000000003E-3</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2" t="s">
        <v>998</v>
      </c>
      <c r="B51" s="2233">
        <f>估价对象房地状况!C24</f>
        <v>0</v>
      </c>
      <c r="C51" s="1019" t="s">
        <v>3185</v>
      </c>
      <c r="D51" s="2242">
        <f t="shared" si="10"/>
        <v>0</v>
      </c>
      <c r="E51" s="2264"/>
      <c r="F51" s="2262"/>
      <c r="G51" s="2240">
        <f t="shared" si="15"/>
        <v>6.0000000000000001E-3</v>
      </c>
      <c r="H51" s="2285">
        <f t="shared" si="11"/>
        <v>6.0000000000000001E-3</v>
      </c>
      <c r="I51" s="2260">
        <v>0.08</v>
      </c>
      <c r="J51" s="2263">
        <f t="shared" si="12"/>
        <v>1.2E-2</v>
      </c>
      <c r="K51" s="2263">
        <f t="shared" si="13"/>
        <v>6.0000000000000001E-3</v>
      </c>
      <c r="L51" s="2263">
        <v>0</v>
      </c>
      <c r="M51" s="2263">
        <f t="shared" si="14"/>
        <v>-6.0000000000000001E-3</v>
      </c>
      <c r="N51" s="2263">
        <f t="shared" si="14"/>
        <v>-1.2E-2</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2" t="s">
        <v>999</v>
      </c>
      <c r="B52" s="2748" t="s">
        <v>2872</v>
      </c>
      <c r="C52" s="1019" t="s">
        <v>3186</v>
      </c>
      <c r="D52" s="2242">
        <f t="shared" si="10"/>
        <v>2.2000000000000001E-3</v>
      </c>
      <c r="E52" s="2264"/>
      <c r="F52" s="2262"/>
      <c r="G52" s="2240">
        <f t="shared" si="15"/>
        <v>2.2000000000000001E-3</v>
      </c>
      <c r="H52" s="2285">
        <f t="shared" si="11"/>
        <v>2.2000000000000001E-3</v>
      </c>
      <c r="I52" s="2260">
        <v>0.03</v>
      </c>
      <c r="J52" s="2263">
        <f t="shared" si="12"/>
        <v>4.4000000000000003E-3</v>
      </c>
      <c r="K52" s="2263">
        <f t="shared" si="13"/>
        <v>2.2000000000000001E-3</v>
      </c>
      <c r="L52" s="2263">
        <v>0</v>
      </c>
      <c r="M52" s="2263">
        <f t="shared" si="14"/>
        <v>-2.2000000000000001E-3</v>
      </c>
      <c r="N52" s="2263">
        <f t="shared" si="14"/>
        <v>-4.4000000000000003E-3</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1000</v>
      </c>
      <c r="B53" s="2234" t="str">
        <f>估价对象房地状况!C21</f>
        <v>估价对象所在区域公共配套设施齐备情况</v>
      </c>
      <c r="C53" s="1019" t="s">
        <v>3185</v>
      </c>
      <c r="D53" s="2242">
        <f t="shared" si="10"/>
        <v>0</v>
      </c>
      <c r="E53" s="2264"/>
      <c r="F53" s="2262"/>
      <c r="G53" s="2240">
        <f t="shared" si="15"/>
        <v>3.7000000000000002E-3</v>
      </c>
      <c r="H53" s="2285">
        <f t="shared" si="11"/>
        <v>3.7000000000000002E-3</v>
      </c>
      <c r="I53" s="2260">
        <v>0.05</v>
      </c>
      <c r="J53" s="2263">
        <f t="shared" si="12"/>
        <v>7.4000000000000003E-3</v>
      </c>
      <c r="K53" s="2263">
        <f t="shared" si="13"/>
        <v>3.7000000000000002E-3</v>
      </c>
      <c r="L53" s="2263">
        <v>0</v>
      </c>
      <c r="M53" s="2263">
        <f t="shared" si="14"/>
        <v>-3.7000000000000002E-3</v>
      </c>
      <c r="N53" s="2263">
        <f t="shared" si="14"/>
        <v>-7.4000000000000003E-3</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1001</v>
      </c>
      <c r="B54" s="2233" t="str">
        <f>估价对象房地状况!C22</f>
        <v>估价对象所在区域基础设施水平</v>
      </c>
      <c r="C54" s="1019" t="s">
        <v>3362</v>
      </c>
      <c r="D54" s="2242">
        <f t="shared" si="10"/>
        <v>1.4999999999999999E-2</v>
      </c>
      <c r="E54" s="2264"/>
      <c r="F54" s="2262"/>
      <c r="G54" s="2240">
        <f t="shared" si="15"/>
        <v>7.4999999999999997E-3</v>
      </c>
      <c r="H54" s="2285">
        <f t="shared" si="11"/>
        <v>7.4999999999999997E-3</v>
      </c>
      <c r="I54" s="2260">
        <v>0.1</v>
      </c>
      <c r="J54" s="2263">
        <f t="shared" si="12"/>
        <v>1.4999999999999999E-2</v>
      </c>
      <c r="K54" s="2263">
        <f t="shared" si="13"/>
        <v>7.4999999999999997E-3</v>
      </c>
      <c r="L54" s="2263">
        <v>0</v>
      </c>
      <c r="M54" s="2263">
        <f t="shared" si="14"/>
        <v>-7.4999999999999997E-3</v>
      </c>
      <c r="N54" s="2263">
        <f t="shared" si="14"/>
        <v>-1.4999999999999999E-2</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1002</v>
      </c>
      <c r="B55" s="2237" t="str">
        <f>估价对象房地状况!C20</f>
        <v>区域自然环境：；人文环境；综合评价环境状况一般</v>
      </c>
      <c r="C55" s="1019" t="s">
        <v>3185</v>
      </c>
      <c r="D55" s="2242">
        <f t="shared" si="10"/>
        <v>0</v>
      </c>
      <c r="E55" s="2268"/>
      <c r="F55" s="2262"/>
      <c r="G55" s="2240">
        <f t="shared" si="15"/>
        <v>4.4999999999999997E-3</v>
      </c>
      <c r="H55" s="2285">
        <f t="shared" si="11"/>
        <v>4.4999999999999997E-3</v>
      </c>
      <c r="I55" s="2267">
        <v>0.06</v>
      </c>
      <c r="J55" s="2263">
        <f t="shared" si="12"/>
        <v>8.9999999999999993E-3</v>
      </c>
      <c r="K55" s="2263">
        <f t="shared" si="13"/>
        <v>4.4999999999999997E-3</v>
      </c>
      <c r="L55" s="2263">
        <v>0</v>
      </c>
      <c r="M55" s="2263">
        <f t="shared" si="14"/>
        <v>-4.4999999999999997E-3</v>
      </c>
      <c r="N55" s="2263">
        <f t="shared" si="14"/>
        <v>-8.9999999999999993E-3</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952</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2" t="s">
        <v>982</v>
      </c>
      <c r="B57" s="2233"/>
      <c r="C57" s="2255" t="s">
        <v>984</v>
      </c>
      <c r="D57" s="2256" t="s">
        <v>985</v>
      </c>
      <c r="E57" s="2257" t="s">
        <v>987</v>
      </c>
      <c r="F57" s="2258" t="s">
        <v>2215</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2" t="s">
        <v>1004</v>
      </c>
      <c r="B58" s="2236" t="str">
        <f>估价对象房地状况!C17</f>
        <v>估价对象位于XX商圈，周边办公楼项目较多，入驻率高，办公集聚程度较好</v>
      </c>
      <c r="C58" s="1019"/>
      <c r="D58" s="2242">
        <f t="shared" ref="D58:D66" si="16">SUMIF($J$57:$N$57,C58,J58:N58)</f>
        <v>0</v>
      </c>
      <c r="E58" s="2261">
        <f>ROUND(SUM(D58:D66),4)</f>
        <v>0</v>
      </c>
      <c r="F58" s="2262" t="str">
        <f>IF(E2="办公",SUMIF(L1:L12,G2,N1:N12),"——")</f>
        <v>——</v>
      </c>
      <c r="G58" s="2240"/>
      <c r="H58" s="2285" t="str">
        <f>IFERROR(ROUNDDOWN($F$58*I58/2,4),"——")</f>
        <v>——</v>
      </c>
      <c r="I58" s="2260">
        <v>0.24</v>
      </c>
      <c r="J58" s="2263">
        <f t="shared" ref="J58:J66" si="17">K58+$G58</f>
        <v>0</v>
      </c>
      <c r="K58" s="2263">
        <f t="shared" ref="K58:K66" si="18">$L58+$G58</f>
        <v>0</v>
      </c>
      <c r="L58" s="2263">
        <v>0</v>
      </c>
      <c r="M58" s="2263">
        <f t="shared" ref="M58:N66" si="19">L58-$G58</f>
        <v>0</v>
      </c>
      <c r="N58" s="2263">
        <f t="shared" si="19"/>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2" t="s">
        <v>995</v>
      </c>
      <c r="B59" s="2233" t="str">
        <f>估价对象房地状况!C18</f>
        <v>估价对象周边道路状况、公共交通通达情况、停车便捷程度，综合评价交通便捷度较好</v>
      </c>
      <c r="C59" s="1019"/>
      <c r="D59" s="2242">
        <f t="shared" si="16"/>
        <v>0</v>
      </c>
      <c r="E59" s="2264"/>
      <c r="F59" s="2262"/>
      <c r="G59" s="2240"/>
      <c r="H59" s="2241" t="str">
        <f t="shared" ref="H59:H66" si="20">IFERROR($F$58*I59/2,"——")</f>
        <v>——</v>
      </c>
      <c r="I59" s="2260">
        <v>0.3</v>
      </c>
      <c r="J59" s="2263">
        <f t="shared" si="17"/>
        <v>0</v>
      </c>
      <c r="K59" s="2263">
        <f t="shared" si="18"/>
        <v>0</v>
      </c>
      <c r="L59" s="2263">
        <v>0</v>
      </c>
      <c r="M59" s="2263">
        <f t="shared" si="19"/>
        <v>0</v>
      </c>
      <c r="N59" s="2263">
        <f t="shared" si="19"/>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2" t="s">
        <v>996</v>
      </c>
      <c r="B60" s="2233">
        <f>估价对象房地状况!C19</f>
        <v>0</v>
      </c>
      <c r="C60" s="1019"/>
      <c r="D60" s="2242">
        <f t="shared" si="16"/>
        <v>0</v>
      </c>
      <c r="E60" s="2264"/>
      <c r="F60" s="2262"/>
      <c r="G60" s="2240"/>
      <c r="H60" s="2241" t="str">
        <f t="shared" si="20"/>
        <v>——</v>
      </c>
      <c r="I60" s="2260">
        <v>0.08</v>
      </c>
      <c r="J60" s="2263">
        <f t="shared" si="17"/>
        <v>0</v>
      </c>
      <c r="K60" s="2263">
        <f t="shared" si="18"/>
        <v>0</v>
      </c>
      <c r="L60" s="2263">
        <v>0</v>
      </c>
      <c r="M60" s="2263">
        <f t="shared" si="19"/>
        <v>0</v>
      </c>
      <c r="N60" s="2263">
        <f t="shared" si="19"/>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2" t="s">
        <v>997</v>
      </c>
      <c r="B61" s="2749" t="s">
        <v>2873</v>
      </c>
      <c r="C61" s="1019"/>
      <c r="D61" s="2242">
        <f t="shared" si="16"/>
        <v>0</v>
      </c>
      <c r="E61" s="2264"/>
      <c r="F61" s="2262"/>
      <c r="G61" s="2240"/>
      <c r="H61" s="2241" t="str">
        <f t="shared" si="20"/>
        <v>——</v>
      </c>
      <c r="I61" s="2260">
        <v>0.04</v>
      </c>
      <c r="J61" s="2263">
        <f t="shared" si="17"/>
        <v>0</v>
      </c>
      <c r="K61" s="2263">
        <f t="shared" si="18"/>
        <v>0</v>
      </c>
      <c r="L61" s="2263">
        <v>0</v>
      </c>
      <c r="M61" s="2263">
        <f t="shared" si="19"/>
        <v>0</v>
      </c>
      <c r="N61" s="2263">
        <f t="shared" si="19"/>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2" t="s">
        <v>998</v>
      </c>
      <c r="B62" s="2233">
        <f>估价对象房地状况!C24</f>
        <v>0</v>
      </c>
      <c r="C62" s="1019"/>
      <c r="D62" s="2242">
        <f t="shared" si="16"/>
        <v>0</v>
      </c>
      <c r="E62" s="2264"/>
      <c r="F62" s="2262"/>
      <c r="G62" s="2240"/>
      <c r="H62" s="2241" t="str">
        <f t="shared" si="20"/>
        <v>——</v>
      </c>
      <c r="I62" s="2260">
        <v>0.05</v>
      </c>
      <c r="J62" s="2263">
        <f t="shared" si="17"/>
        <v>0</v>
      </c>
      <c r="K62" s="2263">
        <f t="shared" si="18"/>
        <v>0</v>
      </c>
      <c r="L62" s="2263">
        <v>0</v>
      </c>
      <c r="M62" s="2263">
        <f t="shared" si="19"/>
        <v>0</v>
      </c>
      <c r="N62" s="2263">
        <f t="shared" si="19"/>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2" t="s">
        <v>999</v>
      </c>
      <c r="B63" s="2748" t="s">
        <v>2872</v>
      </c>
      <c r="C63" s="1019"/>
      <c r="D63" s="2242">
        <f t="shared" si="16"/>
        <v>0</v>
      </c>
      <c r="E63" s="2264"/>
      <c r="F63" s="2262"/>
      <c r="G63" s="2240"/>
      <c r="H63" s="2241" t="str">
        <f t="shared" si="20"/>
        <v>——</v>
      </c>
      <c r="I63" s="2260">
        <v>0.05</v>
      </c>
      <c r="J63" s="2263">
        <f t="shared" si="17"/>
        <v>0</v>
      </c>
      <c r="K63" s="2263">
        <f t="shared" si="18"/>
        <v>0</v>
      </c>
      <c r="L63" s="2263">
        <v>0</v>
      </c>
      <c r="M63" s="2263">
        <f t="shared" si="19"/>
        <v>0</v>
      </c>
      <c r="N63" s="2263">
        <f t="shared" si="19"/>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2" t="s">
        <v>1000</v>
      </c>
      <c r="B64" s="2234" t="str">
        <f>估价对象房地状况!C21</f>
        <v>估价对象所在区域公共配套设施齐备情况</v>
      </c>
      <c r="C64" s="1019"/>
      <c r="D64" s="2242">
        <f t="shared" si="16"/>
        <v>0</v>
      </c>
      <c r="E64" s="2264"/>
      <c r="F64" s="2262"/>
      <c r="G64" s="2240"/>
      <c r="H64" s="2241" t="str">
        <f t="shared" si="20"/>
        <v>——</v>
      </c>
      <c r="I64" s="2260">
        <v>0.06</v>
      </c>
      <c r="J64" s="2263">
        <f t="shared" si="17"/>
        <v>0</v>
      </c>
      <c r="K64" s="2263">
        <f t="shared" si="18"/>
        <v>0</v>
      </c>
      <c r="L64" s="2263">
        <v>0</v>
      </c>
      <c r="M64" s="2263">
        <f t="shared" si="19"/>
        <v>0</v>
      </c>
      <c r="N64" s="2263">
        <f t="shared" si="19"/>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2" t="s">
        <v>1001</v>
      </c>
      <c r="B65" s="2234" t="str">
        <f>估价对象房地状况!C22</f>
        <v>估价对象所在区域基础设施水平</v>
      </c>
      <c r="C65" s="1019"/>
      <c r="D65" s="2242">
        <f t="shared" si="16"/>
        <v>0</v>
      </c>
      <c r="E65" s="2264"/>
      <c r="F65" s="2262"/>
      <c r="G65" s="2240"/>
      <c r="H65" s="2241" t="str">
        <f t="shared" si="20"/>
        <v>——</v>
      </c>
      <c r="I65" s="2260">
        <v>0.12</v>
      </c>
      <c r="J65" s="2263">
        <f t="shared" si="17"/>
        <v>0</v>
      </c>
      <c r="K65" s="2263">
        <f t="shared" si="18"/>
        <v>0</v>
      </c>
      <c r="L65" s="2263">
        <v>0</v>
      </c>
      <c r="M65" s="2263">
        <f t="shared" si="19"/>
        <v>0</v>
      </c>
      <c r="N65" s="2263">
        <f t="shared" si="19"/>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1002</v>
      </c>
      <c r="B66" s="2238" t="str">
        <f>估价对象房地状况!C20</f>
        <v>区域自然环境：；人文环境；综合评价环境状况一般</v>
      </c>
      <c r="C66" s="1019"/>
      <c r="D66" s="2242">
        <f t="shared" si="16"/>
        <v>0</v>
      </c>
      <c r="E66" s="2268"/>
      <c r="F66" s="2262"/>
      <c r="G66" s="2240"/>
      <c r="H66" s="2241" t="str">
        <f t="shared" si="20"/>
        <v>——</v>
      </c>
      <c r="I66" s="2267">
        <v>0.06</v>
      </c>
      <c r="J66" s="2263">
        <f t="shared" si="17"/>
        <v>0</v>
      </c>
      <c r="K66" s="2263">
        <f t="shared" si="18"/>
        <v>0</v>
      </c>
      <c r="L66" s="2263">
        <v>0</v>
      </c>
      <c r="M66" s="2263">
        <f t="shared" si="19"/>
        <v>0</v>
      </c>
      <c r="N66" s="2263">
        <f t="shared" si="19"/>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876</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2" t="s">
        <v>982</v>
      </c>
      <c r="B68" s="2233"/>
      <c r="C68" s="2255" t="s">
        <v>984</v>
      </c>
      <c r="D68" s="2256" t="s">
        <v>985</v>
      </c>
      <c r="E68" s="2257" t="s">
        <v>987</v>
      </c>
      <c r="F68" s="2258" t="s">
        <v>2215</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2" t="s">
        <v>1006</v>
      </c>
      <c r="B69" s="2236" t="str">
        <f>估价对象房地状况!C15</f>
        <v>估价对象周边居住用地比例、居住小区规模和社区发展完善程度，综合评价居住社区成熟度一般</v>
      </c>
      <c r="C69" s="1124"/>
      <c r="D69" s="2242">
        <f t="shared" ref="D69:D77" si="21">SUMIF($J$68:$N$68,C69,J69:N69)</f>
        <v>0</v>
      </c>
      <c r="E69" s="2261">
        <f>ROUND(SUM(D69:D77),4)</f>
        <v>0</v>
      </c>
      <c r="F69" s="2262" t="str">
        <f>IF(E2="住宅",SUMIF(L1:L12,G2,N1:N12),"——")</f>
        <v>——</v>
      </c>
      <c r="G69" s="2243"/>
      <c r="H69" s="2286" t="str">
        <f t="shared" ref="H69:H77" si="22">IFERROR(ROUNDDOWN($F$69*I69/2,4),"——")</f>
        <v>——</v>
      </c>
      <c r="I69" s="2260">
        <v>0.14000000000000001</v>
      </c>
      <c r="J69" s="2263">
        <f t="shared" ref="J69:J77" si="23">K69+$G69</f>
        <v>0</v>
      </c>
      <c r="K69" s="2263">
        <f t="shared" ref="K69:K77" si="24">$L69+$G69</f>
        <v>0</v>
      </c>
      <c r="L69" s="2263">
        <v>0</v>
      </c>
      <c r="M69" s="2263">
        <f t="shared" ref="M69:N77" si="25">L69-$G69</f>
        <v>0</v>
      </c>
      <c r="N69" s="2263">
        <f t="shared" si="25"/>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2" t="s">
        <v>995</v>
      </c>
      <c r="B70" s="2233" t="str">
        <f>估价对象房地状况!C18</f>
        <v>估价对象周边道路状况、公共交通通达情况、停车便捷程度，综合评价交通便捷度较好</v>
      </c>
      <c r="C70" s="1124"/>
      <c r="D70" s="2242">
        <f t="shared" si="21"/>
        <v>0</v>
      </c>
      <c r="E70" s="2270"/>
      <c r="F70" s="2271"/>
      <c r="G70" s="2243"/>
      <c r="H70" s="2286" t="str">
        <f t="shared" si="22"/>
        <v>——</v>
      </c>
      <c r="I70" s="2260">
        <v>0.3</v>
      </c>
      <c r="J70" s="2263">
        <f t="shared" si="23"/>
        <v>0</v>
      </c>
      <c r="K70" s="2263">
        <f t="shared" si="24"/>
        <v>0</v>
      </c>
      <c r="L70" s="2263">
        <v>0</v>
      </c>
      <c r="M70" s="2263">
        <f t="shared" si="25"/>
        <v>0</v>
      </c>
      <c r="N70" s="2263">
        <f t="shared" si="25"/>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2" t="s">
        <v>996</v>
      </c>
      <c r="B71" s="2233">
        <f>估价对象房地状况!C19</f>
        <v>0</v>
      </c>
      <c r="C71" s="1124"/>
      <c r="D71" s="2242">
        <f t="shared" si="21"/>
        <v>0</v>
      </c>
      <c r="E71" s="2270"/>
      <c r="F71" s="2271"/>
      <c r="G71" s="2243"/>
      <c r="H71" s="2286" t="str">
        <f t="shared" si="22"/>
        <v>——</v>
      </c>
      <c r="I71" s="2260">
        <v>0.08</v>
      </c>
      <c r="J71" s="2263">
        <f t="shared" si="23"/>
        <v>0</v>
      </c>
      <c r="K71" s="2263">
        <f t="shared" si="24"/>
        <v>0</v>
      </c>
      <c r="L71" s="2263">
        <v>0</v>
      </c>
      <c r="M71" s="2263">
        <f t="shared" si="25"/>
        <v>0</v>
      </c>
      <c r="N71" s="2263">
        <f t="shared" si="25"/>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2" t="s">
        <v>1008</v>
      </c>
      <c r="B72" s="2233">
        <f>估价对象房地状况!C24</f>
        <v>0</v>
      </c>
      <c r="C72" s="1124"/>
      <c r="D72" s="2242">
        <f t="shared" si="21"/>
        <v>0</v>
      </c>
      <c r="E72" s="2270"/>
      <c r="F72" s="2271"/>
      <c r="G72" s="2243"/>
      <c r="H72" s="2286" t="str">
        <f t="shared" si="22"/>
        <v>——</v>
      </c>
      <c r="I72" s="2260">
        <v>0.04</v>
      </c>
      <c r="J72" s="2263">
        <f t="shared" si="23"/>
        <v>0</v>
      </c>
      <c r="K72" s="2263">
        <f t="shared" si="24"/>
        <v>0</v>
      </c>
      <c r="L72" s="2263">
        <v>0</v>
      </c>
      <c r="M72" s="2263">
        <f t="shared" si="25"/>
        <v>0</v>
      </c>
      <c r="N72" s="2263">
        <f t="shared" si="25"/>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2" t="s">
        <v>1000</v>
      </c>
      <c r="B73" s="2234" t="str">
        <f>估价对象房地状况!C21</f>
        <v>估价对象所在区域公共配套设施齐备情况</v>
      </c>
      <c r="C73" s="1124"/>
      <c r="D73" s="2242">
        <f t="shared" si="21"/>
        <v>0</v>
      </c>
      <c r="E73" s="2270"/>
      <c r="F73" s="2271"/>
      <c r="G73" s="2243"/>
      <c r="H73" s="2286" t="str">
        <f t="shared" si="22"/>
        <v>——</v>
      </c>
      <c r="I73" s="2260">
        <v>0.08</v>
      </c>
      <c r="J73" s="2263">
        <f t="shared" si="23"/>
        <v>0</v>
      </c>
      <c r="K73" s="2263">
        <f t="shared" si="24"/>
        <v>0</v>
      </c>
      <c r="L73" s="2263">
        <v>0</v>
      </c>
      <c r="M73" s="2263">
        <f t="shared" si="25"/>
        <v>0</v>
      </c>
      <c r="N73" s="2263">
        <f t="shared" si="25"/>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2" t="s">
        <v>1001</v>
      </c>
      <c r="B74" s="2234" t="str">
        <f>估价对象房地状况!C22</f>
        <v>估价对象所在区域基础设施水平</v>
      </c>
      <c r="C74" s="1124"/>
      <c r="D74" s="2242">
        <f t="shared" si="21"/>
        <v>0</v>
      </c>
      <c r="E74" s="2270"/>
      <c r="F74" s="2271"/>
      <c r="G74" s="2243"/>
      <c r="H74" s="2286" t="str">
        <f t="shared" si="22"/>
        <v>——</v>
      </c>
      <c r="I74" s="2260">
        <v>0.12</v>
      </c>
      <c r="J74" s="2263">
        <f t="shared" si="23"/>
        <v>0</v>
      </c>
      <c r="K74" s="2263">
        <f t="shared" si="24"/>
        <v>0</v>
      </c>
      <c r="L74" s="2263">
        <v>0</v>
      </c>
      <c r="M74" s="2263">
        <f t="shared" si="25"/>
        <v>0</v>
      </c>
      <c r="N74" s="2263">
        <f t="shared" si="25"/>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2" t="s">
        <v>999</v>
      </c>
      <c r="B75" s="2748" t="s">
        <v>2872</v>
      </c>
      <c r="C75" s="1124"/>
      <c r="D75" s="2242">
        <f t="shared" si="21"/>
        <v>0</v>
      </c>
      <c r="E75" s="2270"/>
      <c r="F75" s="2271"/>
      <c r="G75" s="2243"/>
      <c r="H75" s="2286" t="str">
        <f t="shared" si="22"/>
        <v>——</v>
      </c>
      <c r="I75" s="2260">
        <v>0.05</v>
      </c>
      <c r="J75" s="2263">
        <f t="shared" si="23"/>
        <v>0</v>
      </c>
      <c r="K75" s="2263">
        <f t="shared" si="24"/>
        <v>0</v>
      </c>
      <c r="L75" s="2263">
        <v>0</v>
      </c>
      <c r="M75" s="2263">
        <f t="shared" si="25"/>
        <v>0</v>
      </c>
      <c r="N75" s="2263">
        <f t="shared" si="25"/>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2" t="s">
        <v>1002</v>
      </c>
      <c r="B76" s="2236" t="str">
        <f>估价对象房地状况!C20</f>
        <v>区域自然环境：；人文环境；综合评价环境状况一般</v>
      </c>
      <c r="C76" s="1124"/>
      <c r="D76" s="2242">
        <f t="shared" si="21"/>
        <v>0</v>
      </c>
      <c r="E76" s="2270"/>
      <c r="F76" s="2271"/>
      <c r="G76" s="2243"/>
      <c r="H76" s="2286" t="str">
        <f t="shared" si="22"/>
        <v>——</v>
      </c>
      <c r="I76" s="2260">
        <v>0.15</v>
      </c>
      <c r="J76" s="2263">
        <f t="shared" si="23"/>
        <v>0</v>
      </c>
      <c r="K76" s="2263">
        <f t="shared" si="24"/>
        <v>0</v>
      </c>
      <c r="L76" s="2263">
        <v>0</v>
      </c>
      <c r="M76" s="2263">
        <f t="shared" si="25"/>
        <v>0</v>
      </c>
      <c r="N76" s="2263">
        <f t="shared" si="25"/>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1009</v>
      </c>
      <c r="B77" s="1736"/>
      <c r="C77" s="1124"/>
      <c r="D77" s="2242">
        <f t="shared" si="21"/>
        <v>0</v>
      </c>
      <c r="E77" s="2272"/>
      <c r="F77" s="2271"/>
      <c r="G77" s="2243"/>
      <c r="H77" s="2286" t="str">
        <f t="shared" si="22"/>
        <v>——</v>
      </c>
      <c r="I77" s="2267">
        <v>0.04</v>
      </c>
      <c r="J77" s="2263">
        <f t="shared" si="23"/>
        <v>0</v>
      </c>
      <c r="K77" s="2263">
        <f t="shared" si="24"/>
        <v>0</v>
      </c>
      <c r="L77" s="2263">
        <v>0</v>
      </c>
      <c r="M77" s="2263">
        <f t="shared" si="25"/>
        <v>0</v>
      </c>
      <c r="N77" s="2263">
        <f t="shared" si="25"/>
        <v>0</v>
      </c>
      <c r="AC77" s="1327"/>
      <c r="AD77" s="1326"/>
      <c r="AJ77" s="1325"/>
      <c r="AN77" s="1326"/>
    </row>
    <row r="78" spans="1:40" ht="15">
      <c r="A78" s="2249" t="s">
        <v>959</v>
      </c>
      <c r="B78" s="2250">
        <f>1+E80</f>
        <v>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2215</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c r="D80" s="2242">
        <f t="shared" ref="D80:D87" si="26">SUMIF($J$79:$N$79,C80,J80:N80)</f>
        <v>0</v>
      </c>
      <c r="E80" s="2261">
        <f>ROUND(SUM(D80:D87),4)</f>
        <v>0</v>
      </c>
      <c r="F80" s="2262" t="str">
        <f>IF(E2="工业",SUMIF(L1:L12,G2,N1:N12),"——")</f>
        <v>——</v>
      </c>
      <c r="G80" s="2240"/>
      <c r="H80" s="2285" t="str">
        <f t="shared" ref="H80:H87" si="27">IFERROR(ROUNDDOWN($F$80*I80/2,4),"——")</f>
        <v>——</v>
      </c>
      <c r="I80" s="2260">
        <v>0.26</v>
      </c>
      <c r="J80" s="2263">
        <f t="shared" ref="J80:J87" si="28">K80+$G80</f>
        <v>0</v>
      </c>
      <c r="K80" s="2263">
        <f t="shared" ref="K80:K87" si="29">$L80+$G80</f>
        <v>0</v>
      </c>
      <c r="L80" s="2263">
        <v>0</v>
      </c>
      <c r="M80" s="2263">
        <f t="shared" ref="M80:N87" si="30">L80-$G80</f>
        <v>0</v>
      </c>
      <c r="N80" s="2263">
        <f t="shared" si="30"/>
        <v>0</v>
      </c>
      <c r="AC80" s="1327"/>
      <c r="AD80" s="1326"/>
      <c r="AJ80" s="1325"/>
      <c r="AN80" s="1326"/>
    </row>
    <row r="81" spans="1:40" ht="48">
      <c r="A81" s="1032" t="s">
        <v>995</v>
      </c>
      <c r="B81" s="2233" t="str">
        <f>估价对象房地状况!G16</f>
        <v>估价对象周边道路状况、公共交通通达情况、停车便捷程度，综合评价交通便捷度较好</v>
      </c>
      <c r="C81" s="1019"/>
      <c r="D81" s="2242">
        <f t="shared" si="26"/>
        <v>0</v>
      </c>
      <c r="E81" s="2270"/>
      <c r="F81" s="2271"/>
      <c r="G81" s="2240"/>
      <c r="H81" s="2285" t="str">
        <f t="shared" si="27"/>
        <v>——</v>
      </c>
      <c r="I81" s="2260">
        <v>0.33</v>
      </c>
      <c r="J81" s="2263">
        <f t="shared" si="28"/>
        <v>0</v>
      </c>
      <c r="K81" s="2263">
        <f t="shared" si="29"/>
        <v>0</v>
      </c>
      <c r="L81" s="2263">
        <v>0</v>
      </c>
      <c r="M81" s="2263">
        <f t="shared" si="30"/>
        <v>0</v>
      </c>
      <c r="N81" s="2263">
        <f t="shared" si="30"/>
        <v>0</v>
      </c>
      <c r="AC81" s="1327"/>
      <c r="AD81" s="1326"/>
      <c r="AJ81" s="1325"/>
      <c r="AN81" s="1326"/>
    </row>
    <row r="82" spans="1:40" ht="24">
      <c r="A82" s="1032" t="s">
        <v>996</v>
      </c>
      <c r="B82" s="2233">
        <f>估价对象房地状况!G17</f>
        <v>0</v>
      </c>
      <c r="C82" s="1019"/>
      <c r="D82" s="2242">
        <f t="shared" si="26"/>
        <v>0</v>
      </c>
      <c r="E82" s="2270"/>
      <c r="F82" s="2271"/>
      <c r="G82" s="2240"/>
      <c r="H82" s="2285" t="str">
        <f t="shared" si="27"/>
        <v>——</v>
      </c>
      <c r="I82" s="2260">
        <v>0.05</v>
      </c>
      <c r="J82" s="2263">
        <f t="shared" si="28"/>
        <v>0</v>
      </c>
      <c r="K82" s="2263">
        <f t="shared" si="29"/>
        <v>0</v>
      </c>
      <c r="L82" s="2263">
        <v>0</v>
      </c>
      <c r="M82" s="2263">
        <f t="shared" si="30"/>
        <v>0</v>
      </c>
      <c r="N82" s="2263">
        <f t="shared" si="30"/>
        <v>0</v>
      </c>
      <c r="AC82" s="1327"/>
      <c r="AD82" s="1326"/>
      <c r="AJ82" s="1325"/>
      <c r="AN82" s="1326"/>
    </row>
    <row r="83" spans="1:40" ht="14.25">
      <c r="A83" s="1032" t="s">
        <v>1008</v>
      </c>
      <c r="B83" s="2233">
        <f>估价对象房地状况!G22</f>
        <v>0</v>
      </c>
      <c r="C83" s="1019"/>
      <c r="D83" s="2242">
        <f t="shared" si="26"/>
        <v>0</v>
      </c>
      <c r="E83" s="2270"/>
      <c r="F83" s="2271"/>
      <c r="G83" s="2240"/>
      <c r="H83" s="2285" t="str">
        <f t="shared" si="27"/>
        <v>——</v>
      </c>
      <c r="I83" s="2260">
        <v>0.04</v>
      </c>
      <c r="J83" s="2263">
        <f t="shared" si="28"/>
        <v>0</v>
      </c>
      <c r="K83" s="2263">
        <f t="shared" si="29"/>
        <v>0</v>
      </c>
      <c r="L83" s="2263">
        <v>0</v>
      </c>
      <c r="M83" s="2263">
        <f t="shared" si="30"/>
        <v>0</v>
      </c>
      <c r="N83" s="2263">
        <f t="shared" si="30"/>
        <v>0</v>
      </c>
      <c r="AC83" s="1327"/>
      <c r="AD83" s="1326"/>
      <c r="AJ83" s="1325"/>
      <c r="AN83" s="1326"/>
    </row>
    <row r="84" spans="1:40" ht="24">
      <c r="A84" s="1032" t="s">
        <v>1000</v>
      </c>
      <c r="B84" s="2234" t="str">
        <f>估价对象房地状况!G19</f>
        <v>估价对象所在区域公共配套设施齐备情况</v>
      </c>
      <c r="C84" s="1019"/>
      <c r="D84" s="2242">
        <f t="shared" si="26"/>
        <v>0</v>
      </c>
      <c r="E84" s="2270"/>
      <c r="F84" s="2271"/>
      <c r="G84" s="2240"/>
      <c r="H84" s="2285" t="str">
        <f t="shared" si="27"/>
        <v>——</v>
      </c>
      <c r="I84" s="2260">
        <v>0.06</v>
      </c>
      <c r="J84" s="2263">
        <f t="shared" si="28"/>
        <v>0</v>
      </c>
      <c r="K84" s="2263">
        <f t="shared" si="29"/>
        <v>0</v>
      </c>
      <c r="L84" s="2263">
        <v>0</v>
      </c>
      <c r="M84" s="2263">
        <f t="shared" si="30"/>
        <v>0</v>
      </c>
      <c r="N84" s="2263">
        <f t="shared" si="30"/>
        <v>0</v>
      </c>
      <c r="AC84" s="1327"/>
      <c r="AD84" s="1326"/>
      <c r="AJ84" s="1325"/>
      <c r="AN84" s="1326"/>
    </row>
    <row r="85" spans="1:40" ht="24">
      <c r="A85" s="1032" t="s">
        <v>1001</v>
      </c>
      <c r="B85" s="2234" t="str">
        <f>估价对象房地状况!G20</f>
        <v>估价对象所在区域基础设施水平</v>
      </c>
      <c r="C85" s="1019"/>
      <c r="D85" s="2242">
        <f t="shared" si="26"/>
        <v>0</v>
      </c>
      <c r="E85" s="2270"/>
      <c r="F85" s="2271"/>
      <c r="G85" s="2240"/>
      <c r="H85" s="2285" t="str">
        <f t="shared" si="27"/>
        <v>——</v>
      </c>
      <c r="I85" s="2260">
        <v>0.15</v>
      </c>
      <c r="J85" s="2263">
        <f t="shared" si="28"/>
        <v>0</v>
      </c>
      <c r="K85" s="2263">
        <f t="shared" si="29"/>
        <v>0</v>
      </c>
      <c r="L85" s="2263">
        <v>0</v>
      </c>
      <c r="M85" s="2263">
        <f t="shared" si="30"/>
        <v>0</v>
      </c>
      <c r="N85" s="2263">
        <f t="shared" si="30"/>
        <v>0</v>
      </c>
      <c r="AC85" s="1327"/>
      <c r="AD85" s="1326"/>
      <c r="AJ85" s="1325"/>
      <c r="AN85" s="1326"/>
    </row>
    <row r="86" spans="1:40" ht="24">
      <c r="A86" s="1032" t="s">
        <v>999</v>
      </c>
      <c r="B86" s="2748" t="s">
        <v>2872</v>
      </c>
      <c r="C86" s="1019"/>
      <c r="D86" s="2242">
        <f t="shared" si="26"/>
        <v>0</v>
      </c>
      <c r="E86" s="2270"/>
      <c r="F86" s="2271"/>
      <c r="G86" s="2240"/>
      <c r="H86" s="2285" t="str">
        <f t="shared" si="27"/>
        <v>——</v>
      </c>
      <c r="I86" s="2260">
        <v>0.05</v>
      </c>
      <c r="J86" s="2263">
        <f t="shared" si="28"/>
        <v>0</v>
      </c>
      <c r="K86" s="2263">
        <f t="shared" si="29"/>
        <v>0</v>
      </c>
      <c r="L86" s="2263">
        <v>0</v>
      </c>
      <c r="M86" s="2263">
        <f t="shared" si="30"/>
        <v>0</v>
      </c>
      <c r="N86" s="2263">
        <f t="shared" si="30"/>
        <v>0</v>
      </c>
      <c r="AC86" s="1327"/>
      <c r="AD86" s="1326"/>
      <c r="AJ86" s="1325"/>
      <c r="AN86" s="1326"/>
    </row>
    <row r="87" spans="1:40" ht="36.75" thickBot="1">
      <c r="A87" s="2266" t="s">
        <v>1012</v>
      </c>
      <c r="B87" s="2235" t="str">
        <f>估价对象房地状况!G18</f>
        <v>该园区内是否有污染型企业，绿化情况，卫生条件，整体环境状况判断</v>
      </c>
      <c r="C87" s="1019"/>
      <c r="D87" s="2242">
        <f t="shared" si="26"/>
        <v>0</v>
      </c>
      <c r="E87" s="2272"/>
      <c r="F87" s="2271"/>
      <c r="G87" s="2240"/>
      <c r="H87" s="2285" t="str">
        <f t="shared" si="27"/>
        <v>——</v>
      </c>
      <c r="I87" s="2267">
        <v>0.06</v>
      </c>
      <c r="J87" s="2263">
        <f t="shared" si="28"/>
        <v>0</v>
      </c>
      <c r="K87" s="2263">
        <f t="shared" si="29"/>
        <v>0</v>
      </c>
      <c r="L87" s="2263">
        <v>0</v>
      </c>
      <c r="M87" s="2263">
        <f t="shared" si="30"/>
        <v>0</v>
      </c>
      <c r="N87" s="2263">
        <f t="shared" si="30"/>
        <v>0</v>
      </c>
      <c r="AC87" s="1327"/>
      <c r="AD87" s="1326"/>
      <c r="AJ87" s="1325"/>
      <c r="AN87" s="1326"/>
    </row>
    <row r="90" spans="1:40">
      <c r="A90" s="3805" t="s">
        <v>1607</v>
      </c>
      <c r="B90" s="3805"/>
      <c r="C90" s="3805"/>
      <c r="D90" s="3805"/>
      <c r="E90" s="3805"/>
      <c r="F90" s="3805"/>
      <c r="G90" s="3805"/>
      <c r="H90" s="3805"/>
      <c r="I90" s="3805"/>
      <c r="J90" s="3805"/>
      <c r="K90" s="3446"/>
      <c r="L90" s="3446"/>
      <c r="M90" s="3446"/>
      <c r="N90" s="3446"/>
    </row>
    <row r="91" spans="1:40">
      <c r="A91" s="3806" t="s">
        <v>872</v>
      </c>
      <c r="B91" s="3806" t="s">
        <v>1608</v>
      </c>
      <c r="C91" s="1105" t="s">
        <v>1609</v>
      </c>
      <c r="D91" s="1106"/>
      <c r="E91" s="1106"/>
      <c r="F91" s="1106"/>
      <c r="G91" s="1106"/>
      <c r="H91" s="1106"/>
      <c r="I91" s="1106"/>
      <c r="J91" s="1107"/>
      <c r="K91" s="1099"/>
      <c r="L91" s="1099"/>
      <c r="M91" s="1099"/>
      <c r="N91" s="1099"/>
    </row>
    <row r="92" spans="1:40">
      <c r="A92" s="3806"/>
      <c r="B92" s="3806"/>
      <c r="C92" s="3447" t="s">
        <v>858</v>
      </c>
      <c r="D92" s="3447" t="s">
        <v>859</v>
      </c>
      <c r="E92" s="3447" t="s">
        <v>860</v>
      </c>
      <c r="F92" s="3447" t="s">
        <v>861</v>
      </c>
      <c r="G92" s="3447" t="s">
        <v>862</v>
      </c>
      <c r="H92" s="3447" t="s">
        <v>863</v>
      </c>
      <c r="I92" s="3447" t="s">
        <v>864</v>
      </c>
      <c r="J92" s="3447" t="s">
        <v>865</v>
      </c>
      <c r="K92" s="3447" t="s">
        <v>866</v>
      </c>
      <c r="L92" s="3447" t="s">
        <v>867</v>
      </c>
      <c r="M92" s="3447" t="s">
        <v>868</v>
      </c>
      <c r="N92" s="3447" t="s">
        <v>869</v>
      </c>
    </row>
    <row r="93" spans="1:40">
      <c r="A93" s="379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9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9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9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9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9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9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79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96" t="s">
        <v>1611</v>
      </c>
      <c r="B101" s="1112" t="s">
        <v>857</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79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9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9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9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9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9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97"/>
      <c r="B108" s="379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798"/>
      <c r="B109" s="380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01" t="s">
        <v>1613</v>
      </c>
      <c r="B110" s="3801"/>
      <c r="C110" s="3801"/>
      <c r="D110" s="3801"/>
      <c r="E110" s="3801"/>
      <c r="F110" s="3801"/>
      <c r="G110" s="3801"/>
      <c r="H110" s="3801"/>
      <c r="I110" s="3801"/>
      <c r="J110" s="3801"/>
      <c r="K110" s="3445"/>
      <c r="L110" s="3445"/>
      <c r="M110" s="3445"/>
      <c r="N110" s="3445"/>
    </row>
    <row r="112" spans="1:14" ht="12.75" thickBot="1"/>
    <row r="113" spans="1:13" ht="25.5" thickBot="1">
      <c r="A113" s="985" t="s">
        <v>870</v>
      </c>
      <c r="B113" s="2276">
        <f>G3</f>
        <v>1</v>
      </c>
      <c r="C113" s="986" t="s">
        <v>871</v>
      </c>
      <c r="D113" s="987">
        <f>SUMPRODUCT((A115:A118=F113)*(B114:M114=H113)*B115:M118)</f>
        <v>0.67349999999999999</v>
      </c>
      <c r="E113" s="988" t="s">
        <v>872</v>
      </c>
      <c r="F113" s="989" t="str">
        <f>E2</f>
        <v>商业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1871</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受贵公司委托，我公司对储备国有建设用地使用权进行了预评估。</v>
      </c>
    </row>
    <row r="5" spans="1:4" ht="18.75">
      <c r="A5" s="1681" t="s">
        <v>1872</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储备国有建设用地使用权。根据《国有土地使用证》[]，估价对象（分摊）储备国有建设用地使用权面积为155413.55平方米。根据《建设工程规划许可证》[]、《出让合同》[]，估价对象规划建筑面积为155413.55平方米。</v>
      </c>
    </row>
    <row r="7" spans="1:4" ht="56.25">
      <c r="A7" s="1682" t="s">
        <v>2698</v>
      </c>
    </row>
    <row r="8" spans="1:4" ht="18.75">
      <c r="A8" s="1681" t="s">
        <v>1873</v>
      </c>
    </row>
    <row r="9" spans="1:4" ht="37.5">
      <c r="A9" s="1683"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4" t="s">
        <v>1991</v>
      </c>
    </row>
    <row r="11" spans="1:4" ht="18.75">
      <c r="A11" s="1667" t="str">
        <f>TEXT(项目基本情况!D3,"yyyy年m月d日;;")&amp;IF(项目基本情况!B3=项目基本情况!D3,"（评估专业人员勘察现场之日）","")</f>
        <v>2022年3月3日</v>
      </c>
    </row>
    <row r="12" spans="1:4" ht="18.75">
      <c r="A12" s="1684" t="s">
        <v>1990</v>
      </c>
    </row>
    <row r="13" spans="1:4" ht="18.75">
      <c r="A13" s="1678" t="s">
        <v>2877</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2037</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2038</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18.75">
      <c r="A21" s="1678" t="s">
        <v>2039</v>
      </c>
    </row>
    <row r="22" spans="1:1" ht="18.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8" t="str">
        <f>IF(项目基本情况!B16="出让","本次评估设定估价对象剩余土地使用年限为"&amp;项目基本情况!D20&amp;"。","")</f>
        <v/>
      </c>
    </row>
    <row r="24" spans="1:1" ht="18.75">
      <c r="A24" s="1678" t="s">
        <v>2040</v>
      </c>
    </row>
    <row r="25" spans="1:1" ht="150">
      <c r="A25" s="167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1992</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5"/>
    </row>
    <row r="32" spans="1:1" ht="18.75">
      <c r="A32" s="1686"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3" zoomScale="80" zoomScaleNormal="60" zoomScaleSheetLayoutView="80" workbookViewId="0">
      <selection activeCell="C65" sqref="C65"/>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2386</v>
      </c>
      <c r="D1" s="1434">
        <f>SUM(D29:D30,D33:D39)</f>
        <v>11389.58</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2713</v>
      </c>
      <c r="T1" s="2620" t="s">
        <v>2734</v>
      </c>
      <c r="U1" s="2620" t="s">
        <v>2735</v>
      </c>
      <c r="V1" s="2620" t="s">
        <v>2736</v>
      </c>
      <c r="W1" s="2040"/>
      <c r="X1" s="2040"/>
      <c r="Y1" s="2040"/>
      <c r="Z1" s="2040"/>
      <c r="AA1" s="2040"/>
      <c r="AB1" s="2040"/>
      <c r="AC1" s="2041"/>
    </row>
    <row r="2" spans="1:39" ht="15.75">
      <c r="A2" s="1328" t="s">
        <v>894</v>
      </c>
      <c r="B2" s="1007">
        <f>C26</f>
        <v>6002</v>
      </c>
      <c r="C2" s="1329" t="s">
        <v>895</v>
      </c>
      <c r="D2" s="1330" t="s">
        <v>896</v>
      </c>
      <c r="E2" s="1331" t="s">
        <v>1650</v>
      </c>
      <c r="F2" s="1330" t="s">
        <v>898</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8849</v>
      </c>
      <c r="U2" s="2610"/>
      <c r="V2" s="2621">
        <f>ROUND(T2*U2/10000,0)</f>
        <v>0</v>
      </c>
      <c r="W2" s="2040"/>
      <c r="X2" s="2040"/>
      <c r="Y2" s="2040"/>
      <c r="Z2" s="2040"/>
      <c r="AA2" s="2040"/>
      <c r="AB2" s="2040"/>
      <c r="AC2" s="2041"/>
    </row>
    <row r="3" spans="1:39" ht="15.75">
      <c r="A3" s="1333" t="s">
        <v>1660</v>
      </c>
      <c r="B3" s="1007">
        <f>ROUND(B2*10000/D1,0)</f>
        <v>5270</v>
      </c>
      <c r="C3" s="1329" t="s">
        <v>901</v>
      </c>
      <c r="D3" s="1330" t="s">
        <v>902</v>
      </c>
      <c r="E3" s="1334" t="s">
        <v>3123</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5832</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4590</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5490</v>
      </c>
      <c r="D5" s="2757">
        <f>ROUND(C6+C16,0)</f>
        <v>5490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3429</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5490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2579</v>
      </c>
      <c r="U6" s="2610"/>
      <c r="V6" s="2621">
        <f t="shared" si="1"/>
        <v>0</v>
      </c>
      <c r="W6" s="2040"/>
      <c r="X6" s="2040"/>
      <c r="Y6" s="2040"/>
      <c r="Z6" s="2040"/>
      <c r="AA6" s="2040"/>
      <c r="AB6" s="2040"/>
      <c r="AC6" s="2042"/>
      <c r="AD6" s="1341"/>
      <c r="AE6" s="1341"/>
      <c r="AF6" s="1341"/>
      <c r="AG6" s="1341"/>
      <c r="AH6" s="1341"/>
      <c r="AI6" s="1341"/>
      <c r="AJ6" s="1342"/>
    </row>
    <row r="7" spans="1:39" ht="24">
      <c r="A7" s="3807" t="str">
        <f>IF(E2="商业",IF(C8="不临58条商业街","",2),"")</f>
        <v/>
      </c>
      <c r="B7" s="1349" t="s">
        <v>906</v>
      </c>
      <c r="C7" s="1012" t="e">
        <f>IF(C8="不临58条商业街",1,ROUND(1+(1.6*E8+1.2*E9+0.8*E10+0.4*E11)*C9,4))</f>
        <v>#DIV/0!</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2062</v>
      </c>
      <c r="U7" s="2610"/>
      <c r="V7" s="2621">
        <f t="shared" si="1"/>
        <v>0</v>
      </c>
      <c r="W7" s="2619" t="s">
        <v>2715</v>
      </c>
      <c r="X7" s="2611" t="str">
        <f>G2</f>
        <v>八级</v>
      </c>
      <c r="Y7" s="2611" t="s">
        <v>2716</v>
      </c>
      <c r="Z7" s="2612">
        <f>G3</f>
        <v>1</v>
      </c>
      <c r="AA7" s="2043"/>
      <c r="AB7" s="2043"/>
      <c r="AC7" s="2044"/>
      <c r="AD7" s="2613"/>
      <c r="AE7" s="2613"/>
      <c r="AF7" s="2613"/>
      <c r="AG7" s="2613"/>
      <c r="AH7" s="2613"/>
      <c r="AI7" s="2613"/>
      <c r="AJ7" s="2614"/>
    </row>
    <row r="8" spans="1:39" ht="15">
      <c r="A8" s="3811"/>
      <c r="B8" s="1336" t="s">
        <v>908</v>
      </c>
      <c r="C8" s="1442"/>
      <c r="D8" s="1014" t="s">
        <v>909</v>
      </c>
      <c r="E8" s="1015" t="e">
        <f>ROUND(C11/E7,4)</f>
        <v>#DIV/0!</v>
      </c>
      <c r="F8" s="1354" t="s">
        <v>910</v>
      </c>
      <c r="G8" s="1355"/>
      <c r="H8" s="1355"/>
      <c r="I8" s="1355"/>
      <c r="J8" s="1356"/>
      <c r="K8" s="3197"/>
      <c r="L8" s="1771" t="s">
        <v>2210</v>
      </c>
      <c r="M8" s="1772">
        <f>SUMPRODUCT((区片价!B206:B244=I2)*(区片价!C3:F3=E2)*(区片价!C206:F244))</f>
        <v>5480</v>
      </c>
      <c r="N8" s="1773">
        <f>SUMPRODUCT((因素修正幅度!B206:B244=I2)*(因素修正幅度!C3:F3=E2)*(因素修正幅度!C206:F244))</f>
        <v>0.15</v>
      </c>
      <c r="O8" s="3197"/>
      <c r="P8" s="2040"/>
      <c r="Q8" s="2040"/>
      <c r="R8" s="2621">
        <v>7</v>
      </c>
      <c r="S8" s="2610"/>
      <c r="T8" s="2621">
        <f t="shared" si="0"/>
        <v>0</v>
      </c>
      <c r="U8" s="2610"/>
      <c r="V8" s="2621">
        <f t="shared" si="1"/>
        <v>0</v>
      </c>
      <c r="W8" s="3812" t="s">
        <v>2733</v>
      </c>
      <c r="X8" s="3813"/>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11"/>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14"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11"/>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14"/>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11"/>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14"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807"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14"/>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15"/>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14"/>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15"/>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16"/>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807" t="s">
        <v>1811</v>
      </c>
      <c r="B16" s="1349" t="s">
        <v>924</v>
      </c>
      <c r="C16" s="1021">
        <f>ROUND(IF(F17="与级别开发程度一致",0,(G17-E17)/C17),0)</f>
        <v>0</v>
      </c>
      <c r="D16" s="3809" t="s">
        <v>928</v>
      </c>
      <c r="E16" s="3810"/>
      <c r="F16" s="3809" t="s">
        <v>925</v>
      </c>
      <c r="G16" s="3810"/>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808"/>
      <c r="B17" s="2818" t="s">
        <v>927</v>
      </c>
      <c r="C17" s="2819">
        <f>SUMPRODUCT((修正!A2:A5=E2)*(修正!B1:M1=G2)*(修正!B2:M5))</f>
        <v>2</v>
      </c>
      <c r="D17" s="2820" t="str">
        <f>IF(OR(G2="八级",G2="九级",G2="十级",G2="十一级",G2="十二级"),"五通一平","七通一平")</f>
        <v>五通一平</v>
      </c>
      <c r="E17" s="2810">
        <f>SUMPRODUCT((修正!B1:M1=G2)*(修正!B15:M15))</f>
        <v>155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1802</v>
      </c>
      <c r="B18" s="2813" t="s">
        <v>929</v>
      </c>
      <c r="C18" s="2814">
        <v>0.8</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1808</v>
      </c>
      <c r="B19" s="1384" t="s">
        <v>930</v>
      </c>
      <c r="C19" s="1022">
        <f>ROUND(IF(H19="按公示增长率计算",SUMPRODUCT((地价!A3:A37=YEAR(G19)&amp;"-"&amp;ROUNDUP(MONTH(G19)/3,0))*(地价!X2:AB2=E2)*(地价!X3:AB37)),IF(H19="地价指数",M20/M19,(1+I19)^O19)),4)</f>
        <v>1.0154000000000001</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258</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1809</v>
      </c>
      <c r="B20" s="2465" t="s">
        <v>945</v>
      </c>
      <c r="C20" s="2466">
        <f>ROUND(POWER(1+G20,J20-I20)*(POWER(1+G20,I20)-1)/(POWER(1+G20,J20)-1),4)</f>
        <v>1</v>
      </c>
      <c r="D20" s="2467" t="s">
        <v>946</v>
      </c>
      <c r="E20" s="2747">
        <f ca="1">存贷款利率!I4/100</f>
        <v>4.3499999999999997E-2</v>
      </c>
      <c r="F20" s="2467" t="s">
        <v>947</v>
      </c>
      <c r="G20" s="2468">
        <v>5.5E-2</v>
      </c>
      <c r="H20" s="2467" t="s">
        <v>948</v>
      </c>
      <c r="I20" s="2463">
        <f>SUMIF('数据-取费表'!C6:C15,E2,'数据-取费表'!F6:F15)/COUNTIF('数据-取费表'!C6:C15,E2)</f>
        <v>50</v>
      </c>
      <c r="J20" s="2469">
        <f>IF(E2="住宅",70,IF(E2="商业",40,50))</f>
        <v>50</v>
      </c>
      <c r="K20" s="2808"/>
      <c r="L20" s="2719" t="s">
        <v>2789</v>
      </c>
      <c r="M20" s="2801">
        <f>ROUND(SUMPRODUCT((地价!A4:A37=YEAR(G19)&amp;"-"&amp;ROUNDUP(MONTH(G19)/3,0))*(地价!B2:F2=E2)*(地价!B4:F37)),0)</f>
        <v>353</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1.1565000000000001</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1.2383999999999999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1.0218</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6002</v>
      </c>
      <c r="D26" s="1403"/>
      <c r="E26" s="1378"/>
      <c r="F26" s="1404"/>
      <c r="G26" s="1378"/>
      <c r="H26" s="1378"/>
      <c r="I26" s="1378"/>
      <c r="J26" s="1405"/>
      <c r="K26" s="3197"/>
      <c r="L26" s="1502" t="s">
        <v>872</v>
      </c>
      <c r="M26" s="1350" t="s">
        <v>957</v>
      </c>
      <c r="N26" s="1350" t="s">
        <v>958</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5270</v>
      </c>
      <c r="D29" s="1417">
        <f>剩余法办公!C9</f>
        <v>11389.58</v>
      </c>
      <c r="E29" s="1735">
        <f>ROUND(C29*D29/10000,0)</f>
        <v>6002</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1318</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02"/>
      <c r="B33" s="1437" t="s">
        <v>973</v>
      </c>
      <c r="C33" s="1028">
        <f>ROUND(D5*C19*C20*C24*F33,0)</f>
        <v>3418</v>
      </c>
      <c r="D33" s="1450"/>
      <c r="E33" s="1017">
        <f>ROUND(C33*D33/10000,0)</f>
        <v>0</v>
      </c>
      <c r="F33" s="1017">
        <f>SUMIF(修正!A45:A56,G2,修正!B45:B56)</f>
        <v>0.6</v>
      </c>
      <c r="G33" s="1017">
        <f t="shared" ref="G33" si="6">ROUND(IF(E2="工业",C33*$M$39,C33*$M$38),0)</f>
        <v>855</v>
      </c>
      <c r="H33" s="1017">
        <f>D33</f>
        <v>0</v>
      </c>
      <c r="I33" s="1017">
        <f>ROUND(G33*H33/10000,0)</f>
        <v>0</v>
      </c>
      <c r="J33" s="380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03"/>
      <c r="B34" s="1367" t="s">
        <v>974</v>
      </c>
      <c r="C34" s="1028">
        <f>ROUND(D5*C19*C20*C24*F34,0)</f>
        <v>1709</v>
      </c>
      <c r="D34" s="1450"/>
      <c r="E34" s="1017">
        <f t="shared" ref="E34:E39" si="7">ROUND(C34*D34/10000,0)</f>
        <v>0</v>
      </c>
      <c r="F34" s="1017">
        <f>SUMIF(修正!A45:A56,G2,修正!C45:C56)</f>
        <v>0.3</v>
      </c>
      <c r="G34" s="1017">
        <f>ROUND(IF(E2="工业",C34*$M$39,C34*$M$38),0)</f>
        <v>427</v>
      </c>
      <c r="H34" s="1017">
        <f t="shared" ref="H34:H39" si="8">D34</f>
        <v>0</v>
      </c>
      <c r="I34" s="1017">
        <f t="shared" ref="I34:I39" si="9">ROUND(G34*H34/10000,0)</f>
        <v>0</v>
      </c>
      <c r="J34" s="380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03"/>
      <c r="B35" s="1367" t="s">
        <v>975</v>
      </c>
      <c r="C35" s="1028">
        <f>ROUND(D5*C19*C20*C24*F35,0)</f>
        <v>1139</v>
      </c>
      <c r="D35" s="1450"/>
      <c r="E35" s="1017">
        <f t="shared" si="7"/>
        <v>0</v>
      </c>
      <c r="F35" s="1017">
        <f>SUMIF(修正!A45:A56,G2,修正!D45:D56)</f>
        <v>0.2</v>
      </c>
      <c r="G35" s="1017">
        <f>ROUND(IF(E2="工业",C35*$M$39,C35*$M$38),0)</f>
        <v>285</v>
      </c>
      <c r="H35" s="1017">
        <f t="shared" si="8"/>
        <v>0</v>
      </c>
      <c r="I35" s="1017">
        <f t="shared" si="9"/>
        <v>0</v>
      </c>
      <c r="J35" s="380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04"/>
      <c r="B36" s="1367" t="s">
        <v>976</v>
      </c>
      <c r="C36" s="1028">
        <f>ROUND(D5*C19*C20*C24*F36,0)</f>
        <v>1139</v>
      </c>
      <c r="D36" s="1450"/>
      <c r="E36" s="1017">
        <f t="shared" si="7"/>
        <v>0</v>
      </c>
      <c r="F36" s="1017">
        <f>SUMIF(修正!A45:A56,G2,修正!E45:E56)</f>
        <v>0.2</v>
      </c>
      <c r="G36" s="1017">
        <f>ROUND(IF(E2="工业",C36*$M$39,C36*$M$38),0)</f>
        <v>285</v>
      </c>
      <c r="H36" s="1017">
        <f t="shared" si="8"/>
        <v>0</v>
      </c>
      <c r="I36" s="1017">
        <f t="shared" si="9"/>
        <v>0</v>
      </c>
      <c r="J36" s="380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1139</v>
      </c>
      <c r="D37" s="1450"/>
      <c r="E37" s="1017">
        <f t="shared" si="7"/>
        <v>0</v>
      </c>
      <c r="F37" s="1028">
        <f>SUMIF(修正!A45:A56,G2,修正!F45:F56)</f>
        <v>0.2</v>
      </c>
      <c r="G37" s="1017">
        <f>ROUND(IF(E2="工业",C37*$M$39,C37*$M$38),0)</f>
        <v>285</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5.5E-2</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hidden="1">
      <c r="A45" s="2249" t="s">
        <v>981</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hidden="1">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hidden="1">
      <c r="A47" s="1032" t="s">
        <v>994</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hidden="1">
      <c r="A48" s="1032" t="s">
        <v>995</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hidden="1">
      <c r="A49" s="1032" t="s">
        <v>996</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hidden="1">
      <c r="A50" s="1032" t="s">
        <v>997</v>
      </c>
      <c r="B50" s="2749" t="s">
        <v>2873</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hidden="1">
      <c r="A51" s="1032" t="s">
        <v>998</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hidden="1">
      <c r="A52" s="1032" t="s">
        <v>999</v>
      </c>
      <c r="B52" s="2748" t="s">
        <v>2872</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hidden="1">
      <c r="A53" s="2265" t="s">
        <v>1000</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hidden="1">
      <c r="A54" s="2265" t="s">
        <v>1001</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hidden="1" thickBot="1">
      <c r="A55" s="2266" t="s">
        <v>1002</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1003</v>
      </c>
      <c r="B56" s="2250">
        <f>1+E58</f>
        <v>1.0218</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2" t="s">
        <v>982</v>
      </c>
      <c r="B57" s="2233"/>
      <c r="C57" s="2255" t="s">
        <v>984</v>
      </c>
      <c r="D57" s="2256" t="s">
        <v>985</v>
      </c>
      <c r="E57" s="2257" t="s">
        <v>987</v>
      </c>
      <c r="F57" s="2258" t="s">
        <v>2216</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2" t="s">
        <v>1004</v>
      </c>
      <c r="B58" s="2236" t="str">
        <f>估价对象房地状况!C17</f>
        <v>估价对象位于XX商圈，周边办公楼项目较多，入驻率高，办公集聚程度较好</v>
      </c>
      <c r="C58" s="1019" t="s">
        <v>3185</v>
      </c>
      <c r="D58" s="2242">
        <f t="shared" ref="D58:D66" si="15">SUMIF($J$57:$N$57,C58,J58:N58)</f>
        <v>0</v>
      </c>
      <c r="E58" s="2261">
        <f>ROUND(SUM(D58:D66),4)</f>
        <v>2.18E-2</v>
      </c>
      <c r="F58" s="2262">
        <f>IF(E2="办公",SUMIF(L1:L12,G2,N1:N12),"——")</f>
        <v>0.15</v>
      </c>
      <c r="G58" s="2240">
        <f>H58</f>
        <v>1.7999999999999999E-2</v>
      </c>
      <c r="H58" s="2285">
        <f>IFERROR(ROUNDDOWN($F$58*I58/2,4),"——")</f>
        <v>1.7999999999999999E-2</v>
      </c>
      <c r="I58" s="2260">
        <v>0.24</v>
      </c>
      <c r="J58" s="2263">
        <f t="shared" ref="J58:J66" si="16">K58+$G58</f>
        <v>3.5999999999999997E-2</v>
      </c>
      <c r="K58" s="2263">
        <f t="shared" ref="K58:K66" si="17">$L58+$G58</f>
        <v>1.7999999999999999E-2</v>
      </c>
      <c r="L58" s="2263">
        <v>0</v>
      </c>
      <c r="M58" s="2263">
        <f t="shared" ref="M58:N66" si="18">L58-$G58</f>
        <v>-1.7999999999999999E-2</v>
      </c>
      <c r="N58" s="2263">
        <f t="shared" si="18"/>
        <v>-3.5999999999999997E-2</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2" t="s">
        <v>995</v>
      </c>
      <c r="B59" s="2233" t="str">
        <f>估价对象房地状况!C18</f>
        <v>估价对象周边道路状况、公共交通通达情况、停车便捷程度，综合评价交通便捷度较好</v>
      </c>
      <c r="C59" s="1019" t="s">
        <v>3185</v>
      </c>
      <c r="D59" s="2242">
        <f t="shared" si="15"/>
        <v>0</v>
      </c>
      <c r="E59" s="2264"/>
      <c r="F59" s="2262"/>
      <c r="G59" s="2240">
        <f t="shared" ref="G59:G66" si="19">H59</f>
        <v>2.2499999999999999E-2</v>
      </c>
      <c r="H59" s="2241">
        <f t="shared" ref="H59:H66" si="20">IFERROR($F$58*I59/2,"——")</f>
        <v>2.2499999999999999E-2</v>
      </c>
      <c r="I59" s="2260">
        <v>0.3</v>
      </c>
      <c r="J59" s="2263">
        <f t="shared" si="16"/>
        <v>4.4999999999999998E-2</v>
      </c>
      <c r="K59" s="2263">
        <f t="shared" si="17"/>
        <v>2.2499999999999999E-2</v>
      </c>
      <c r="L59" s="2263">
        <v>0</v>
      </c>
      <c r="M59" s="2263">
        <f t="shared" si="18"/>
        <v>-2.2499999999999999E-2</v>
      </c>
      <c r="N59" s="2263">
        <f t="shared" si="18"/>
        <v>-4.4999999999999998E-2</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2" t="s">
        <v>996</v>
      </c>
      <c r="B60" s="2233">
        <f>估价对象房地状况!C19</f>
        <v>0</v>
      </c>
      <c r="C60" s="1019" t="s">
        <v>3185</v>
      </c>
      <c r="D60" s="2242">
        <f t="shared" si="15"/>
        <v>0</v>
      </c>
      <c r="E60" s="2264"/>
      <c r="F60" s="2262"/>
      <c r="G60" s="2240">
        <f t="shared" si="19"/>
        <v>6.0000000000000001E-3</v>
      </c>
      <c r="H60" s="2241">
        <f t="shared" si="20"/>
        <v>6.0000000000000001E-3</v>
      </c>
      <c r="I60" s="2260">
        <v>0.08</v>
      </c>
      <c r="J60" s="2263">
        <f t="shared" si="16"/>
        <v>1.2E-2</v>
      </c>
      <c r="K60" s="2263">
        <f t="shared" si="17"/>
        <v>6.0000000000000001E-3</v>
      </c>
      <c r="L60" s="2263">
        <v>0</v>
      </c>
      <c r="M60" s="2263">
        <f t="shared" si="18"/>
        <v>-6.0000000000000001E-3</v>
      </c>
      <c r="N60" s="2263">
        <f t="shared" si="18"/>
        <v>-1.2E-2</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2" t="s">
        <v>997</v>
      </c>
      <c r="B61" s="2749" t="s">
        <v>2874</v>
      </c>
      <c r="C61" s="1019" t="s">
        <v>3185</v>
      </c>
      <c r="D61" s="2242">
        <f t="shared" si="15"/>
        <v>0</v>
      </c>
      <c r="E61" s="2264"/>
      <c r="F61" s="2262"/>
      <c r="G61" s="2240">
        <f t="shared" si="19"/>
        <v>3.0000000000000001E-3</v>
      </c>
      <c r="H61" s="2241">
        <f t="shared" si="20"/>
        <v>3.0000000000000001E-3</v>
      </c>
      <c r="I61" s="2260">
        <v>0.04</v>
      </c>
      <c r="J61" s="2263">
        <f t="shared" si="16"/>
        <v>6.0000000000000001E-3</v>
      </c>
      <c r="K61" s="2263">
        <f t="shared" si="17"/>
        <v>3.0000000000000001E-3</v>
      </c>
      <c r="L61" s="2263">
        <v>0</v>
      </c>
      <c r="M61" s="2263">
        <f t="shared" si="18"/>
        <v>-3.0000000000000001E-3</v>
      </c>
      <c r="N61" s="2263">
        <f t="shared" si="18"/>
        <v>-6.0000000000000001E-3</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2" t="s">
        <v>998</v>
      </c>
      <c r="B62" s="2233">
        <f>估价对象房地状况!C24</f>
        <v>0</v>
      </c>
      <c r="C62" s="1019" t="s">
        <v>3185</v>
      </c>
      <c r="D62" s="2242">
        <f t="shared" si="15"/>
        <v>0</v>
      </c>
      <c r="E62" s="2264"/>
      <c r="F62" s="2262"/>
      <c r="G62" s="2240">
        <f t="shared" si="19"/>
        <v>3.7499999999999999E-3</v>
      </c>
      <c r="H62" s="2241">
        <f t="shared" si="20"/>
        <v>3.7499999999999999E-3</v>
      </c>
      <c r="I62" s="2260">
        <v>0.05</v>
      </c>
      <c r="J62" s="2263">
        <f t="shared" si="16"/>
        <v>7.4999999999999997E-3</v>
      </c>
      <c r="K62" s="2263">
        <f t="shared" si="17"/>
        <v>3.7499999999999999E-3</v>
      </c>
      <c r="L62" s="2263">
        <v>0</v>
      </c>
      <c r="M62" s="2263">
        <f t="shared" si="18"/>
        <v>-3.7499999999999999E-3</v>
      </c>
      <c r="N62" s="2263">
        <f t="shared" si="18"/>
        <v>-7.4999999999999997E-3</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2" t="s">
        <v>999</v>
      </c>
      <c r="B63" s="2748" t="s">
        <v>2872</v>
      </c>
      <c r="C63" s="1019" t="s">
        <v>3186</v>
      </c>
      <c r="D63" s="2242">
        <f t="shared" si="15"/>
        <v>3.7499999999999999E-3</v>
      </c>
      <c r="E63" s="2264"/>
      <c r="F63" s="2262"/>
      <c r="G63" s="2240">
        <f t="shared" si="19"/>
        <v>3.7499999999999999E-3</v>
      </c>
      <c r="H63" s="2241">
        <f t="shared" si="20"/>
        <v>3.7499999999999999E-3</v>
      </c>
      <c r="I63" s="2260">
        <v>0.05</v>
      </c>
      <c r="J63" s="2263">
        <f t="shared" si="16"/>
        <v>7.4999999999999997E-3</v>
      </c>
      <c r="K63" s="2263">
        <f t="shared" si="17"/>
        <v>3.7499999999999999E-3</v>
      </c>
      <c r="L63" s="2263">
        <v>0</v>
      </c>
      <c r="M63" s="2263">
        <f t="shared" si="18"/>
        <v>-3.7499999999999999E-3</v>
      </c>
      <c r="N63" s="2263">
        <f t="shared" si="18"/>
        <v>-7.4999999999999997E-3</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2" t="s">
        <v>1000</v>
      </c>
      <c r="B64" s="2234" t="str">
        <f>估价对象房地状况!C21</f>
        <v>估价对象所在区域公共配套设施齐备情况</v>
      </c>
      <c r="C64" s="1019" t="s">
        <v>3185</v>
      </c>
      <c r="D64" s="2242">
        <f t="shared" si="15"/>
        <v>0</v>
      </c>
      <c r="E64" s="2264"/>
      <c r="F64" s="2262"/>
      <c r="G64" s="2240">
        <f t="shared" si="19"/>
        <v>4.4999999999999997E-3</v>
      </c>
      <c r="H64" s="2241">
        <f t="shared" si="20"/>
        <v>4.4999999999999997E-3</v>
      </c>
      <c r="I64" s="2260">
        <v>0.06</v>
      </c>
      <c r="J64" s="2263">
        <f t="shared" si="16"/>
        <v>8.9999999999999993E-3</v>
      </c>
      <c r="K64" s="2263">
        <f t="shared" si="17"/>
        <v>4.4999999999999997E-3</v>
      </c>
      <c r="L64" s="2263">
        <v>0</v>
      </c>
      <c r="M64" s="2263">
        <f t="shared" si="18"/>
        <v>-4.4999999999999997E-3</v>
      </c>
      <c r="N64" s="2263">
        <f t="shared" si="18"/>
        <v>-8.9999999999999993E-3</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2" t="s">
        <v>1001</v>
      </c>
      <c r="B65" s="2234" t="str">
        <f>估价对象房地状况!C22</f>
        <v>估价对象所在区域基础设施水平</v>
      </c>
      <c r="C65" s="1019" t="s">
        <v>3362</v>
      </c>
      <c r="D65" s="2242">
        <f t="shared" si="15"/>
        <v>1.7999999999999999E-2</v>
      </c>
      <c r="E65" s="2264"/>
      <c r="F65" s="2262"/>
      <c r="G65" s="2240">
        <f t="shared" si="19"/>
        <v>8.9999999999999993E-3</v>
      </c>
      <c r="H65" s="2241">
        <f t="shared" si="20"/>
        <v>8.9999999999999993E-3</v>
      </c>
      <c r="I65" s="2260">
        <v>0.12</v>
      </c>
      <c r="J65" s="2263">
        <f t="shared" si="16"/>
        <v>1.7999999999999999E-2</v>
      </c>
      <c r="K65" s="2263">
        <f t="shared" si="17"/>
        <v>8.9999999999999993E-3</v>
      </c>
      <c r="L65" s="2263">
        <v>0</v>
      </c>
      <c r="M65" s="2263">
        <f t="shared" si="18"/>
        <v>-8.9999999999999993E-3</v>
      </c>
      <c r="N65" s="2263">
        <f t="shared" si="18"/>
        <v>-1.7999999999999999E-2</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1002</v>
      </c>
      <c r="B66" s="2238" t="str">
        <f>估价对象房地状况!C20</f>
        <v>区域自然环境：；人文环境；综合评价环境状况一般</v>
      </c>
      <c r="C66" s="1019" t="s">
        <v>3185</v>
      </c>
      <c r="D66" s="2242">
        <f t="shared" si="15"/>
        <v>0</v>
      </c>
      <c r="E66" s="2268"/>
      <c r="F66" s="2262"/>
      <c r="G66" s="2240">
        <f t="shared" si="19"/>
        <v>4.4999999999999997E-3</v>
      </c>
      <c r="H66" s="2241">
        <f t="shared" si="20"/>
        <v>4.4999999999999997E-3</v>
      </c>
      <c r="I66" s="2267">
        <v>0.06</v>
      </c>
      <c r="J66" s="2263">
        <f t="shared" si="16"/>
        <v>8.9999999999999993E-3</v>
      </c>
      <c r="K66" s="2263">
        <f t="shared" si="17"/>
        <v>4.4999999999999997E-3</v>
      </c>
      <c r="L66" s="2263">
        <v>0</v>
      </c>
      <c r="M66" s="2263">
        <f t="shared" si="18"/>
        <v>-4.4999999999999997E-3</v>
      </c>
      <c r="N66" s="2263">
        <f t="shared" si="18"/>
        <v>-8.9999999999999993E-3</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1005</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2" t="s">
        <v>982</v>
      </c>
      <c r="B68" s="2233"/>
      <c r="C68" s="2255" t="s">
        <v>984</v>
      </c>
      <c r="D68" s="2256" t="s">
        <v>985</v>
      </c>
      <c r="E68" s="2257" t="s">
        <v>987</v>
      </c>
      <c r="F68" s="2258" t="s">
        <v>2217</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2" t="s">
        <v>1006</v>
      </c>
      <c r="B69" s="2236" t="str">
        <f>估价对象房地状况!C15</f>
        <v>估价对象周边居住用地比例、居住小区规模和社区发展完善程度，综合评价居住社区成熟度一般</v>
      </c>
      <c r="C69" s="1124"/>
      <c r="D69" s="2242">
        <f t="shared" ref="D69:D77" si="21">SUMIF($J$68:$N$68,C69,J69:N69)</f>
        <v>0</v>
      </c>
      <c r="E69" s="2261">
        <f>ROUND(SUM(D69:D77),4)</f>
        <v>0</v>
      </c>
      <c r="F69" s="2262" t="str">
        <f>IF(E2="住宅",SUMIF(L1:L12,G2,N1:N12),"——")</f>
        <v>——</v>
      </c>
      <c r="G69" s="2243"/>
      <c r="H69" s="2286" t="str">
        <f t="shared" ref="H69:H77" si="22">IFERROR(ROUNDDOWN($F$69*I69/2,4),"——")</f>
        <v>——</v>
      </c>
      <c r="I69" s="2260">
        <v>0.14000000000000001</v>
      </c>
      <c r="J69" s="2263">
        <f t="shared" ref="J69:J77" si="23">K69+$G69</f>
        <v>0</v>
      </c>
      <c r="K69" s="2263">
        <f t="shared" ref="K69:K77" si="24">$L69+$G69</f>
        <v>0</v>
      </c>
      <c r="L69" s="2263">
        <v>0</v>
      </c>
      <c r="M69" s="2263">
        <f t="shared" ref="M69:N77" si="25">L69-$G69</f>
        <v>0</v>
      </c>
      <c r="N69" s="2263">
        <f t="shared" si="25"/>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2" t="s">
        <v>1007</v>
      </c>
      <c r="B70" s="2233" t="str">
        <f>估价对象房地状况!C18</f>
        <v>估价对象周边道路状况、公共交通通达情况、停车便捷程度，综合评价交通便捷度较好</v>
      </c>
      <c r="C70" s="1124"/>
      <c r="D70" s="2242">
        <f t="shared" si="21"/>
        <v>0</v>
      </c>
      <c r="E70" s="2270"/>
      <c r="F70" s="2271"/>
      <c r="G70" s="2243"/>
      <c r="H70" s="2286" t="str">
        <f t="shared" si="22"/>
        <v>——</v>
      </c>
      <c r="I70" s="2260">
        <v>0.3</v>
      </c>
      <c r="J70" s="2263">
        <f t="shared" si="23"/>
        <v>0</v>
      </c>
      <c r="K70" s="2263">
        <f t="shared" si="24"/>
        <v>0</v>
      </c>
      <c r="L70" s="2263">
        <v>0</v>
      </c>
      <c r="M70" s="2263">
        <f t="shared" si="25"/>
        <v>0</v>
      </c>
      <c r="N70" s="2263">
        <f t="shared" si="25"/>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2" t="s">
        <v>996</v>
      </c>
      <c r="B71" s="2233">
        <f>估价对象房地状况!C19</f>
        <v>0</v>
      </c>
      <c r="C71" s="1124"/>
      <c r="D71" s="2242">
        <f t="shared" si="21"/>
        <v>0</v>
      </c>
      <c r="E71" s="2270"/>
      <c r="F71" s="2271"/>
      <c r="G71" s="2243"/>
      <c r="H71" s="2286" t="str">
        <f t="shared" si="22"/>
        <v>——</v>
      </c>
      <c r="I71" s="2260">
        <v>0.08</v>
      </c>
      <c r="J71" s="2263">
        <f t="shared" si="23"/>
        <v>0</v>
      </c>
      <c r="K71" s="2263">
        <f t="shared" si="24"/>
        <v>0</v>
      </c>
      <c r="L71" s="2263">
        <v>0</v>
      </c>
      <c r="M71" s="2263">
        <f t="shared" si="25"/>
        <v>0</v>
      </c>
      <c r="N71" s="2263">
        <f t="shared" si="25"/>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2" t="s">
        <v>1008</v>
      </c>
      <c r="B72" s="2233">
        <f>估价对象房地状况!C24</f>
        <v>0</v>
      </c>
      <c r="C72" s="1124"/>
      <c r="D72" s="2242">
        <f t="shared" si="21"/>
        <v>0</v>
      </c>
      <c r="E72" s="2270"/>
      <c r="F72" s="2271"/>
      <c r="G72" s="2243"/>
      <c r="H72" s="2286" t="str">
        <f t="shared" si="22"/>
        <v>——</v>
      </c>
      <c r="I72" s="2260">
        <v>0.04</v>
      </c>
      <c r="J72" s="2263">
        <f t="shared" si="23"/>
        <v>0</v>
      </c>
      <c r="K72" s="2263">
        <f t="shared" si="24"/>
        <v>0</v>
      </c>
      <c r="L72" s="2263">
        <v>0</v>
      </c>
      <c r="M72" s="2263">
        <f t="shared" si="25"/>
        <v>0</v>
      </c>
      <c r="N72" s="2263">
        <f t="shared" si="25"/>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2" t="s">
        <v>1000</v>
      </c>
      <c r="B73" s="2234" t="str">
        <f>估价对象房地状况!C21</f>
        <v>估价对象所在区域公共配套设施齐备情况</v>
      </c>
      <c r="C73" s="1124"/>
      <c r="D73" s="2242">
        <f t="shared" si="21"/>
        <v>0</v>
      </c>
      <c r="E73" s="2270"/>
      <c r="F73" s="2271"/>
      <c r="G73" s="2243"/>
      <c r="H73" s="2286" t="str">
        <f t="shared" si="22"/>
        <v>——</v>
      </c>
      <c r="I73" s="2260">
        <v>0.08</v>
      </c>
      <c r="J73" s="2263">
        <f t="shared" si="23"/>
        <v>0</v>
      </c>
      <c r="K73" s="2263">
        <f t="shared" si="24"/>
        <v>0</v>
      </c>
      <c r="L73" s="2263">
        <v>0</v>
      </c>
      <c r="M73" s="2263">
        <f t="shared" si="25"/>
        <v>0</v>
      </c>
      <c r="N73" s="2263">
        <f t="shared" si="25"/>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2" t="s">
        <v>1001</v>
      </c>
      <c r="B74" s="2234" t="str">
        <f>估价对象房地状况!C22</f>
        <v>估价对象所在区域基础设施水平</v>
      </c>
      <c r="C74" s="1124"/>
      <c r="D74" s="2242">
        <f t="shared" si="21"/>
        <v>0</v>
      </c>
      <c r="E74" s="2270"/>
      <c r="F74" s="2271"/>
      <c r="G74" s="2243"/>
      <c r="H74" s="2286" t="str">
        <f t="shared" si="22"/>
        <v>——</v>
      </c>
      <c r="I74" s="2260">
        <v>0.12</v>
      </c>
      <c r="J74" s="2263">
        <f t="shared" si="23"/>
        <v>0</v>
      </c>
      <c r="K74" s="2263">
        <f t="shared" si="24"/>
        <v>0</v>
      </c>
      <c r="L74" s="2263">
        <v>0</v>
      </c>
      <c r="M74" s="2263">
        <f t="shared" si="25"/>
        <v>0</v>
      </c>
      <c r="N74" s="2263">
        <f t="shared" si="25"/>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2" t="s">
        <v>999</v>
      </c>
      <c r="B75" s="2748" t="s">
        <v>2872</v>
      </c>
      <c r="C75" s="1124"/>
      <c r="D75" s="2242">
        <f t="shared" si="21"/>
        <v>0</v>
      </c>
      <c r="E75" s="2270"/>
      <c r="F75" s="2271"/>
      <c r="G75" s="2243"/>
      <c r="H75" s="2286" t="str">
        <f t="shared" si="22"/>
        <v>——</v>
      </c>
      <c r="I75" s="2260">
        <v>0.05</v>
      </c>
      <c r="J75" s="2263">
        <f t="shared" si="23"/>
        <v>0</v>
      </c>
      <c r="K75" s="2263">
        <f t="shared" si="24"/>
        <v>0</v>
      </c>
      <c r="L75" s="2263">
        <v>0</v>
      </c>
      <c r="M75" s="2263">
        <f t="shared" si="25"/>
        <v>0</v>
      </c>
      <c r="N75" s="2263">
        <f t="shared" si="25"/>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2" t="s">
        <v>1002</v>
      </c>
      <c r="B76" s="2236" t="str">
        <f>估价对象房地状况!C20</f>
        <v>区域自然环境：；人文环境；综合评价环境状况一般</v>
      </c>
      <c r="C76" s="1124"/>
      <c r="D76" s="2242">
        <f t="shared" si="21"/>
        <v>0</v>
      </c>
      <c r="E76" s="2270"/>
      <c r="F76" s="2271"/>
      <c r="G76" s="2243"/>
      <c r="H76" s="2286" t="str">
        <f t="shared" si="22"/>
        <v>——</v>
      </c>
      <c r="I76" s="2260">
        <v>0.15</v>
      </c>
      <c r="J76" s="2263">
        <f t="shared" si="23"/>
        <v>0</v>
      </c>
      <c r="K76" s="2263">
        <f t="shared" si="24"/>
        <v>0</v>
      </c>
      <c r="L76" s="2263">
        <v>0</v>
      </c>
      <c r="M76" s="2263">
        <f t="shared" si="25"/>
        <v>0</v>
      </c>
      <c r="N76" s="2263">
        <f t="shared" si="25"/>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1009</v>
      </c>
      <c r="B77" s="1736"/>
      <c r="C77" s="1124"/>
      <c r="D77" s="2242">
        <f t="shared" si="21"/>
        <v>0</v>
      </c>
      <c r="E77" s="2272"/>
      <c r="F77" s="2271"/>
      <c r="G77" s="2243"/>
      <c r="H77" s="2286" t="str">
        <f t="shared" si="22"/>
        <v>——</v>
      </c>
      <c r="I77" s="2267">
        <v>0.04</v>
      </c>
      <c r="J77" s="2263">
        <f t="shared" si="23"/>
        <v>0</v>
      </c>
      <c r="K77" s="2263">
        <f t="shared" si="24"/>
        <v>0</v>
      </c>
      <c r="L77" s="2263">
        <v>0</v>
      </c>
      <c r="M77" s="2263">
        <f t="shared" si="25"/>
        <v>0</v>
      </c>
      <c r="N77" s="2263">
        <f t="shared" si="25"/>
        <v>0</v>
      </c>
      <c r="AC77" s="1327"/>
      <c r="AD77" s="1326"/>
      <c r="AJ77" s="1325"/>
      <c r="AN77" s="1326"/>
    </row>
    <row r="78" spans="1:40" ht="15">
      <c r="A78" s="2249" t="s">
        <v>1010</v>
      </c>
      <c r="B78" s="2250">
        <f>1+E80</f>
        <v>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2218</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c r="D80" s="2242">
        <f t="shared" ref="D80:D87" si="26">SUMIF($J$79:$N$79,C80,J80:N80)</f>
        <v>0</v>
      </c>
      <c r="E80" s="2261">
        <f>ROUND(SUM(D80:D87),4)</f>
        <v>0</v>
      </c>
      <c r="F80" s="2262" t="str">
        <f>IF(E2="工业",SUMIF(L1:L12,G2,N1:N12),"——")</f>
        <v>——</v>
      </c>
      <c r="G80" s="2240"/>
      <c r="H80" s="2285" t="str">
        <f t="shared" ref="H80:H87" si="27">IFERROR(ROUNDDOWN($F$80*I80/2,4),"——")</f>
        <v>——</v>
      </c>
      <c r="I80" s="2260">
        <v>0.26</v>
      </c>
      <c r="J80" s="2263">
        <f t="shared" ref="J80:J87" si="28">K80+$G80</f>
        <v>0</v>
      </c>
      <c r="K80" s="2263">
        <f t="shared" ref="K80:K87" si="29">$L80+$G80</f>
        <v>0</v>
      </c>
      <c r="L80" s="2263">
        <v>0</v>
      </c>
      <c r="M80" s="2263">
        <f t="shared" ref="M80:N87" si="30">L80-$G80</f>
        <v>0</v>
      </c>
      <c r="N80" s="2263">
        <f t="shared" si="30"/>
        <v>0</v>
      </c>
      <c r="AC80" s="1327"/>
      <c r="AD80" s="1326"/>
      <c r="AJ80" s="1325"/>
      <c r="AN80" s="1326"/>
    </row>
    <row r="81" spans="1:40" ht="48">
      <c r="A81" s="1032" t="s">
        <v>1007</v>
      </c>
      <c r="B81" s="2233" t="str">
        <f>估价对象房地状况!G16</f>
        <v>估价对象周边道路状况、公共交通通达情况、停车便捷程度，综合评价交通便捷度较好</v>
      </c>
      <c r="C81" s="1019"/>
      <c r="D81" s="2242">
        <f t="shared" si="26"/>
        <v>0</v>
      </c>
      <c r="E81" s="2270"/>
      <c r="F81" s="2271"/>
      <c r="G81" s="2240"/>
      <c r="H81" s="2285" t="str">
        <f t="shared" si="27"/>
        <v>——</v>
      </c>
      <c r="I81" s="2260">
        <v>0.33</v>
      </c>
      <c r="J81" s="2263">
        <f t="shared" si="28"/>
        <v>0</v>
      </c>
      <c r="K81" s="2263">
        <f t="shared" si="29"/>
        <v>0</v>
      </c>
      <c r="L81" s="2263">
        <v>0</v>
      </c>
      <c r="M81" s="2263">
        <f t="shared" si="30"/>
        <v>0</v>
      </c>
      <c r="N81" s="2263">
        <f t="shared" si="30"/>
        <v>0</v>
      </c>
      <c r="AC81" s="1327"/>
      <c r="AD81" s="1326"/>
      <c r="AJ81" s="1325"/>
      <c r="AN81" s="1326"/>
    </row>
    <row r="82" spans="1:40" ht="24">
      <c r="A82" s="1032" t="s">
        <v>996</v>
      </c>
      <c r="B82" s="2233">
        <f>估价对象房地状况!G17</f>
        <v>0</v>
      </c>
      <c r="C82" s="1019"/>
      <c r="D82" s="2242">
        <f t="shared" si="26"/>
        <v>0</v>
      </c>
      <c r="E82" s="2270"/>
      <c r="F82" s="2271"/>
      <c r="G82" s="2240"/>
      <c r="H82" s="2285" t="str">
        <f t="shared" si="27"/>
        <v>——</v>
      </c>
      <c r="I82" s="2260">
        <v>0.05</v>
      </c>
      <c r="J82" s="2263">
        <f t="shared" si="28"/>
        <v>0</v>
      </c>
      <c r="K82" s="2263">
        <f t="shared" si="29"/>
        <v>0</v>
      </c>
      <c r="L82" s="2263">
        <v>0</v>
      </c>
      <c r="M82" s="2263">
        <f t="shared" si="30"/>
        <v>0</v>
      </c>
      <c r="N82" s="2263">
        <f t="shared" si="30"/>
        <v>0</v>
      </c>
      <c r="AC82" s="1327"/>
      <c r="AD82" s="1326"/>
      <c r="AJ82" s="1325"/>
      <c r="AN82" s="1326"/>
    </row>
    <row r="83" spans="1:40" ht="14.25">
      <c r="A83" s="1032" t="s">
        <v>1008</v>
      </c>
      <c r="B83" s="2233">
        <f>估价对象房地状况!G22</f>
        <v>0</v>
      </c>
      <c r="C83" s="1019"/>
      <c r="D83" s="2242">
        <f t="shared" si="26"/>
        <v>0</v>
      </c>
      <c r="E83" s="2270"/>
      <c r="F83" s="2271"/>
      <c r="G83" s="2240"/>
      <c r="H83" s="2285" t="str">
        <f t="shared" si="27"/>
        <v>——</v>
      </c>
      <c r="I83" s="2260">
        <v>0.04</v>
      </c>
      <c r="J83" s="2263">
        <f t="shared" si="28"/>
        <v>0</v>
      </c>
      <c r="K83" s="2263">
        <f t="shared" si="29"/>
        <v>0</v>
      </c>
      <c r="L83" s="2263">
        <v>0</v>
      </c>
      <c r="M83" s="2263">
        <f t="shared" si="30"/>
        <v>0</v>
      </c>
      <c r="N83" s="2263">
        <f t="shared" si="30"/>
        <v>0</v>
      </c>
      <c r="AC83" s="1327"/>
      <c r="AD83" s="1326"/>
      <c r="AJ83" s="1325"/>
      <c r="AN83" s="1326"/>
    </row>
    <row r="84" spans="1:40" ht="24">
      <c r="A84" s="1032" t="s">
        <v>1000</v>
      </c>
      <c r="B84" s="2234" t="str">
        <f>估价对象房地状况!G19</f>
        <v>估价对象所在区域公共配套设施齐备情况</v>
      </c>
      <c r="C84" s="1019"/>
      <c r="D84" s="2242">
        <f t="shared" si="26"/>
        <v>0</v>
      </c>
      <c r="E84" s="2270"/>
      <c r="F84" s="2271"/>
      <c r="G84" s="2240"/>
      <c r="H84" s="2285" t="str">
        <f t="shared" si="27"/>
        <v>——</v>
      </c>
      <c r="I84" s="2260">
        <v>0.06</v>
      </c>
      <c r="J84" s="2263">
        <f t="shared" si="28"/>
        <v>0</v>
      </c>
      <c r="K84" s="2263">
        <f t="shared" si="29"/>
        <v>0</v>
      </c>
      <c r="L84" s="2263">
        <v>0</v>
      </c>
      <c r="M84" s="2263">
        <f t="shared" si="30"/>
        <v>0</v>
      </c>
      <c r="N84" s="2263">
        <f t="shared" si="30"/>
        <v>0</v>
      </c>
      <c r="AC84" s="1327"/>
      <c r="AD84" s="1326"/>
      <c r="AJ84" s="1325"/>
      <c r="AN84" s="1326"/>
    </row>
    <row r="85" spans="1:40" ht="24">
      <c r="A85" s="1032" t="s">
        <v>1001</v>
      </c>
      <c r="B85" s="2234" t="str">
        <f>估价对象房地状况!G20</f>
        <v>估价对象所在区域基础设施水平</v>
      </c>
      <c r="C85" s="1019"/>
      <c r="D85" s="2242">
        <f t="shared" si="26"/>
        <v>0</v>
      </c>
      <c r="E85" s="2270"/>
      <c r="F85" s="2271"/>
      <c r="G85" s="2240"/>
      <c r="H85" s="2285" t="str">
        <f t="shared" si="27"/>
        <v>——</v>
      </c>
      <c r="I85" s="2260">
        <v>0.15</v>
      </c>
      <c r="J85" s="2263">
        <f t="shared" si="28"/>
        <v>0</v>
      </c>
      <c r="K85" s="2263">
        <f t="shared" si="29"/>
        <v>0</v>
      </c>
      <c r="L85" s="2263">
        <v>0</v>
      </c>
      <c r="M85" s="2263">
        <f t="shared" si="30"/>
        <v>0</v>
      </c>
      <c r="N85" s="2263">
        <f t="shared" si="30"/>
        <v>0</v>
      </c>
      <c r="AC85" s="1327"/>
      <c r="AD85" s="1326"/>
      <c r="AJ85" s="1325"/>
      <c r="AN85" s="1326"/>
    </row>
    <row r="86" spans="1:40" ht="24">
      <c r="A86" s="1032" t="s">
        <v>999</v>
      </c>
      <c r="B86" s="2748" t="s">
        <v>2872</v>
      </c>
      <c r="C86" s="1019"/>
      <c r="D86" s="2242">
        <f t="shared" si="26"/>
        <v>0</v>
      </c>
      <c r="E86" s="2270"/>
      <c r="F86" s="2271"/>
      <c r="G86" s="2240"/>
      <c r="H86" s="2285" t="str">
        <f t="shared" si="27"/>
        <v>——</v>
      </c>
      <c r="I86" s="2260">
        <v>0.05</v>
      </c>
      <c r="J86" s="2263">
        <f t="shared" si="28"/>
        <v>0</v>
      </c>
      <c r="K86" s="2263">
        <f t="shared" si="29"/>
        <v>0</v>
      </c>
      <c r="L86" s="2263">
        <v>0</v>
      </c>
      <c r="M86" s="2263">
        <f t="shared" si="30"/>
        <v>0</v>
      </c>
      <c r="N86" s="2263">
        <f t="shared" si="30"/>
        <v>0</v>
      </c>
      <c r="AC86" s="1327"/>
      <c r="AD86" s="1326"/>
      <c r="AJ86" s="1325"/>
      <c r="AN86" s="1326"/>
    </row>
    <row r="87" spans="1:40" ht="36.75" thickBot="1">
      <c r="A87" s="2266" t="s">
        <v>1012</v>
      </c>
      <c r="B87" s="2235" t="str">
        <f>估价对象房地状况!G18</f>
        <v>该园区内是否有污染型企业，绿化情况，卫生条件，整体环境状况判断</v>
      </c>
      <c r="C87" s="1019"/>
      <c r="D87" s="2242">
        <f t="shared" si="26"/>
        <v>0</v>
      </c>
      <c r="E87" s="2272"/>
      <c r="F87" s="2271"/>
      <c r="G87" s="2240"/>
      <c r="H87" s="2285" t="str">
        <f t="shared" si="27"/>
        <v>——</v>
      </c>
      <c r="I87" s="2267">
        <v>0.06</v>
      </c>
      <c r="J87" s="2263">
        <f t="shared" si="28"/>
        <v>0</v>
      </c>
      <c r="K87" s="2263">
        <f t="shared" si="29"/>
        <v>0</v>
      </c>
      <c r="L87" s="2263">
        <v>0</v>
      </c>
      <c r="M87" s="2263">
        <f t="shared" si="30"/>
        <v>0</v>
      </c>
      <c r="N87" s="2263">
        <f t="shared" si="30"/>
        <v>0</v>
      </c>
      <c r="AC87" s="1327"/>
      <c r="AD87" s="1326"/>
      <c r="AJ87" s="1325"/>
      <c r="AN87" s="1326"/>
    </row>
    <row r="90" spans="1:40">
      <c r="A90" s="3805" t="s">
        <v>1607</v>
      </c>
      <c r="B90" s="3805"/>
      <c r="C90" s="3805"/>
      <c r="D90" s="3805"/>
      <c r="E90" s="3805"/>
      <c r="F90" s="3805"/>
      <c r="G90" s="3805"/>
      <c r="H90" s="3805"/>
      <c r="I90" s="3805"/>
      <c r="J90" s="3805"/>
      <c r="K90" s="2275"/>
      <c r="L90" s="2275"/>
      <c r="M90" s="2275"/>
      <c r="N90" s="2275"/>
    </row>
    <row r="91" spans="1:40">
      <c r="A91" s="3806" t="s">
        <v>1417</v>
      </c>
      <c r="B91" s="3806" t="s">
        <v>1608</v>
      </c>
      <c r="C91" s="1105" t="s">
        <v>1609</v>
      </c>
      <c r="D91" s="1106"/>
      <c r="E91" s="1106"/>
      <c r="F91" s="1106"/>
      <c r="G91" s="1106"/>
      <c r="H91" s="1106"/>
      <c r="I91" s="1106"/>
      <c r="J91" s="1107"/>
      <c r="K91" s="1099"/>
      <c r="L91" s="1099"/>
      <c r="M91" s="1099"/>
      <c r="N91" s="1099"/>
    </row>
    <row r="92" spans="1:40">
      <c r="A92" s="3806"/>
      <c r="B92" s="3806"/>
      <c r="C92" s="2274" t="s">
        <v>881</v>
      </c>
      <c r="D92" s="2274" t="s">
        <v>859</v>
      </c>
      <c r="E92" s="2274" t="s">
        <v>860</v>
      </c>
      <c r="F92" s="2274" t="s">
        <v>884</v>
      </c>
      <c r="G92" s="2274" t="s">
        <v>862</v>
      </c>
      <c r="H92" s="2274" t="s">
        <v>863</v>
      </c>
      <c r="I92" s="2274" t="s">
        <v>864</v>
      </c>
      <c r="J92" s="2274" t="s">
        <v>865</v>
      </c>
      <c r="K92" s="2274" t="s">
        <v>889</v>
      </c>
      <c r="L92" s="2274" t="s">
        <v>867</v>
      </c>
      <c r="M92" s="2274" t="s">
        <v>868</v>
      </c>
      <c r="N92" s="2274" t="s">
        <v>892</v>
      </c>
    </row>
    <row r="93" spans="1:40">
      <c r="A93" s="379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9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9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9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9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9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9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79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96" t="s">
        <v>1611</v>
      </c>
      <c r="B101" s="1112" t="s">
        <v>880</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79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9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9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9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9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9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97"/>
      <c r="B108" s="379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798"/>
      <c r="B109" s="380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01" t="s">
        <v>1613</v>
      </c>
      <c r="B110" s="3801"/>
      <c r="C110" s="3801"/>
      <c r="D110" s="3801"/>
      <c r="E110" s="3801"/>
      <c r="F110" s="3801"/>
      <c r="G110" s="3801"/>
      <c r="H110" s="3801"/>
      <c r="I110" s="3801"/>
      <c r="J110" s="3801"/>
      <c r="K110" s="2273"/>
      <c r="L110" s="2273"/>
      <c r="M110" s="2273"/>
      <c r="N110" s="2273"/>
    </row>
    <row r="112" spans="1:14" ht="12.75" thickBot="1"/>
    <row r="113" spans="1:13" ht="25.5" thickBot="1">
      <c r="A113" s="985" t="s">
        <v>870</v>
      </c>
      <c r="B113" s="2276">
        <f>G3</f>
        <v>1</v>
      </c>
      <c r="C113" s="986" t="s">
        <v>871</v>
      </c>
      <c r="D113" s="987">
        <f>SUMPRODUCT((A115:A118=F113)*(B114:M114=H113)*B115:M118)</f>
        <v>0.75539999999999996</v>
      </c>
      <c r="E113" s="988" t="s">
        <v>872</v>
      </c>
      <c r="F113" s="989" t="str">
        <f>E2</f>
        <v>办公</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7" priority="5" stopIfTrue="1" operator="notEqual">
      <formula>"——"</formula>
    </cfRule>
  </conditionalFormatting>
  <conditionalFormatting sqref="F58">
    <cfRule type="cellIs" dxfId="146" priority="4" stopIfTrue="1" operator="notEqual">
      <formula>"——"</formula>
    </cfRule>
  </conditionalFormatting>
  <conditionalFormatting sqref="F69">
    <cfRule type="cellIs" dxfId="145" priority="3" stopIfTrue="1" operator="notEqual">
      <formula>"——"</formula>
    </cfRule>
  </conditionalFormatting>
  <conditionalFormatting sqref="F80">
    <cfRule type="cellIs" dxfId="144" priority="2" stopIfTrue="1" operator="notEqual">
      <formula>"——"</formula>
    </cfRule>
  </conditionalFormatting>
  <conditionalFormatting sqref="H58:H66 H47:H55 H69:H77 H80:H87">
    <cfRule type="cellIs" dxfId="14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ht="19.5" customHeight="1">
      <c r="A2" s="1072" t="s">
        <v>981</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1003</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1005</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1406</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1407</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1408</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1409</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1410</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1411</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1412</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1413</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1414</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1415</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9" t="s">
        <v>2918</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91" t="s">
        <v>1416</v>
      </c>
      <c r="B16" s="1091"/>
      <c r="C16" s="1092"/>
      <c r="D16" s="1092"/>
      <c r="E16" s="1091"/>
      <c r="F16" s="1092"/>
      <c r="G16" s="1092"/>
    </row>
    <row r="17" spans="1:9" ht="19.5" customHeight="1">
      <c r="A17" s="1033" t="s">
        <v>1417</v>
      </c>
      <c r="B17" s="1093" t="s">
        <v>1418</v>
      </c>
      <c r="C17" s="1093" t="s">
        <v>1616</v>
      </c>
      <c r="D17" s="1094"/>
      <c r="E17" s="1033" t="s">
        <v>1419</v>
      </c>
      <c r="F17" s="1095"/>
      <c r="G17" s="1095"/>
    </row>
    <row r="18" spans="1:9" s="1503" customFormat="1" ht="19.5" customHeight="1">
      <c r="A18" s="3806" t="s">
        <v>981</v>
      </c>
      <c r="B18" s="1119" t="s">
        <v>1420</v>
      </c>
      <c r="C18" s="1096" t="s">
        <v>1421</v>
      </c>
      <c r="D18" s="1097"/>
      <c r="E18" s="1119">
        <v>1</v>
      </c>
      <c r="F18" s="1098" t="s">
        <v>1422</v>
      </c>
      <c r="G18" s="1099"/>
      <c r="H18" s="1070"/>
      <c r="I18" s="1070"/>
    </row>
    <row r="19" spans="1:9" s="1503" customFormat="1" ht="19.5" customHeight="1">
      <c r="A19" s="3806"/>
      <c r="B19" s="3806" t="s">
        <v>1423</v>
      </c>
      <c r="C19" s="1096" t="s">
        <v>1424</v>
      </c>
      <c r="D19" s="1097"/>
      <c r="E19" s="1119">
        <v>0.9</v>
      </c>
      <c r="F19" s="1098" t="s">
        <v>1425</v>
      </c>
      <c r="G19" s="1099"/>
      <c r="H19" s="1070"/>
      <c r="I19" s="1070"/>
    </row>
    <row r="20" spans="1:9" s="1503" customFormat="1" ht="19.5" customHeight="1">
      <c r="A20" s="3806"/>
      <c r="B20" s="3806"/>
      <c r="C20" s="1096" t="s">
        <v>1426</v>
      </c>
      <c r="D20" s="1097"/>
      <c r="E20" s="1119">
        <v>1.1000000000000001</v>
      </c>
      <c r="F20" s="1098" t="s">
        <v>1427</v>
      </c>
      <c r="G20" s="1099"/>
      <c r="H20" s="1070"/>
      <c r="I20" s="1070"/>
    </row>
    <row r="21" spans="1:9" s="1503" customFormat="1" ht="19.5" customHeight="1">
      <c r="A21" s="3806"/>
      <c r="B21" s="3806"/>
      <c r="C21" s="1096" t="s">
        <v>1428</v>
      </c>
      <c r="D21" s="1097"/>
      <c r="E21" s="1119">
        <v>0.8</v>
      </c>
      <c r="F21" s="1098" t="s">
        <v>1429</v>
      </c>
      <c r="G21" s="1099"/>
      <c r="H21" s="1070"/>
      <c r="I21" s="1070"/>
    </row>
    <row r="22" spans="1:9" s="1503" customFormat="1" ht="19.5" customHeight="1">
      <c r="A22" s="3806"/>
      <c r="B22" s="3806"/>
      <c r="C22" s="1096" t="s">
        <v>1430</v>
      </c>
      <c r="D22" s="1097"/>
      <c r="E22" s="1119">
        <v>0.5</v>
      </c>
      <c r="F22" s="1098"/>
      <c r="G22" s="1099"/>
      <c r="H22" s="1070"/>
      <c r="I22" s="1070"/>
    </row>
    <row r="23" spans="1:9" s="1503" customFormat="1" ht="19.5" customHeight="1">
      <c r="A23" s="3806" t="s">
        <v>1003</v>
      </c>
      <c r="B23" s="1119" t="s">
        <v>1420</v>
      </c>
      <c r="C23" s="1096" t="s">
        <v>1431</v>
      </c>
      <c r="D23" s="1097"/>
      <c r="E23" s="1119">
        <v>1</v>
      </c>
      <c r="F23" s="1098" t="s">
        <v>1432</v>
      </c>
      <c r="G23" s="1099"/>
      <c r="H23" s="1070"/>
      <c r="I23" s="1070"/>
    </row>
    <row r="24" spans="1:9" s="1503" customFormat="1" ht="19.5" customHeight="1">
      <c r="A24" s="3806"/>
      <c r="B24" s="3806" t="s">
        <v>1423</v>
      </c>
      <c r="C24" s="1096" t="s">
        <v>1433</v>
      </c>
      <c r="D24" s="1097"/>
      <c r="E24" s="1119">
        <v>0.5</v>
      </c>
      <c r="F24" s="1098"/>
      <c r="G24" s="1099"/>
      <c r="H24" s="1070"/>
      <c r="I24" s="1070"/>
    </row>
    <row r="25" spans="1:9" s="1503" customFormat="1" ht="19.5" customHeight="1">
      <c r="A25" s="3806"/>
      <c r="B25" s="3806"/>
      <c r="C25" s="1096" t="s">
        <v>1434</v>
      </c>
      <c r="D25" s="1097"/>
      <c r="E25" s="1119">
        <v>1.1000000000000001</v>
      </c>
      <c r="F25" s="1098"/>
      <c r="G25" s="1099"/>
      <c r="H25" s="1070"/>
      <c r="I25" s="1070"/>
    </row>
    <row r="26" spans="1:9" s="1503" customFormat="1" ht="19.5" customHeight="1">
      <c r="A26" s="3806"/>
      <c r="B26" s="3806"/>
      <c r="C26" s="1096" t="s">
        <v>1435</v>
      </c>
      <c r="D26" s="1097"/>
      <c r="E26" s="1119">
        <v>1.1000000000000001</v>
      </c>
      <c r="F26" s="1098"/>
      <c r="G26" s="1099"/>
      <c r="H26" s="1070"/>
      <c r="I26" s="1070"/>
    </row>
    <row r="27" spans="1:9" s="1503" customFormat="1" ht="19.5" customHeight="1">
      <c r="A27" s="3806"/>
      <c r="B27" s="3806"/>
      <c r="C27" s="1096" t="s">
        <v>1436</v>
      </c>
      <c r="D27" s="1097"/>
      <c r="E27" s="1119">
        <v>0.9</v>
      </c>
      <c r="F27" s="1098" t="s">
        <v>1437</v>
      </c>
      <c r="G27" s="1099"/>
      <c r="H27" s="1070"/>
      <c r="I27" s="1070"/>
    </row>
    <row r="28" spans="1:9" s="1503" customFormat="1" ht="19.5" customHeight="1">
      <c r="A28" s="3806"/>
      <c r="B28" s="3806"/>
      <c r="C28" s="1096" t="s">
        <v>1438</v>
      </c>
      <c r="D28" s="1097"/>
      <c r="E28" s="1119">
        <v>0.9</v>
      </c>
      <c r="F28" s="1098" t="s">
        <v>1439</v>
      </c>
      <c r="G28" s="1099"/>
      <c r="H28" s="1070"/>
      <c r="I28" s="1070"/>
    </row>
    <row r="29" spans="1:9" s="1503" customFormat="1" ht="19.5" customHeight="1">
      <c r="A29" s="3806"/>
      <c r="B29" s="3806"/>
      <c r="C29" s="1096" t="s">
        <v>1440</v>
      </c>
      <c r="D29" s="1097"/>
      <c r="E29" s="1119">
        <v>0.9</v>
      </c>
      <c r="F29" s="1098" t="s">
        <v>1441</v>
      </c>
      <c r="G29" s="1099"/>
      <c r="H29" s="1070"/>
      <c r="I29" s="1070"/>
    </row>
    <row r="30" spans="1:9" s="1503" customFormat="1" ht="19.5" customHeight="1">
      <c r="A30" s="3806"/>
      <c r="B30" s="3806"/>
      <c r="C30" s="1096" t="s">
        <v>1442</v>
      </c>
      <c r="D30" s="1097"/>
      <c r="E30" s="1119">
        <v>0.9</v>
      </c>
      <c r="F30" s="1098" t="s">
        <v>1443</v>
      </c>
      <c r="G30" s="1099"/>
      <c r="H30" s="1070"/>
      <c r="I30" s="1070"/>
    </row>
    <row r="31" spans="1:9" s="1503" customFormat="1" ht="19.5" customHeight="1">
      <c r="A31" s="3806"/>
      <c r="B31" s="3806"/>
      <c r="C31" s="1096" t="s">
        <v>1444</v>
      </c>
      <c r="D31" s="1097"/>
      <c r="E31" s="1119">
        <v>0.8</v>
      </c>
      <c r="F31" s="1098" t="s">
        <v>1445</v>
      </c>
      <c r="G31" s="1099"/>
      <c r="H31" s="1070"/>
      <c r="I31" s="1070"/>
    </row>
    <row r="32" spans="1:9" s="1503" customFormat="1" ht="19.5" customHeight="1">
      <c r="A32" s="3806"/>
      <c r="B32" s="3806"/>
      <c r="C32" s="1096" t="s">
        <v>1446</v>
      </c>
      <c r="D32" s="1097"/>
      <c r="E32" s="1119">
        <v>0.8</v>
      </c>
      <c r="F32" s="1098" t="s">
        <v>1447</v>
      </c>
      <c r="G32" s="1099"/>
      <c r="H32" s="1070"/>
      <c r="I32" s="1070"/>
    </row>
    <row r="33" spans="1:9" s="1503" customFormat="1" ht="19.5" customHeight="1">
      <c r="A33" s="3806" t="s">
        <v>1448</v>
      </c>
      <c r="B33" s="1119" t="s">
        <v>1420</v>
      </c>
      <c r="C33" s="1096" t="s">
        <v>1449</v>
      </c>
      <c r="D33" s="1097"/>
      <c r="E33" s="1119">
        <v>1</v>
      </c>
      <c r="F33" s="1098" t="s">
        <v>1450</v>
      </c>
      <c r="G33" s="1099"/>
      <c r="H33" s="1070"/>
      <c r="I33" s="1070"/>
    </row>
    <row r="34" spans="1:9" s="1503" customFormat="1" ht="19.5" customHeight="1">
      <c r="A34" s="3806"/>
      <c r="B34" s="1119" t="s">
        <v>1423</v>
      </c>
      <c r="C34" s="1096" t="s">
        <v>1451</v>
      </c>
      <c r="D34" s="1097"/>
      <c r="E34" s="1119">
        <v>1.5</v>
      </c>
      <c r="F34" s="1098" t="s">
        <v>1452</v>
      </c>
      <c r="G34" s="1099"/>
      <c r="H34" s="1070"/>
      <c r="I34" s="1070"/>
    </row>
    <row r="35" spans="1:9" s="1503" customFormat="1" ht="19.5" customHeight="1">
      <c r="A35" s="3806" t="s">
        <v>1406</v>
      </c>
      <c r="B35" s="1119" t="s">
        <v>1420</v>
      </c>
      <c r="C35" s="1096" t="s">
        <v>1453</v>
      </c>
      <c r="D35" s="1097"/>
      <c r="E35" s="1119">
        <v>1</v>
      </c>
      <c r="F35" s="1098" t="s">
        <v>1454</v>
      </c>
      <c r="G35" s="1099"/>
      <c r="H35" s="1070"/>
      <c r="I35" s="1070"/>
    </row>
    <row r="36" spans="1:9" s="1503" customFormat="1" ht="19.5" customHeight="1">
      <c r="A36" s="3806"/>
      <c r="B36" s="3806" t="s">
        <v>1423</v>
      </c>
      <c r="C36" s="1096" t="s">
        <v>1455</v>
      </c>
      <c r="D36" s="1097"/>
      <c r="E36" s="1119">
        <v>1</v>
      </c>
      <c r="F36" s="1098" t="s">
        <v>1456</v>
      </c>
      <c r="G36" s="1099"/>
      <c r="H36" s="1070"/>
      <c r="I36" s="1070"/>
    </row>
    <row r="37" spans="1:9" s="1503" customFormat="1" ht="19.5" customHeight="1">
      <c r="A37" s="3806"/>
      <c r="B37" s="3806"/>
      <c r="C37" s="1096" t="s">
        <v>1457</v>
      </c>
      <c r="D37" s="1097"/>
      <c r="E37" s="1119">
        <v>1.5</v>
      </c>
      <c r="F37" s="1098" t="s">
        <v>1458</v>
      </c>
      <c r="G37" s="1099"/>
      <c r="H37" s="1070"/>
      <c r="I37" s="1070"/>
    </row>
    <row r="38" spans="1:9" s="1503" customFormat="1" ht="19.5" customHeight="1">
      <c r="A38" s="3806"/>
      <c r="B38" s="3806"/>
      <c r="C38" s="1096" t="s">
        <v>1459</v>
      </c>
      <c r="D38" s="1097"/>
      <c r="E38" s="1119">
        <v>1</v>
      </c>
      <c r="F38" s="1098" t="s">
        <v>1460</v>
      </c>
      <c r="G38" s="1099"/>
      <c r="H38" s="1070"/>
      <c r="I38" s="1070"/>
    </row>
    <row r="39" spans="1:9" s="1503" customFormat="1" ht="19.5" customHeight="1">
      <c r="A39" s="3806"/>
      <c r="B39" s="3806"/>
      <c r="C39" s="1096" t="s">
        <v>1461</v>
      </c>
      <c r="D39" s="1097"/>
      <c r="E39" s="1119">
        <v>1</v>
      </c>
      <c r="F39" s="1098" t="s">
        <v>1462</v>
      </c>
      <c r="G39" s="1099"/>
      <c r="H39" s="1070"/>
      <c r="I39" s="1070"/>
    </row>
    <row r="40" spans="1:9" s="1503" customFormat="1" ht="19.5" customHeight="1">
      <c r="A40" s="1504" t="s">
        <v>1463</v>
      </c>
      <c r="B40" s="1504"/>
      <c r="C40" s="1504"/>
      <c r="D40" s="1504"/>
      <c r="E40" s="1504"/>
      <c r="F40" s="1098"/>
      <c r="G40" s="1098"/>
      <c r="H40" s="1070"/>
      <c r="I40" s="1070"/>
    </row>
    <row r="42" spans="1:9" ht="19.5" customHeight="1">
      <c r="A42" s="1100"/>
      <c r="B42" s="1033" t="s">
        <v>1464</v>
      </c>
      <c r="C42" s="1033" t="s">
        <v>1464</v>
      </c>
      <c r="D42" s="1033" t="s">
        <v>1464</v>
      </c>
      <c r="E42" s="1118" t="s">
        <v>1464</v>
      </c>
      <c r="F42" s="1118" t="s">
        <v>1464</v>
      </c>
      <c r="G42" s="1118" t="s">
        <v>1465</v>
      </c>
      <c r="H42" s="1118" t="s">
        <v>1464</v>
      </c>
    </row>
    <row r="43" spans="1:9" ht="19.5" customHeight="1">
      <c r="A43" s="1101"/>
      <c r="B43" s="1118" t="s">
        <v>981</v>
      </c>
      <c r="C43" s="1118" t="s">
        <v>981</v>
      </c>
      <c r="D43" s="1118" t="s">
        <v>981</v>
      </c>
      <c r="E43" s="1118" t="s">
        <v>981</v>
      </c>
      <c r="F43" s="1033" t="s">
        <v>1003</v>
      </c>
      <c r="G43" s="1033" t="s">
        <v>1406</v>
      </c>
      <c r="H43" s="1033" t="s">
        <v>1466</v>
      </c>
    </row>
    <row r="44" spans="1:9" ht="19.5" customHeight="1">
      <c r="A44" s="1102"/>
      <c r="B44" s="1033">
        <v>1</v>
      </c>
      <c r="C44" s="1033">
        <v>2</v>
      </c>
      <c r="D44" s="1033">
        <v>3</v>
      </c>
      <c r="E44" s="1118">
        <v>4</v>
      </c>
      <c r="F44" s="1094" t="s">
        <v>1467</v>
      </c>
      <c r="G44" s="1094" t="s">
        <v>1467</v>
      </c>
      <c r="H44" s="1094" t="s">
        <v>1467</v>
      </c>
    </row>
    <row r="45" spans="1:9" ht="19.5" customHeight="1">
      <c r="A45" s="1117" t="s">
        <v>881</v>
      </c>
      <c r="B45" s="1033">
        <v>0.8</v>
      </c>
      <c r="C45" s="1033">
        <v>0.5</v>
      </c>
      <c r="D45" s="1033">
        <v>0.36</v>
      </c>
      <c r="E45" s="1033">
        <v>0.3</v>
      </c>
      <c r="F45" s="1094">
        <v>0.3</v>
      </c>
      <c r="G45" s="1033">
        <v>0.3</v>
      </c>
      <c r="H45" s="1033">
        <v>0.25</v>
      </c>
    </row>
    <row r="46" spans="1:9" ht="19.5" customHeight="1">
      <c r="A46" s="1117" t="s">
        <v>882</v>
      </c>
      <c r="B46" s="1033">
        <v>0.8</v>
      </c>
      <c r="C46" s="1033">
        <v>0.5</v>
      </c>
      <c r="D46" s="1033">
        <v>0.36</v>
      </c>
      <c r="E46" s="1033">
        <v>0.3</v>
      </c>
      <c r="F46" s="1033">
        <v>0.3</v>
      </c>
      <c r="G46" s="1033">
        <v>0.3</v>
      </c>
      <c r="H46" s="1033">
        <v>0.25</v>
      </c>
    </row>
    <row r="47" spans="1:9" ht="19.5" customHeight="1">
      <c r="A47" s="1117" t="s">
        <v>883</v>
      </c>
      <c r="B47" s="1033">
        <v>0.7</v>
      </c>
      <c r="C47" s="1033">
        <v>0.4</v>
      </c>
      <c r="D47" s="1033">
        <v>0.28000000000000003</v>
      </c>
      <c r="E47" s="1033">
        <v>0.25</v>
      </c>
      <c r="F47" s="1033">
        <v>0.25</v>
      </c>
      <c r="G47" s="1033">
        <v>0.25</v>
      </c>
      <c r="H47" s="1033">
        <v>0.2</v>
      </c>
    </row>
    <row r="48" spans="1:9" ht="19.5" customHeight="1">
      <c r="A48" s="1117" t="s">
        <v>884</v>
      </c>
      <c r="B48" s="1033">
        <v>0.7</v>
      </c>
      <c r="C48" s="1033">
        <v>0.4</v>
      </c>
      <c r="D48" s="1033">
        <v>0.28000000000000003</v>
      </c>
      <c r="E48" s="1033">
        <v>0.25</v>
      </c>
      <c r="F48" s="1033">
        <v>0.25</v>
      </c>
      <c r="G48" s="1033">
        <v>0.25</v>
      </c>
      <c r="H48" s="1033">
        <v>0.2</v>
      </c>
    </row>
    <row r="49" spans="1:8" s="1070" customFormat="1" ht="19.5" customHeight="1">
      <c r="A49" s="1117" t="s">
        <v>885</v>
      </c>
      <c r="B49" s="1033">
        <v>0.7</v>
      </c>
      <c r="C49" s="1033">
        <v>0.4</v>
      </c>
      <c r="D49" s="1033">
        <v>0.28000000000000003</v>
      </c>
      <c r="E49" s="1033">
        <v>0.25</v>
      </c>
      <c r="F49" s="1033">
        <v>0.25</v>
      </c>
      <c r="G49" s="1033">
        <v>0.25</v>
      </c>
      <c r="H49" s="1033">
        <v>0.2</v>
      </c>
    </row>
    <row r="50" spans="1:8" s="1070" customFormat="1" ht="19.5" customHeight="1">
      <c r="A50" s="1117" t="s">
        <v>886</v>
      </c>
      <c r="B50" s="1033">
        <v>0.7</v>
      </c>
      <c r="C50" s="1033">
        <v>0.4</v>
      </c>
      <c r="D50" s="1033">
        <v>0.28000000000000003</v>
      </c>
      <c r="E50" s="1033">
        <v>0.25</v>
      </c>
      <c r="F50" s="1033">
        <v>0.25</v>
      </c>
      <c r="G50" s="1033">
        <v>0.25</v>
      </c>
      <c r="H50" s="1033">
        <v>0.2</v>
      </c>
    </row>
    <row r="51" spans="1:8" s="1070" customFormat="1" ht="19.5" customHeight="1">
      <c r="A51" s="1117" t="s">
        <v>887</v>
      </c>
      <c r="B51" s="1033">
        <v>0.7</v>
      </c>
      <c r="C51" s="1033">
        <v>0.4</v>
      </c>
      <c r="D51" s="1033">
        <v>0.28000000000000003</v>
      </c>
      <c r="E51" s="1033">
        <v>0.25</v>
      </c>
      <c r="F51" s="1033">
        <v>0.25</v>
      </c>
      <c r="G51" s="1033">
        <v>0.25</v>
      </c>
      <c r="H51" s="1033">
        <v>0.2</v>
      </c>
    </row>
    <row r="52" spans="1:8" s="1070" customFormat="1" ht="19.5" customHeight="1">
      <c r="A52" s="1117" t="s">
        <v>888</v>
      </c>
      <c r="B52" s="1033">
        <v>0.6</v>
      </c>
      <c r="C52" s="1033">
        <v>0.3</v>
      </c>
      <c r="D52" s="1033">
        <v>0.2</v>
      </c>
      <c r="E52" s="1033">
        <v>0.2</v>
      </c>
      <c r="F52" s="1033">
        <v>0.2</v>
      </c>
      <c r="G52" s="1033">
        <v>0.2</v>
      </c>
      <c r="H52" s="1033">
        <v>0.15</v>
      </c>
    </row>
    <row r="53" spans="1:8" s="1070" customFormat="1" ht="19.5" customHeight="1">
      <c r="A53" s="1117" t="s">
        <v>889</v>
      </c>
      <c r="B53" s="1033">
        <v>0.6</v>
      </c>
      <c r="C53" s="1033">
        <v>0.3</v>
      </c>
      <c r="D53" s="1033">
        <v>0.2</v>
      </c>
      <c r="E53" s="1033">
        <v>0.2</v>
      </c>
      <c r="F53" s="1033">
        <v>0.2</v>
      </c>
      <c r="G53" s="1033">
        <v>0.2</v>
      </c>
      <c r="H53" s="1033">
        <v>0.15</v>
      </c>
    </row>
    <row r="54" spans="1:8" s="1070" customFormat="1" ht="19.5" customHeight="1">
      <c r="A54" s="1117" t="s">
        <v>890</v>
      </c>
      <c r="B54" s="1033">
        <v>0.6</v>
      </c>
      <c r="C54" s="1033">
        <v>0.3</v>
      </c>
      <c r="D54" s="1033">
        <v>0.2</v>
      </c>
      <c r="E54" s="1033">
        <v>0.2</v>
      </c>
      <c r="F54" s="1033">
        <v>0.2</v>
      </c>
      <c r="G54" s="1033">
        <v>0.2</v>
      </c>
      <c r="H54" s="1033">
        <v>0.15</v>
      </c>
    </row>
    <row r="55" spans="1:8" s="1070" customFormat="1" ht="19.5" customHeight="1">
      <c r="A55" s="1117" t="s">
        <v>891</v>
      </c>
      <c r="B55" s="1033">
        <v>0.6</v>
      </c>
      <c r="C55" s="1033">
        <v>0.3</v>
      </c>
      <c r="D55" s="1033">
        <v>0.2</v>
      </c>
      <c r="E55" s="1033">
        <v>0.2</v>
      </c>
      <c r="F55" s="1033">
        <v>0.2</v>
      </c>
      <c r="G55" s="1033">
        <v>0.2</v>
      </c>
      <c r="H55" s="1033">
        <v>0.15</v>
      </c>
    </row>
    <row r="56" spans="1:8" s="1070" customFormat="1" ht="19.5" customHeight="1">
      <c r="A56" s="1117" t="s">
        <v>892</v>
      </c>
      <c r="B56" s="1033">
        <v>0.6</v>
      </c>
      <c r="C56" s="1033">
        <v>0.3</v>
      </c>
      <c r="D56" s="1033">
        <v>0.2</v>
      </c>
      <c r="E56" s="1033">
        <v>0.2</v>
      </c>
      <c r="F56" s="1033">
        <v>0.2</v>
      </c>
      <c r="G56" s="1033">
        <v>0.2</v>
      </c>
      <c r="H56" s="1033">
        <v>0.15</v>
      </c>
    </row>
    <row r="58" spans="1:8" s="1070" customFormat="1" ht="19.5" customHeight="1">
      <c r="A58" s="1103"/>
      <c r="B58" s="1091"/>
      <c r="C58" s="1091"/>
      <c r="D58" s="1091" t="s">
        <v>1468</v>
      </c>
      <c r="E58" s="1091"/>
      <c r="F58" s="1091"/>
    </row>
    <row r="59" spans="1:8" s="1070" customFormat="1" ht="19.5" customHeight="1">
      <c r="A59" s="1119" t="s">
        <v>1469</v>
      </c>
      <c r="B59" s="1119" t="s">
        <v>1470</v>
      </c>
      <c r="C59" s="1119" t="s">
        <v>1471</v>
      </c>
      <c r="D59" s="1119" t="s">
        <v>1472</v>
      </c>
      <c r="E59" s="1119" t="s">
        <v>1473</v>
      </c>
      <c r="F59" s="1119" t="s">
        <v>1474</v>
      </c>
    </row>
    <row r="60" spans="1:8" s="1070" customFormat="1" ht="19.5" customHeight="1">
      <c r="A60" s="1119"/>
      <c r="B60" s="1119"/>
      <c r="C60" s="1119" t="s">
        <v>1606</v>
      </c>
      <c r="D60" s="1119"/>
      <c r="E60" s="1104" t="s">
        <v>1415</v>
      </c>
      <c r="F60" s="1119" t="s">
        <v>1415</v>
      </c>
    </row>
    <row r="61" spans="1:8" s="1070" customFormat="1" ht="24">
      <c r="A61" s="1119">
        <v>1</v>
      </c>
      <c r="B61" s="3806" t="s">
        <v>1475</v>
      </c>
      <c r="C61" s="1033" t="s">
        <v>1476</v>
      </c>
      <c r="D61" s="1033" t="s">
        <v>1477</v>
      </c>
      <c r="E61" s="1104">
        <v>0.5</v>
      </c>
      <c r="F61" s="1119">
        <v>80</v>
      </c>
      <c r="H61" s="1070">
        <f>SUMIF(C59:C119,基准地价办公!C8,E59:E119)</f>
        <v>0</v>
      </c>
    </row>
    <row r="62" spans="1:8" s="1070" customFormat="1" ht="24">
      <c r="A62" s="1119">
        <v>2</v>
      </c>
      <c r="B62" s="3806"/>
      <c r="C62" s="1033" t="s">
        <v>1478</v>
      </c>
      <c r="D62" s="1033" t="s">
        <v>1479</v>
      </c>
      <c r="E62" s="1104">
        <v>0.5</v>
      </c>
      <c r="F62" s="1119">
        <v>80</v>
      </c>
    </row>
    <row r="63" spans="1:8" s="1070" customFormat="1" ht="36">
      <c r="A63" s="1119">
        <v>3</v>
      </c>
      <c r="B63" s="3806"/>
      <c r="C63" s="1033" t="s">
        <v>1480</v>
      </c>
      <c r="D63" s="1033" t="s">
        <v>1481</v>
      </c>
      <c r="E63" s="1104">
        <v>0.5</v>
      </c>
      <c r="F63" s="1119">
        <v>80</v>
      </c>
    </row>
    <row r="64" spans="1:8" s="1070" customFormat="1" ht="36">
      <c r="A64" s="1119">
        <v>4</v>
      </c>
      <c r="B64" s="3806"/>
      <c r="C64" s="1033" t="s">
        <v>1482</v>
      </c>
      <c r="D64" s="1033" t="s">
        <v>1483</v>
      </c>
      <c r="E64" s="1104">
        <v>0.4</v>
      </c>
      <c r="F64" s="1119">
        <v>60</v>
      </c>
    </row>
    <row r="65" spans="1:6" s="1070" customFormat="1" ht="36">
      <c r="A65" s="1119">
        <v>5</v>
      </c>
      <c r="B65" s="3806"/>
      <c r="C65" s="1033" t="s">
        <v>1484</v>
      </c>
      <c r="D65" s="1033" t="s">
        <v>1485</v>
      </c>
      <c r="E65" s="1104">
        <v>0.2</v>
      </c>
      <c r="F65" s="1119">
        <v>30</v>
      </c>
    </row>
    <row r="66" spans="1:6" s="1070" customFormat="1" ht="36">
      <c r="A66" s="1119">
        <v>6</v>
      </c>
      <c r="B66" s="3806"/>
      <c r="C66" s="1033" t="s">
        <v>1486</v>
      </c>
      <c r="D66" s="1033" t="s">
        <v>1487</v>
      </c>
      <c r="E66" s="1104">
        <v>0.3</v>
      </c>
      <c r="F66" s="1119">
        <v>50</v>
      </c>
    </row>
    <row r="67" spans="1:6" s="1070" customFormat="1" ht="36">
      <c r="A67" s="1119">
        <v>7</v>
      </c>
      <c r="B67" s="3806"/>
      <c r="C67" s="1033" t="s">
        <v>1488</v>
      </c>
      <c r="D67" s="1033" t="s">
        <v>1489</v>
      </c>
      <c r="E67" s="1104">
        <v>0.2</v>
      </c>
      <c r="F67" s="1119">
        <v>30</v>
      </c>
    </row>
    <row r="68" spans="1:6" s="1070" customFormat="1" ht="36">
      <c r="A68" s="1119">
        <v>8</v>
      </c>
      <c r="B68" s="3806"/>
      <c r="C68" s="1033" t="s">
        <v>1490</v>
      </c>
      <c r="D68" s="1033" t="s">
        <v>1491</v>
      </c>
      <c r="E68" s="1104">
        <v>0.2</v>
      </c>
      <c r="F68" s="1119">
        <v>30</v>
      </c>
    </row>
    <row r="69" spans="1:6" s="1070" customFormat="1" ht="36">
      <c r="A69" s="1119">
        <v>9</v>
      </c>
      <c r="B69" s="3806"/>
      <c r="C69" s="1033" t="s">
        <v>1492</v>
      </c>
      <c r="D69" s="1033" t="s">
        <v>1493</v>
      </c>
      <c r="E69" s="1104">
        <v>0.2</v>
      </c>
      <c r="F69" s="1119">
        <v>30</v>
      </c>
    </row>
    <row r="70" spans="1:6" s="1070" customFormat="1" ht="48">
      <c r="A70" s="1119">
        <v>10</v>
      </c>
      <c r="B70" s="3806"/>
      <c r="C70" s="1033" t="s">
        <v>1494</v>
      </c>
      <c r="D70" s="1033" t="s">
        <v>1495</v>
      </c>
      <c r="E70" s="1104">
        <v>0.2</v>
      </c>
      <c r="F70" s="1119">
        <v>30</v>
      </c>
    </row>
    <row r="71" spans="1:6" s="1070" customFormat="1" ht="48">
      <c r="A71" s="1119">
        <v>11</v>
      </c>
      <c r="B71" s="3806"/>
      <c r="C71" s="1033" t="s">
        <v>1496</v>
      </c>
      <c r="D71" s="1033" t="s">
        <v>1497</v>
      </c>
      <c r="E71" s="1104">
        <v>0.2</v>
      </c>
      <c r="F71" s="1119">
        <v>30</v>
      </c>
    </row>
    <row r="72" spans="1:6" s="1070" customFormat="1" ht="36">
      <c r="A72" s="1119">
        <v>12</v>
      </c>
      <c r="B72" s="3806"/>
      <c r="C72" s="1033" t="s">
        <v>1498</v>
      </c>
      <c r="D72" s="1033" t="s">
        <v>1499</v>
      </c>
      <c r="E72" s="1104">
        <v>0.5</v>
      </c>
      <c r="F72" s="1119">
        <v>80</v>
      </c>
    </row>
    <row r="73" spans="1:6" s="1070" customFormat="1" ht="24">
      <c r="A73" s="1119">
        <v>13</v>
      </c>
      <c r="B73" s="3806"/>
      <c r="C73" s="1033" t="s">
        <v>1500</v>
      </c>
      <c r="D73" s="1033" t="s">
        <v>1501</v>
      </c>
      <c r="E73" s="1104">
        <v>0.4</v>
      </c>
      <c r="F73" s="1119">
        <v>60</v>
      </c>
    </row>
    <row r="74" spans="1:6" s="1070" customFormat="1" ht="24">
      <c r="A74" s="1119">
        <v>14</v>
      </c>
      <c r="B74" s="3806"/>
      <c r="C74" s="1033" t="s">
        <v>1502</v>
      </c>
      <c r="D74" s="1033" t="s">
        <v>1503</v>
      </c>
      <c r="E74" s="1104">
        <v>0.2</v>
      </c>
      <c r="F74" s="1119">
        <v>30</v>
      </c>
    </row>
    <row r="75" spans="1:6" s="1070" customFormat="1" ht="24">
      <c r="A75" s="1119">
        <v>15</v>
      </c>
      <c r="B75" s="3806"/>
      <c r="C75" s="1033" t="s">
        <v>1504</v>
      </c>
      <c r="D75" s="1033" t="s">
        <v>1505</v>
      </c>
      <c r="E75" s="1104">
        <v>0.2</v>
      </c>
      <c r="F75" s="1119">
        <v>30</v>
      </c>
    </row>
    <row r="76" spans="1:6" s="1070" customFormat="1" ht="24">
      <c r="A76" s="1119">
        <v>16</v>
      </c>
      <c r="B76" s="3806" t="s">
        <v>1506</v>
      </c>
      <c r="C76" s="1033" t="s">
        <v>1507</v>
      </c>
      <c r="D76" s="1033" t="s">
        <v>1508</v>
      </c>
      <c r="E76" s="1104">
        <v>0.5</v>
      </c>
      <c r="F76" s="1119">
        <v>80</v>
      </c>
    </row>
    <row r="77" spans="1:6" s="1070" customFormat="1" ht="24">
      <c r="A77" s="1119">
        <v>17</v>
      </c>
      <c r="B77" s="3806"/>
      <c r="C77" s="1033" t="s">
        <v>1509</v>
      </c>
      <c r="D77" s="1033" t="s">
        <v>1510</v>
      </c>
      <c r="E77" s="1104">
        <v>0.5</v>
      </c>
      <c r="F77" s="1119">
        <v>80</v>
      </c>
    </row>
    <row r="78" spans="1:6" s="1070" customFormat="1" ht="24">
      <c r="A78" s="1119">
        <v>18</v>
      </c>
      <c r="B78" s="3806"/>
      <c r="C78" s="1033" t="s">
        <v>1511</v>
      </c>
      <c r="D78" s="1033" t="s">
        <v>1512</v>
      </c>
      <c r="E78" s="1104">
        <v>0.2</v>
      </c>
      <c r="F78" s="1119">
        <v>30</v>
      </c>
    </row>
    <row r="79" spans="1:6" s="1070" customFormat="1" ht="24">
      <c r="A79" s="1119">
        <v>19</v>
      </c>
      <c r="B79" s="3806"/>
      <c r="C79" s="1033" t="s">
        <v>1513</v>
      </c>
      <c r="D79" s="1033" t="s">
        <v>1514</v>
      </c>
      <c r="E79" s="1104">
        <v>0.5</v>
      </c>
      <c r="F79" s="1119">
        <v>80</v>
      </c>
    </row>
    <row r="80" spans="1:6" s="1070" customFormat="1" ht="36">
      <c r="A80" s="1119">
        <v>20</v>
      </c>
      <c r="B80" s="3806"/>
      <c r="C80" s="1033" t="s">
        <v>1515</v>
      </c>
      <c r="D80" s="1033" t="s">
        <v>1516</v>
      </c>
      <c r="E80" s="1104">
        <v>0.2</v>
      </c>
      <c r="F80" s="1119">
        <v>30</v>
      </c>
    </row>
    <row r="81" spans="1:6" s="1070" customFormat="1" ht="36">
      <c r="A81" s="1119">
        <v>21</v>
      </c>
      <c r="B81" s="3806"/>
      <c r="C81" s="1033" t="s">
        <v>1517</v>
      </c>
      <c r="D81" s="1033" t="s">
        <v>1518</v>
      </c>
      <c r="E81" s="1104">
        <v>0.2</v>
      </c>
      <c r="F81" s="1119">
        <v>30</v>
      </c>
    </row>
    <row r="82" spans="1:6" s="1070" customFormat="1" ht="48">
      <c r="A82" s="1119">
        <v>22</v>
      </c>
      <c r="B82" s="3806"/>
      <c r="C82" s="1033" t="s">
        <v>1519</v>
      </c>
      <c r="D82" s="1033" t="s">
        <v>1520</v>
      </c>
      <c r="E82" s="1104">
        <v>0.2</v>
      </c>
      <c r="F82" s="1119">
        <v>30</v>
      </c>
    </row>
    <row r="83" spans="1:6" s="1070" customFormat="1" ht="48">
      <c r="A83" s="1119">
        <v>23</v>
      </c>
      <c r="B83" s="3806"/>
      <c r="C83" s="1033" t="s">
        <v>1521</v>
      </c>
      <c r="D83" s="1033" t="s">
        <v>1522</v>
      </c>
      <c r="E83" s="1104">
        <v>0.2</v>
      </c>
      <c r="F83" s="1119">
        <v>30</v>
      </c>
    </row>
    <row r="84" spans="1:6" s="1070" customFormat="1" ht="36">
      <c r="A84" s="1119">
        <v>24</v>
      </c>
      <c r="B84" s="3806"/>
      <c r="C84" s="1033" t="s">
        <v>1523</v>
      </c>
      <c r="D84" s="1033" t="s">
        <v>1524</v>
      </c>
      <c r="E84" s="1104">
        <v>0.2</v>
      </c>
      <c r="F84" s="1119">
        <v>30</v>
      </c>
    </row>
    <row r="85" spans="1:6" s="1070" customFormat="1" ht="36">
      <c r="A85" s="1119">
        <v>25</v>
      </c>
      <c r="B85" s="3806"/>
      <c r="C85" s="1033" t="s">
        <v>1525</v>
      </c>
      <c r="D85" s="1033" t="s">
        <v>1526</v>
      </c>
      <c r="E85" s="1104">
        <v>0.5</v>
      </c>
      <c r="F85" s="1119">
        <v>80</v>
      </c>
    </row>
    <row r="86" spans="1:6" s="1070" customFormat="1" ht="36">
      <c r="A86" s="1119">
        <v>26</v>
      </c>
      <c r="B86" s="3806"/>
      <c r="C86" s="1033" t="s">
        <v>1527</v>
      </c>
      <c r="D86" s="1033" t="s">
        <v>1528</v>
      </c>
      <c r="E86" s="1104">
        <v>0.2</v>
      </c>
      <c r="F86" s="1119">
        <v>30</v>
      </c>
    </row>
    <row r="87" spans="1:6" s="1070" customFormat="1" ht="36">
      <c r="A87" s="1119">
        <v>27</v>
      </c>
      <c r="B87" s="3806"/>
      <c r="C87" s="1033" t="s">
        <v>1529</v>
      </c>
      <c r="D87" s="1033" t="s">
        <v>1530</v>
      </c>
      <c r="E87" s="1104">
        <v>0.2</v>
      </c>
      <c r="F87" s="1119">
        <v>30</v>
      </c>
    </row>
    <row r="88" spans="1:6" s="1070" customFormat="1" ht="36">
      <c r="A88" s="1119">
        <v>28</v>
      </c>
      <c r="B88" s="3806"/>
      <c r="C88" s="1033" t="s">
        <v>1531</v>
      </c>
      <c r="D88" s="1033" t="s">
        <v>1532</v>
      </c>
      <c r="E88" s="1104">
        <v>0.2</v>
      </c>
      <c r="F88" s="1119">
        <v>30</v>
      </c>
    </row>
    <row r="89" spans="1:6" s="1070" customFormat="1" ht="24">
      <c r="A89" s="1119">
        <v>29</v>
      </c>
      <c r="B89" s="3806"/>
      <c r="C89" s="1033" t="s">
        <v>1533</v>
      </c>
      <c r="D89" s="1033" t="s">
        <v>1534</v>
      </c>
      <c r="E89" s="1104">
        <v>0.2</v>
      </c>
      <c r="F89" s="1119">
        <v>30</v>
      </c>
    </row>
    <row r="90" spans="1:6" s="1070" customFormat="1" ht="24">
      <c r="A90" s="1119">
        <v>30</v>
      </c>
      <c r="B90" s="3806"/>
      <c r="C90" s="1033" t="s">
        <v>1535</v>
      </c>
      <c r="D90" s="1033" t="s">
        <v>1536</v>
      </c>
      <c r="E90" s="1104">
        <v>0.2</v>
      </c>
      <c r="F90" s="1119">
        <v>30</v>
      </c>
    </row>
    <row r="91" spans="1:6" s="1070" customFormat="1" ht="36">
      <c r="A91" s="1119">
        <v>31</v>
      </c>
      <c r="B91" s="3806"/>
      <c r="C91" s="1033" t="s">
        <v>1537</v>
      </c>
      <c r="D91" s="1033" t="s">
        <v>1538</v>
      </c>
      <c r="E91" s="1104">
        <v>0.2</v>
      </c>
      <c r="F91" s="1119">
        <v>30</v>
      </c>
    </row>
    <row r="92" spans="1:6" s="1070" customFormat="1" ht="24">
      <c r="A92" s="1119">
        <v>32</v>
      </c>
      <c r="B92" s="3806" t="s">
        <v>1539</v>
      </c>
      <c r="C92" s="1119" t="s">
        <v>1540</v>
      </c>
      <c r="D92" s="1033" t="s">
        <v>1541</v>
      </c>
      <c r="E92" s="1104">
        <v>0.2</v>
      </c>
      <c r="F92" s="1119">
        <v>30</v>
      </c>
    </row>
    <row r="93" spans="1:6" s="1070" customFormat="1" ht="36">
      <c r="A93" s="1119">
        <v>33</v>
      </c>
      <c r="B93" s="3806"/>
      <c r="C93" s="1119" t="s">
        <v>1542</v>
      </c>
      <c r="D93" s="1033" t="s">
        <v>1543</v>
      </c>
      <c r="E93" s="1104">
        <v>0.2</v>
      </c>
      <c r="F93" s="1119">
        <v>30</v>
      </c>
    </row>
    <row r="94" spans="1:6" s="1070" customFormat="1" ht="48">
      <c r="A94" s="1119">
        <v>34</v>
      </c>
      <c r="B94" s="3806"/>
      <c r="C94" s="1119" t="s">
        <v>1544</v>
      </c>
      <c r="D94" s="1033" t="s">
        <v>1545</v>
      </c>
      <c r="E94" s="1104">
        <v>0.2</v>
      </c>
      <c r="F94" s="1119">
        <v>30</v>
      </c>
    </row>
    <row r="95" spans="1:6" s="1070" customFormat="1" ht="36">
      <c r="A95" s="1119">
        <v>35</v>
      </c>
      <c r="B95" s="3806"/>
      <c r="C95" s="1119" t="s">
        <v>1546</v>
      </c>
      <c r="D95" s="1033" t="s">
        <v>1547</v>
      </c>
      <c r="E95" s="1104">
        <v>0.2</v>
      </c>
      <c r="F95" s="1119">
        <v>30</v>
      </c>
    </row>
    <row r="96" spans="1:6" s="1070" customFormat="1" ht="48">
      <c r="A96" s="1119">
        <v>36</v>
      </c>
      <c r="B96" s="3806"/>
      <c r="C96" s="1033" t="s">
        <v>1548</v>
      </c>
      <c r="D96" s="1033" t="s">
        <v>1549</v>
      </c>
      <c r="E96" s="1104">
        <v>0.2</v>
      </c>
      <c r="F96" s="1119">
        <v>30</v>
      </c>
    </row>
    <row r="97" spans="1:6" s="1070" customFormat="1" ht="36">
      <c r="A97" s="1119">
        <v>37</v>
      </c>
      <c r="B97" s="3806"/>
      <c r="C97" s="1119" t="s">
        <v>1550</v>
      </c>
      <c r="D97" s="1033" t="s">
        <v>1551</v>
      </c>
      <c r="E97" s="1104">
        <v>0.2</v>
      </c>
      <c r="F97" s="1119">
        <v>30</v>
      </c>
    </row>
    <row r="98" spans="1:6" s="1070" customFormat="1" ht="36">
      <c r="A98" s="1119">
        <v>38</v>
      </c>
      <c r="B98" s="3806"/>
      <c r="C98" s="1119" t="s">
        <v>1552</v>
      </c>
      <c r="D98" s="1033" t="s">
        <v>1553</v>
      </c>
      <c r="E98" s="1104">
        <v>0.2</v>
      </c>
      <c r="F98" s="1119">
        <v>30</v>
      </c>
    </row>
    <row r="99" spans="1:6" s="1070" customFormat="1" ht="36">
      <c r="A99" s="1119">
        <v>39</v>
      </c>
      <c r="B99" s="3806" t="s">
        <v>1554</v>
      </c>
      <c r="C99" s="1119" t="s">
        <v>1555</v>
      </c>
      <c r="D99" s="1033" t="s">
        <v>1556</v>
      </c>
      <c r="E99" s="1104">
        <v>0.3</v>
      </c>
      <c r="F99" s="1119">
        <v>50</v>
      </c>
    </row>
    <row r="100" spans="1:6" s="1070" customFormat="1" ht="24">
      <c r="A100" s="1119">
        <v>40</v>
      </c>
      <c r="B100" s="3806"/>
      <c r="C100" s="1119" t="s">
        <v>1557</v>
      </c>
      <c r="D100" s="1033" t="s">
        <v>1558</v>
      </c>
      <c r="E100" s="1104">
        <v>0.2</v>
      </c>
      <c r="F100" s="1119">
        <v>30</v>
      </c>
    </row>
    <row r="101" spans="1:6" s="1070" customFormat="1" ht="36">
      <c r="A101" s="1119">
        <v>41</v>
      </c>
      <c r="B101" s="3806"/>
      <c r="C101" s="1119" t="s">
        <v>1559</v>
      </c>
      <c r="D101" s="1033" t="s">
        <v>1556</v>
      </c>
      <c r="E101" s="1104">
        <v>0.2</v>
      </c>
      <c r="F101" s="1119">
        <v>30</v>
      </c>
    </row>
    <row r="102" spans="1:6" s="1070" customFormat="1" ht="48">
      <c r="A102" s="1119">
        <v>42</v>
      </c>
      <c r="B102" s="1119" t="s">
        <v>1560</v>
      </c>
      <c r="C102" s="1033" t="s">
        <v>1561</v>
      </c>
      <c r="D102" s="1033" t="s">
        <v>1562</v>
      </c>
      <c r="E102" s="1104">
        <v>0.2</v>
      </c>
      <c r="F102" s="1119">
        <v>30</v>
      </c>
    </row>
    <row r="103" spans="1:6" s="1070" customFormat="1" ht="24">
      <c r="A103" s="1119">
        <v>43</v>
      </c>
      <c r="B103" s="1119" t="s">
        <v>1563</v>
      </c>
      <c r="C103" s="1119" t="s">
        <v>1564</v>
      </c>
      <c r="D103" s="1033" t="s">
        <v>1565</v>
      </c>
      <c r="E103" s="1104">
        <v>0.2</v>
      </c>
      <c r="F103" s="1119">
        <v>30</v>
      </c>
    </row>
    <row r="104" spans="1:6" s="1070" customFormat="1" ht="36">
      <c r="A104" s="1119">
        <v>44</v>
      </c>
      <c r="B104" s="1119" t="s">
        <v>1566</v>
      </c>
      <c r="C104" s="1119" t="s">
        <v>1567</v>
      </c>
      <c r="D104" s="1033" t="s">
        <v>1568</v>
      </c>
      <c r="E104" s="1104">
        <v>0.2</v>
      </c>
      <c r="F104" s="1119">
        <v>30</v>
      </c>
    </row>
    <row r="105" spans="1:6" s="1070" customFormat="1" ht="36">
      <c r="A105" s="1119">
        <v>45</v>
      </c>
      <c r="B105" s="3806" t="s">
        <v>1569</v>
      </c>
      <c r="C105" s="1119" t="s">
        <v>1570</v>
      </c>
      <c r="D105" s="1033" t="s">
        <v>1571</v>
      </c>
      <c r="E105" s="1104">
        <v>0.2</v>
      </c>
      <c r="F105" s="1119">
        <v>30</v>
      </c>
    </row>
    <row r="106" spans="1:6" s="1070" customFormat="1" ht="36">
      <c r="A106" s="1119">
        <v>46</v>
      </c>
      <c r="B106" s="3806"/>
      <c r="C106" s="1119" t="s">
        <v>1572</v>
      </c>
      <c r="D106" s="1033" t="s">
        <v>1573</v>
      </c>
      <c r="E106" s="1104">
        <v>0.2</v>
      </c>
      <c r="F106" s="1119">
        <v>30</v>
      </c>
    </row>
    <row r="107" spans="1:6" s="1070" customFormat="1" ht="36">
      <c r="A107" s="1119">
        <v>47</v>
      </c>
      <c r="B107" s="3806" t="s">
        <v>1574</v>
      </c>
      <c r="C107" s="1119" t="s">
        <v>1575</v>
      </c>
      <c r="D107" s="1033" t="s">
        <v>1576</v>
      </c>
      <c r="E107" s="1104">
        <v>0.3</v>
      </c>
      <c r="F107" s="1119">
        <v>50</v>
      </c>
    </row>
    <row r="108" spans="1:6" s="1070" customFormat="1" ht="36">
      <c r="A108" s="1119">
        <v>48</v>
      </c>
      <c r="B108" s="3806"/>
      <c r="C108" s="1119" t="s">
        <v>1577</v>
      </c>
      <c r="D108" s="1033" t="s">
        <v>1578</v>
      </c>
      <c r="E108" s="1104">
        <v>0.2</v>
      </c>
      <c r="F108" s="1119">
        <v>30</v>
      </c>
    </row>
    <row r="109" spans="1:6" s="1070" customFormat="1" ht="36">
      <c r="A109" s="1119">
        <v>49</v>
      </c>
      <c r="B109" s="1119" t="s">
        <v>1579</v>
      </c>
      <c r="C109" s="1119" t="s">
        <v>1580</v>
      </c>
      <c r="D109" s="1033" t="s">
        <v>1581</v>
      </c>
      <c r="E109" s="1104">
        <v>0.2</v>
      </c>
      <c r="F109" s="1119">
        <v>30</v>
      </c>
    </row>
    <row r="110" spans="1:6" s="1070" customFormat="1" ht="36">
      <c r="A110" s="1119">
        <v>50</v>
      </c>
      <c r="B110" s="1119" t="s">
        <v>1582</v>
      </c>
      <c r="C110" s="1119" t="s">
        <v>1583</v>
      </c>
      <c r="D110" s="1033" t="s">
        <v>1584</v>
      </c>
      <c r="E110" s="1104">
        <v>0.2</v>
      </c>
      <c r="F110" s="1119">
        <v>30</v>
      </c>
    </row>
    <row r="111" spans="1:6" s="1070" customFormat="1" ht="36">
      <c r="A111" s="1119">
        <v>51</v>
      </c>
      <c r="B111" s="3806" t="s">
        <v>1585</v>
      </c>
      <c r="C111" s="1119" t="s">
        <v>1586</v>
      </c>
      <c r="D111" s="1033" t="s">
        <v>1587</v>
      </c>
      <c r="E111" s="1104">
        <v>0.2</v>
      </c>
      <c r="F111" s="1119">
        <v>30</v>
      </c>
    </row>
    <row r="112" spans="1:6" s="1070" customFormat="1" ht="24">
      <c r="A112" s="1119">
        <v>52</v>
      </c>
      <c r="B112" s="3806"/>
      <c r="C112" s="1119" t="s">
        <v>1588</v>
      </c>
      <c r="D112" s="1033" t="s">
        <v>1589</v>
      </c>
      <c r="E112" s="1104">
        <v>0.2</v>
      </c>
      <c r="F112" s="1119">
        <v>30</v>
      </c>
    </row>
    <row r="113" spans="1:14" s="1070" customFormat="1" ht="24">
      <c r="A113" s="1119">
        <v>53</v>
      </c>
      <c r="B113" s="3806"/>
      <c r="C113" s="1119" t="s">
        <v>1590</v>
      </c>
      <c r="D113" s="1033" t="s">
        <v>1591</v>
      </c>
      <c r="E113" s="1104">
        <v>0.2</v>
      </c>
      <c r="F113" s="1119">
        <v>30</v>
      </c>
    </row>
    <row r="114" spans="1:14" ht="36">
      <c r="A114" s="1119">
        <v>54</v>
      </c>
      <c r="B114" s="1119" t="s">
        <v>1592</v>
      </c>
      <c r="C114" s="1119" t="s">
        <v>1593</v>
      </c>
      <c r="D114" s="1033" t="s">
        <v>1594</v>
      </c>
      <c r="E114" s="1104">
        <v>0.2</v>
      </c>
      <c r="F114" s="1119">
        <v>30</v>
      </c>
    </row>
    <row r="115" spans="1:14" ht="24">
      <c r="A115" s="1119">
        <v>55</v>
      </c>
      <c r="B115" s="1119" t="s">
        <v>1595</v>
      </c>
      <c r="C115" s="1119" t="s">
        <v>1596</v>
      </c>
      <c r="D115" s="1033" t="s">
        <v>1597</v>
      </c>
      <c r="E115" s="1104">
        <v>0.2</v>
      </c>
      <c r="F115" s="1119">
        <v>30</v>
      </c>
    </row>
    <row r="116" spans="1:14" ht="24">
      <c r="A116" s="1119">
        <v>56</v>
      </c>
      <c r="B116" s="3806" t="s">
        <v>1598</v>
      </c>
      <c r="C116" s="1119" t="s">
        <v>1599</v>
      </c>
      <c r="D116" s="1033" t="s">
        <v>1600</v>
      </c>
      <c r="E116" s="1104">
        <v>0.2</v>
      </c>
      <c r="F116" s="1119">
        <v>30</v>
      </c>
    </row>
    <row r="117" spans="1:14" ht="36">
      <c r="A117" s="1119">
        <v>57</v>
      </c>
      <c r="B117" s="3806"/>
      <c r="C117" s="1119" t="s">
        <v>1601</v>
      </c>
      <c r="D117" s="1033" t="s">
        <v>1602</v>
      </c>
      <c r="E117" s="1104">
        <v>0.2</v>
      </c>
      <c r="F117" s="1119">
        <v>30</v>
      </c>
    </row>
    <row r="118" spans="1:14" ht="36">
      <c r="A118" s="1119">
        <v>58</v>
      </c>
      <c r="B118" s="1119" t="s">
        <v>1603</v>
      </c>
      <c r="C118" s="1119" t="s">
        <v>1604</v>
      </c>
      <c r="D118" s="1033" t="s">
        <v>1605</v>
      </c>
      <c r="E118" s="1104">
        <v>0.2</v>
      </c>
      <c r="F118" s="1119">
        <v>30</v>
      </c>
    </row>
    <row r="119" spans="1:14" ht="13.5">
      <c r="A119" s="1119"/>
      <c r="B119" s="1119"/>
      <c r="C119" s="1119"/>
      <c r="D119" s="1119"/>
      <c r="E119" s="1104"/>
      <c r="F119" s="1119"/>
    </row>
    <row r="121" spans="1:14" ht="19.5" customHeight="1">
      <c r="A121" s="3805" t="s">
        <v>1607</v>
      </c>
      <c r="B121" s="3805"/>
      <c r="C121" s="3805"/>
      <c r="D121" s="3805"/>
      <c r="E121" s="3805"/>
      <c r="F121" s="3805"/>
      <c r="G121" s="3805"/>
      <c r="H121" s="3805"/>
      <c r="I121" s="3805"/>
      <c r="J121" s="380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17" t="s">
        <v>1013</v>
      </c>
      <c r="B1" s="3817"/>
      <c r="C1" s="3817"/>
      <c r="D1" s="3817"/>
      <c r="E1" s="3817"/>
      <c r="F1" s="3817"/>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818" t="s">
        <v>1026</v>
      </c>
      <c r="B2" s="3818"/>
      <c r="C2" s="3818"/>
      <c r="D2" s="3818"/>
      <c r="E2" s="3818"/>
      <c r="F2" s="3818"/>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819"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820"/>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SUMPRODUCT((B5:B9=基准地价办公!I2)*(C3:F3=基准地价办公!E2)*(C5:F9))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SUMPRODUCT((B10:B28=基准地价办公!I2)*(C3:F3=基准地价办公!E2)*(C10:F28))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SUMPRODUCT((B29:B48=基准地价办公!I2)*(C3:F3=基准地价办公!E2)*(C29:F48))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SUMPRODUCT((B49:B75=基准地价办公!I2)*(C3:F3=基准地价办公!E2)*(C49:F75))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SUMPRODUCT((B76:B109=基准地价办公!I2)*(C3:F3=基准地价办公!E2)*(C76:F109))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SUMPRODUCT((B110:B157=基准地价办公!I2)*(C3:F3=基准地价办公!E2)*(C110:F157))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SUMPRODUCT((B158:B205=基准地价办公!I2)*(C3:F3=基准地价办公!E2)*(C158:F205))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SUMPRODUCT((B206:B244=基准地价办公!I2)*(C3:F3=基准地价办公!E2)*(C206:F244))</f>
        <v>5480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SUMPRODUCT((B245:B289=基准地价办公!I2)*(C3:F3=基准地价办公!E2)*(C245:F289))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SUMPRODUCT((B290:B316=基准地价办公!I2)*(C3:F3=基准地价办公!E2)*(C290:F316))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SUMPRODUCT((B317:B337=基准地价办公!I2)*(C3:F3=基准地价办公!E2)*(C317:F337))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SUMPRODUCT((B338:B344=基准地价办公!I2)*(C3:F3=基准地价办公!E2)*(C338:F344))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2382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2383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G15" sqref="G15"/>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SUMPRODUCT((A105:A204=ROUNDDOWN(基准地价办公!G3,1))*(B104:M104=基准地价办公!G2)*(B105:M204))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821" t="s">
        <v>2044</v>
      </c>
      <c r="B1" s="3821"/>
    </row>
    <row r="2" spans="1:6" ht="14.25" thickBot="1">
      <c r="A2" s="1737"/>
      <c r="B2" s="1737"/>
    </row>
    <row r="3" spans="1:6" ht="14.25" thickBot="1">
      <c r="A3" s="1737"/>
      <c r="B3" s="1737"/>
      <c r="C3" s="1738" t="s">
        <v>2045</v>
      </c>
      <c r="D3" s="1738" t="s">
        <v>2046</v>
      </c>
      <c r="E3" s="1738" t="s">
        <v>2047</v>
      </c>
      <c r="F3" s="1738" t="s">
        <v>2048</v>
      </c>
    </row>
    <row r="4" spans="1:6" ht="14.25" thickBot="1">
      <c r="A4" s="1739" t="s">
        <v>2049</v>
      </c>
      <c r="B4" s="1740" t="s">
        <v>2050</v>
      </c>
      <c r="C4" s="1738"/>
      <c r="D4" s="1738"/>
      <c r="E4" s="1738"/>
      <c r="F4" s="1738"/>
    </row>
    <row r="5" spans="1:6" ht="14.25" thickBot="1">
      <c r="A5" s="1741" t="s">
        <v>2051</v>
      </c>
      <c r="B5" s="1742" t="s">
        <v>2052</v>
      </c>
      <c r="C5" s="1743">
        <v>8.8999999999999996E-2</v>
      </c>
      <c r="D5" s="1743">
        <v>7.3999999999999996E-2</v>
      </c>
      <c r="E5" s="1743">
        <v>7.4999999999999997E-2</v>
      </c>
      <c r="F5" s="1744">
        <v>0.1</v>
      </c>
    </row>
    <row r="6" spans="1:6" ht="14.25" thickBot="1">
      <c r="A6" s="1741" t="s">
        <v>1070</v>
      </c>
      <c r="B6" s="1745" t="s">
        <v>2053</v>
      </c>
      <c r="C6" s="1746">
        <v>0.1</v>
      </c>
      <c r="D6" s="1746">
        <v>9.0999999999999998E-2</v>
      </c>
      <c r="E6" s="1746">
        <v>9.0999999999999998E-2</v>
      </c>
      <c r="F6" s="1747">
        <v>0.1</v>
      </c>
    </row>
    <row r="7" spans="1:6" ht="14.25" thickBot="1">
      <c r="A7" s="1741" t="s">
        <v>1070</v>
      </c>
      <c r="B7" s="1748" t="s">
        <v>1058</v>
      </c>
      <c r="C7" s="1746">
        <v>8.5999999999999993E-2</v>
      </c>
      <c r="D7" s="1746">
        <v>9.6000000000000002E-2</v>
      </c>
      <c r="E7" s="1746">
        <v>7.5999999999999998E-2</v>
      </c>
      <c r="F7" s="1747">
        <v>0.1</v>
      </c>
    </row>
    <row r="8" spans="1:6" ht="14.25" thickBot="1">
      <c r="A8" s="1741" t="s">
        <v>1070</v>
      </c>
      <c r="B8" s="1745" t="s">
        <v>1071</v>
      </c>
      <c r="C8" s="1746">
        <v>9.9000000000000005E-2</v>
      </c>
      <c r="D8" s="1746">
        <v>9.8000000000000004E-2</v>
      </c>
      <c r="E8" s="1746">
        <v>9.8000000000000004E-2</v>
      </c>
      <c r="F8" s="1747">
        <v>0.1</v>
      </c>
    </row>
    <row r="9" spans="1:6" ht="14.25" thickBot="1">
      <c r="A9" s="1749" t="s">
        <v>1070</v>
      </c>
      <c r="B9" s="1750" t="s">
        <v>1085</v>
      </c>
      <c r="C9" s="1751">
        <v>0.05</v>
      </c>
      <c r="D9" s="1752"/>
      <c r="E9" s="1752"/>
      <c r="F9" s="1753"/>
    </row>
    <row r="10" spans="1:6" ht="14.25" thickBot="1">
      <c r="A10" s="1741" t="s">
        <v>1129</v>
      </c>
      <c r="B10" s="1742" t="s">
        <v>2054</v>
      </c>
      <c r="C10" s="1743">
        <v>8.8999999999999996E-2</v>
      </c>
      <c r="D10" s="1743">
        <v>7.2999999999999995E-2</v>
      </c>
      <c r="E10" s="1743">
        <v>8.2000000000000003E-2</v>
      </c>
      <c r="F10" s="1744">
        <v>0.1</v>
      </c>
    </row>
    <row r="11" spans="1:6" ht="14.25" thickBot="1">
      <c r="A11" s="1741" t="s">
        <v>1129</v>
      </c>
      <c r="B11" s="1748" t="s">
        <v>1045</v>
      </c>
      <c r="C11" s="1746">
        <v>8.8999999999999996E-2</v>
      </c>
      <c r="D11" s="1746">
        <v>7.2999999999999995E-2</v>
      </c>
      <c r="E11" s="1746">
        <v>8.2000000000000003E-2</v>
      </c>
      <c r="F11" s="1747">
        <v>0.1</v>
      </c>
    </row>
    <row r="12" spans="1:6" ht="14.25" thickBot="1">
      <c r="A12" s="1741" t="s">
        <v>1129</v>
      </c>
      <c r="B12" s="1748" t="s">
        <v>1059</v>
      </c>
      <c r="C12" s="1746">
        <v>6.0999999999999999E-2</v>
      </c>
      <c r="D12" s="1746">
        <v>7.0999999999999994E-2</v>
      </c>
      <c r="E12" s="1746">
        <v>9.6000000000000002E-2</v>
      </c>
      <c r="F12" s="1747">
        <v>0.1</v>
      </c>
    </row>
    <row r="13" spans="1:6" ht="14.25" thickBot="1">
      <c r="A13" s="1741" t="s">
        <v>1129</v>
      </c>
      <c r="B13" s="1748" t="s">
        <v>1072</v>
      </c>
      <c r="C13" s="1746">
        <v>6.9000000000000006E-2</v>
      </c>
      <c r="D13" s="1746">
        <v>6.5000000000000002E-2</v>
      </c>
      <c r="E13" s="1746">
        <v>6.6000000000000003E-2</v>
      </c>
      <c r="F13" s="1747">
        <v>0.1</v>
      </c>
    </row>
    <row r="14" spans="1:6" ht="14.25" thickBot="1">
      <c r="A14" s="1741" t="s">
        <v>1129</v>
      </c>
      <c r="B14" s="1748" t="s">
        <v>1086</v>
      </c>
      <c r="C14" s="1746">
        <v>0.1</v>
      </c>
      <c r="D14" s="1746">
        <v>6.5000000000000002E-2</v>
      </c>
      <c r="E14" s="1746">
        <v>7.0000000000000007E-2</v>
      </c>
      <c r="F14" s="1747">
        <v>0.1</v>
      </c>
    </row>
    <row r="15" spans="1:6" ht="14.25" thickBot="1">
      <c r="A15" s="1741" t="s">
        <v>1129</v>
      </c>
      <c r="B15" s="1748" t="s">
        <v>1097</v>
      </c>
      <c r="C15" s="1746">
        <v>9.8000000000000004E-2</v>
      </c>
      <c r="D15" s="1746">
        <v>8.8999999999999996E-2</v>
      </c>
      <c r="E15" s="1746">
        <v>8.8999999999999996E-2</v>
      </c>
      <c r="F15" s="1747">
        <v>0.1</v>
      </c>
    </row>
    <row r="16" spans="1:6" ht="14.25" thickBot="1">
      <c r="A16" s="1741" t="s">
        <v>1129</v>
      </c>
      <c r="B16" s="1748" t="s">
        <v>1108</v>
      </c>
      <c r="C16" s="1746">
        <v>7.0000000000000007E-2</v>
      </c>
      <c r="D16" s="1746">
        <v>9.2999999999999999E-2</v>
      </c>
      <c r="E16" s="1746">
        <v>9.6000000000000002E-2</v>
      </c>
      <c r="F16" s="1747">
        <v>0.1</v>
      </c>
    </row>
    <row r="17" spans="1:6" ht="14.25" thickBot="1">
      <c r="A17" s="1741" t="s">
        <v>1129</v>
      </c>
      <c r="B17" s="1748" t="s">
        <v>1119</v>
      </c>
      <c r="C17" s="1746">
        <v>9.5000000000000001E-2</v>
      </c>
      <c r="D17" s="1746">
        <v>0.1</v>
      </c>
      <c r="E17" s="1746">
        <v>0.1</v>
      </c>
      <c r="F17" s="1754"/>
    </row>
    <row r="18" spans="1:6" ht="14.25" thickBot="1">
      <c r="A18" s="1741" t="s">
        <v>1129</v>
      </c>
      <c r="B18" s="1748" t="s">
        <v>1131</v>
      </c>
      <c r="C18" s="1746">
        <v>7.3999999999999996E-2</v>
      </c>
      <c r="D18" s="1746">
        <v>9.9000000000000005E-2</v>
      </c>
      <c r="E18" s="1746">
        <v>0.1</v>
      </c>
      <c r="F18" s="1754"/>
    </row>
    <row r="19" spans="1:6" ht="14.25" thickBot="1">
      <c r="A19" s="1741" t="s">
        <v>1129</v>
      </c>
      <c r="B19" s="1748" t="s">
        <v>1141</v>
      </c>
      <c r="C19" s="1746">
        <v>9.9000000000000005E-2</v>
      </c>
      <c r="D19" s="1746">
        <v>7.5999999999999998E-2</v>
      </c>
      <c r="E19" s="1746">
        <v>8.6999999999999994E-2</v>
      </c>
      <c r="F19" s="1754"/>
    </row>
    <row r="20" spans="1:6" ht="14.25" thickBot="1">
      <c r="A20" s="1741" t="s">
        <v>1129</v>
      </c>
      <c r="B20" s="1748" t="s">
        <v>1151</v>
      </c>
      <c r="C20" s="1746">
        <v>9.8000000000000004E-2</v>
      </c>
      <c r="D20" s="1746">
        <v>8.5000000000000006E-2</v>
      </c>
      <c r="E20" s="1746">
        <v>8.2000000000000003E-2</v>
      </c>
      <c r="F20" s="1754"/>
    </row>
    <row r="21" spans="1:6" ht="14.25" thickBot="1">
      <c r="A21" s="1741" t="s">
        <v>1129</v>
      </c>
      <c r="B21" s="1748" t="s">
        <v>1161</v>
      </c>
      <c r="C21" s="1746">
        <v>6.6000000000000003E-2</v>
      </c>
      <c r="D21" s="1746">
        <v>6.4000000000000001E-2</v>
      </c>
      <c r="E21" s="1746">
        <v>6.5000000000000002E-2</v>
      </c>
      <c r="F21" s="1754"/>
    </row>
    <row r="22" spans="1:6" ht="14.25" thickBot="1">
      <c r="A22" s="1741" t="s">
        <v>1129</v>
      </c>
      <c r="B22" s="1748" t="s">
        <v>2055</v>
      </c>
      <c r="C22" s="1746">
        <v>0.08</v>
      </c>
      <c r="D22" s="1746">
        <v>9.8000000000000004E-2</v>
      </c>
      <c r="E22" s="1746">
        <v>9.8000000000000004E-2</v>
      </c>
      <c r="F22" s="1754"/>
    </row>
    <row r="23" spans="1:6" ht="14.25" thickBot="1">
      <c r="A23" s="1741" t="s">
        <v>1129</v>
      </c>
      <c r="B23" s="1748" t="s">
        <v>1181</v>
      </c>
      <c r="C23" s="1746">
        <v>9.9000000000000005E-2</v>
      </c>
      <c r="D23" s="1746">
        <v>9.8000000000000004E-2</v>
      </c>
      <c r="E23" s="1746">
        <v>9.0999999999999998E-2</v>
      </c>
      <c r="F23" s="1754"/>
    </row>
    <row r="24" spans="1:6" ht="14.25" thickBot="1">
      <c r="A24" s="1741" t="s">
        <v>1129</v>
      </c>
      <c r="B24" s="1748" t="s">
        <v>1191</v>
      </c>
      <c r="C24" s="1746">
        <v>8.8999999999999996E-2</v>
      </c>
      <c r="D24" s="1746">
        <v>9.7000000000000003E-2</v>
      </c>
      <c r="E24" s="1746">
        <v>7.0000000000000007E-2</v>
      </c>
      <c r="F24" s="1754"/>
    </row>
    <row r="25" spans="1:6" ht="14.25" thickBot="1">
      <c r="A25" s="1741" t="s">
        <v>1129</v>
      </c>
      <c r="B25" s="1748" t="s">
        <v>1201</v>
      </c>
      <c r="C25" s="1746">
        <v>8.8999999999999996E-2</v>
      </c>
      <c r="D25" s="1746">
        <v>0.1</v>
      </c>
      <c r="E25" s="1746">
        <v>8.1000000000000003E-2</v>
      </c>
      <c r="F25" s="1754"/>
    </row>
    <row r="26" spans="1:6" ht="14.25" thickBot="1">
      <c r="A26" s="1741" t="s">
        <v>1129</v>
      </c>
      <c r="B26" s="1748" t="s">
        <v>1211</v>
      </c>
      <c r="C26" s="1755"/>
      <c r="D26" s="1746">
        <v>9.6000000000000002E-2</v>
      </c>
      <c r="E26" s="1746">
        <v>9.2999999999999999E-2</v>
      </c>
      <c r="F26" s="1754"/>
    </row>
    <row r="27" spans="1:6" ht="14.25" thickBot="1">
      <c r="A27" s="1741" t="s">
        <v>1129</v>
      </c>
      <c r="B27" s="1748" t="s">
        <v>1221</v>
      </c>
      <c r="C27" s="1755"/>
      <c r="D27" s="1746">
        <v>7.5999999999999998E-2</v>
      </c>
      <c r="E27" s="1746">
        <v>9.1999999999999998E-2</v>
      </c>
      <c r="F27" s="1754"/>
    </row>
    <row r="28" spans="1:6" ht="14.25" thickBot="1">
      <c r="A28" s="1749" t="s">
        <v>1129</v>
      </c>
      <c r="B28" s="1750" t="s">
        <v>1231</v>
      </c>
      <c r="C28" s="1752"/>
      <c r="D28" s="1751">
        <v>7.5999999999999998E-2</v>
      </c>
      <c r="E28" s="1751">
        <v>9.1999999999999998E-2</v>
      </c>
      <c r="F28" s="1753"/>
    </row>
    <row r="29" spans="1:6" ht="14.25" thickBot="1">
      <c r="A29" s="1741" t="s">
        <v>1300</v>
      </c>
      <c r="B29" s="1742" t="s">
        <v>2056</v>
      </c>
      <c r="C29" s="1743">
        <v>6.4000000000000001E-2</v>
      </c>
      <c r="D29" s="1743">
        <v>6.5000000000000002E-2</v>
      </c>
      <c r="E29" s="1743">
        <v>6.9000000000000006E-2</v>
      </c>
      <c r="F29" s="1744">
        <v>0.1</v>
      </c>
    </row>
    <row r="30" spans="1:6" ht="14.25" thickBot="1">
      <c r="A30" s="1741" t="s">
        <v>1300</v>
      </c>
      <c r="B30" s="1748" t="s">
        <v>1046</v>
      </c>
      <c r="C30" s="1746">
        <v>6.4000000000000001E-2</v>
      </c>
      <c r="D30" s="1746">
        <v>9.9000000000000005E-2</v>
      </c>
      <c r="E30" s="1746">
        <v>0.1</v>
      </c>
      <c r="F30" s="1747">
        <v>0.1</v>
      </c>
    </row>
    <row r="31" spans="1:6" ht="14.25" thickBot="1">
      <c r="A31" s="1741" t="s">
        <v>1300</v>
      </c>
      <c r="B31" s="1748" t="s">
        <v>1060</v>
      </c>
      <c r="C31" s="1746">
        <v>0.1</v>
      </c>
      <c r="D31" s="1746">
        <v>9.5000000000000001E-2</v>
      </c>
      <c r="E31" s="1746">
        <v>8.8999999999999996E-2</v>
      </c>
      <c r="F31" s="1747">
        <v>0.1</v>
      </c>
    </row>
    <row r="32" spans="1:6" ht="14.25" thickBot="1">
      <c r="A32" s="1741" t="s">
        <v>1300</v>
      </c>
      <c r="B32" s="1748" t="s">
        <v>1073</v>
      </c>
      <c r="C32" s="1746">
        <v>0.05</v>
      </c>
      <c r="D32" s="1746">
        <v>0.05</v>
      </c>
      <c r="E32" s="1746">
        <v>8.7999999999999995E-2</v>
      </c>
      <c r="F32" s="1747">
        <v>0.1</v>
      </c>
    </row>
    <row r="33" spans="1:6" ht="14.25" thickBot="1">
      <c r="A33" s="1741" t="s">
        <v>1300</v>
      </c>
      <c r="B33" s="1748" t="s">
        <v>1087</v>
      </c>
      <c r="C33" s="1746">
        <v>7.4999999999999997E-2</v>
      </c>
      <c r="D33" s="1746">
        <v>9.4E-2</v>
      </c>
      <c r="E33" s="1746">
        <v>9.7000000000000003E-2</v>
      </c>
      <c r="F33" s="1747">
        <v>0.1</v>
      </c>
    </row>
    <row r="34" spans="1:6" ht="14.25" thickBot="1">
      <c r="A34" s="1741" t="s">
        <v>1300</v>
      </c>
      <c r="B34" s="1748" t="s">
        <v>1098</v>
      </c>
      <c r="C34" s="1746">
        <v>9.8000000000000004E-2</v>
      </c>
      <c r="D34" s="1746">
        <v>8.5999999999999993E-2</v>
      </c>
      <c r="E34" s="1746">
        <v>9.7000000000000003E-2</v>
      </c>
      <c r="F34" s="1747">
        <v>0.1</v>
      </c>
    </row>
    <row r="35" spans="1:6" ht="14.25" thickBot="1">
      <c r="A35" s="1741" t="s">
        <v>1300</v>
      </c>
      <c r="B35" s="1748" t="s">
        <v>1109</v>
      </c>
      <c r="C35" s="1746">
        <v>5.8999999999999997E-2</v>
      </c>
      <c r="D35" s="1746">
        <v>6.5000000000000002E-2</v>
      </c>
      <c r="E35" s="1746">
        <v>7.0000000000000007E-2</v>
      </c>
      <c r="F35" s="1747">
        <v>0.1</v>
      </c>
    </row>
    <row r="36" spans="1:6" ht="14.25" thickBot="1">
      <c r="A36" s="1741" t="s">
        <v>1300</v>
      </c>
      <c r="B36" s="1748" t="s">
        <v>1120</v>
      </c>
      <c r="C36" s="1746">
        <v>6.3E-2</v>
      </c>
      <c r="D36" s="1746">
        <v>0.1</v>
      </c>
      <c r="E36" s="1746">
        <v>0.1</v>
      </c>
      <c r="F36" s="1747">
        <v>0.1</v>
      </c>
    </row>
    <row r="37" spans="1:6" ht="14.25" thickBot="1">
      <c r="A37" s="1741" t="s">
        <v>1300</v>
      </c>
      <c r="B37" s="1748" t="s">
        <v>1132</v>
      </c>
      <c r="C37" s="1746">
        <v>7.3999999999999996E-2</v>
      </c>
      <c r="D37" s="1746">
        <v>0.1</v>
      </c>
      <c r="E37" s="1746">
        <v>0.1</v>
      </c>
      <c r="F37" s="1747">
        <v>0.1</v>
      </c>
    </row>
    <row r="38" spans="1:6" ht="14.25" thickBot="1">
      <c r="A38" s="1741" t="s">
        <v>1300</v>
      </c>
      <c r="B38" s="1748" t="s">
        <v>1142</v>
      </c>
      <c r="C38" s="1746">
        <v>0.1</v>
      </c>
      <c r="D38" s="1746">
        <v>9.6000000000000002E-2</v>
      </c>
      <c r="E38" s="1746">
        <v>9.6000000000000002E-2</v>
      </c>
      <c r="F38" s="1754"/>
    </row>
    <row r="39" spans="1:6" ht="14.25" thickBot="1">
      <c r="A39" s="1741" t="s">
        <v>1300</v>
      </c>
      <c r="B39" s="1748" t="s">
        <v>1152</v>
      </c>
      <c r="C39" s="1746">
        <v>0.1</v>
      </c>
      <c r="D39" s="1746">
        <v>9.6000000000000002E-2</v>
      </c>
      <c r="E39" s="1746">
        <v>9.6000000000000002E-2</v>
      </c>
      <c r="F39" s="1754"/>
    </row>
    <row r="40" spans="1:6" ht="14.25" thickBot="1">
      <c r="A40" s="1741" t="s">
        <v>1300</v>
      </c>
      <c r="B40" s="1748" t="s">
        <v>1162</v>
      </c>
      <c r="C40" s="1746">
        <v>9.6000000000000002E-2</v>
      </c>
      <c r="D40" s="1746">
        <v>0.1</v>
      </c>
      <c r="E40" s="1746">
        <v>9.9000000000000005E-2</v>
      </c>
      <c r="F40" s="1754"/>
    </row>
    <row r="41" spans="1:6" ht="14.25" thickBot="1">
      <c r="A41" s="1741" t="s">
        <v>1300</v>
      </c>
      <c r="B41" s="1748" t="s">
        <v>1172</v>
      </c>
      <c r="C41" s="1746">
        <v>9.6000000000000002E-2</v>
      </c>
      <c r="D41" s="1746">
        <v>9.8000000000000004E-2</v>
      </c>
      <c r="E41" s="1746">
        <v>9.8000000000000004E-2</v>
      </c>
      <c r="F41" s="1754"/>
    </row>
    <row r="42" spans="1:6" ht="14.25" thickBot="1">
      <c r="A42" s="1741" t="s">
        <v>1300</v>
      </c>
      <c r="B42" s="1748" t="s">
        <v>1182</v>
      </c>
      <c r="C42" s="1746">
        <v>0.1</v>
      </c>
      <c r="D42" s="1746">
        <v>8.7999999999999995E-2</v>
      </c>
      <c r="E42" s="1746">
        <v>0.1</v>
      </c>
      <c r="F42" s="1754"/>
    </row>
    <row r="43" spans="1:6" ht="14.25" thickBot="1">
      <c r="A43" s="1741" t="s">
        <v>1300</v>
      </c>
      <c r="B43" s="1748" t="s">
        <v>1192</v>
      </c>
      <c r="C43" s="1746">
        <v>9.8000000000000004E-2</v>
      </c>
      <c r="D43" s="1746">
        <v>9.7000000000000003E-2</v>
      </c>
      <c r="E43" s="1746">
        <v>9.6000000000000002E-2</v>
      </c>
      <c r="F43" s="1754"/>
    </row>
    <row r="44" spans="1:6" ht="14.25" thickBot="1">
      <c r="A44" s="1741" t="s">
        <v>1300</v>
      </c>
      <c r="B44" s="1748" t="s">
        <v>1202</v>
      </c>
      <c r="C44" s="1746">
        <v>8.5999999999999993E-2</v>
      </c>
      <c r="D44" s="1746">
        <v>7.9000000000000001E-2</v>
      </c>
      <c r="E44" s="1746">
        <v>7.0999999999999994E-2</v>
      </c>
      <c r="F44" s="1754"/>
    </row>
    <row r="45" spans="1:6" ht="14.25" thickBot="1">
      <c r="A45" s="1741" t="s">
        <v>1300</v>
      </c>
      <c r="B45" s="1748" t="s">
        <v>1212</v>
      </c>
      <c r="C45" s="1746">
        <v>9.8000000000000004E-2</v>
      </c>
      <c r="D45" s="1746">
        <v>9.6000000000000002E-2</v>
      </c>
      <c r="E45" s="1746">
        <v>9.6000000000000002E-2</v>
      </c>
      <c r="F45" s="1754"/>
    </row>
    <row r="46" spans="1:6" ht="14.25" thickBot="1">
      <c r="A46" s="1741" t="s">
        <v>1300</v>
      </c>
      <c r="B46" s="1748" t="s">
        <v>1222</v>
      </c>
      <c r="C46" s="1746">
        <v>8.5999999999999993E-2</v>
      </c>
      <c r="D46" s="1746">
        <v>9.8000000000000004E-2</v>
      </c>
      <c r="E46" s="1746">
        <v>8.7999999999999995E-2</v>
      </c>
      <c r="F46" s="1754"/>
    </row>
    <row r="47" spans="1:6" ht="14.25" thickBot="1">
      <c r="A47" s="1741" t="s">
        <v>1300</v>
      </c>
      <c r="B47" s="1748" t="s">
        <v>1232</v>
      </c>
      <c r="C47" s="1746">
        <v>9.6000000000000002E-2</v>
      </c>
      <c r="D47" s="1755"/>
      <c r="E47" s="1746">
        <v>6.9000000000000006E-2</v>
      </c>
      <c r="F47" s="1754"/>
    </row>
    <row r="48" spans="1:6" ht="14.25" thickBot="1">
      <c r="A48" s="1749" t="s">
        <v>1300</v>
      </c>
      <c r="B48" s="1750" t="s">
        <v>1241</v>
      </c>
      <c r="C48" s="1751">
        <v>9.8000000000000004E-2</v>
      </c>
      <c r="D48" s="1752"/>
      <c r="E48" s="1751">
        <v>9.5000000000000001E-2</v>
      </c>
      <c r="F48" s="1753"/>
    </row>
    <row r="49" spans="1:6" ht="14.25" thickBot="1">
      <c r="A49" s="1741" t="s">
        <v>899</v>
      </c>
      <c r="B49" s="1742" t="s">
        <v>2057</v>
      </c>
      <c r="C49" s="1743">
        <v>9.7000000000000003E-2</v>
      </c>
      <c r="D49" s="1743">
        <v>9.5000000000000001E-2</v>
      </c>
      <c r="E49" s="1743">
        <v>9.7000000000000003E-2</v>
      </c>
      <c r="F49" s="1744">
        <v>0.1</v>
      </c>
    </row>
    <row r="50" spans="1:6" ht="14.25" thickBot="1">
      <c r="A50" s="1741" t="s">
        <v>899</v>
      </c>
      <c r="B50" s="1745" t="s">
        <v>1047</v>
      </c>
      <c r="C50" s="1746">
        <v>7.4999999999999997E-2</v>
      </c>
      <c r="D50" s="1746">
        <v>9.5000000000000001E-2</v>
      </c>
      <c r="E50" s="1746">
        <v>0.1</v>
      </c>
      <c r="F50" s="1747">
        <v>0.1</v>
      </c>
    </row>
    <row r="51" spans="1:6" ht="14.25" thickBot="1">
      <c r="A51" s="1741" t="s">
        <v>899</v>
      </c>
      <c r="B51" s="1745" t="s">
        <v>1061</v>
      </c>
      <c r="C51" s="1746">
        <v>9.8000000000000004E-2</v>
      </c>
      <c r="D51" s="1746">
        <v>8.8999999999999996E-2</v>
      </c>
      <c r="E51" s="1746">
        <v>0.1</v>
      </c>
      <c r="F51" s="1747">
        <v>0.1</v>
      </c>
    </row>
    <row r="52" spans="1:6" ht="14.25" thickBot="1">
      <c r="A52" s="1741" t="s">
        <v>899</v>
      </c>
      <c r="B52" s="1745" t="s">
        <v>1074</v>
      </c>
      <c r="C52" s="1746">
        <v>9.8000000000000004E-2</v>
      </c>
      <c r="D52" s="1746">
        <v>9.7000000000000003E-2</v>
      </c>
      <c r="E52" s="1746">
        <v>8.1000000000000003E-2</v>
      </c>
      <c r="F52" s="1747">
        <v>0.1</v>
      </c>
    </row>
    <row r="53" spans="1:6" ht="14.25" thickBot="1">
      <c r="A53" s="1741" t="s">
        <v>899</v>
      </c>
      <c r="B53" s="1745" t="s">
        <v>1088</v>
      </c>
      <c r="C53" s="1746">
        <v>9.7000000000000003E-2</v>
      </c>
      <c r="D53" s="1746">
        <v>7.5999999999999998E-2</v>
      </c>
      <c r="E53" s="1746">
        <v>7.0999999999999994E-2</v>
      </c>
      <c r="F53" s="1747">
        <v>0.1</v>
      </c>
    </row>
    <row r="54" spans="1:6" ht="14.25" thickBot="1">
      <c r="A54" s="1741" t="s">
        <v>899</v>
      </c>
      <c r="B54" s="1745" t="s">
        <v>1099</v>
      </c>
      <c r="C54" s="1746">
        <v>7.5999999999999998E-2</v>
      </c>
      <c r="D54" s="1746">
        <v>0.1</v>
      </c>
      <c r="E54" s="1746">
        <v>9.9000000000000005E-2</v>
      </c>
      <c r="F54" s="1747">
        <v>0.1</v>
      </c>
    </row>
    <row r="55" spans="1:6" ht="14.25" thickBot="1">
      <c r="A55" s="1741" t="s">
        <v>899</v>
      </c>
      <c r="B55" s="1745" t="s">
        <v>1110</v>
      </c>
      <c r="C55" s="1746">
        <v>0.1</v>
      </c>
      <c r="D55" s="1746">
        <v>0.1</v>
      </c>
      <c r="E55" s="1746">
        <v>9.6000000000000002E-2</v>
      </c>
      <c r="F55" s="1747">
        <v>0.1</v>
      </c>
    </row>
    <row r="56" spans="1:6" ht="14.25" thickBot="1">
      <c r="A56" s="1741" t="s">
        <v>899</v>
      </c>
      <c r="B56" s="1745" t="s">
        <v>1121</v>
      </c>
      <c r="C56" s="1746">
        <v>0.1</v>
      </c>
      <c r="D56" s="1746">
        <v>9.6000000000000002E-2</v>
      </c>
      <c r="E56" s="1746">
        <v>5.1999999999999998E-2</v>
      </c>
      <c r="F56" s="1747">
        <v>0.1</v>
      </c>
    </row>
    <row r="57" spans="1:6" ht="14.25" thickBot="1">
      <c r="A57" s="1741" t="s">
        <v>899</v>
      </c>
      <c r="B57" s="1745" t="s">
        <v>1133</v>
      </c>
      <c r="C57" s="1746">
        <v>9.7000000000000003E-2</v>
      </c>
      <c r="D57" s="1746">
        <v>9.6000000000000002E-2</v>
      </c>
      <c r="E57" s="1746">
        <v>9.6000000000000002E-2</v>
      </c>
      <c r="F57" s="1747">
        <v>0.1</v>
      </c>
    </row>
    <row r="58" spans="1:6" ht="14.25" thickBot="1">
      <c r="A58" s="1741" t="s">
        <v>899</v>
      </c>
      <c r="B58" s="1745" t="s">
        <v>1143</v>
      </c>
      <c r="C58" s="1746">
        <v>9.6000000000000002E-2</v>
      </c>
      <c r="D58" s="1746">
        <v>9.9000000000000005E-2</v>
      </c>
      <c r="E58" s="1746">
        <v>9.6000000000000002E-2</v>
      </c>
      <c r="F58" s="1747">
        <v>0.1</v>
      </c>
    </row>
    <row r="59" spans="1:6" ht="14.25" thickBot="1">
      <c r="A59" s="1741" t="s">
        <v>899</v>
      </c>
      <c r="B59" s="1745" t="s">
        <v>1153</v>
      </c>
      <c r="C59" s="1746">
        <v>7.1999999999999995E-2</v>
      </c>
      <c r="D59" s="1746">
        <v>9.6000000000000002E-2</v>
      </c>
      <c r="E59" s="1746">
        <v>7.0999999999999994E-2</v>
      </c>
      <c r="F59" s="1747">
        <v>0.1</v>
      </c>
    </row>
    <row r="60" spans="1:6" ht="14.25" thickBot="1">
      <c r="A60" s="1741" t="s">
        <v>899</v>
      </c>
      <c r="B60" s="1745" t="s">
        <v>1163</v>
      </c>
      <c r="C60" s="1746">
        <v>9.6000000000000002E-2</v>
      </c>
      <c r="D60" s="1746">
        <v>8.8999999999999996E-2</v>
      </c>
      <c r="E60" s="1746">
        <v>9.6000000000000002E-2</v>
      </c>
      <c r="F60" s="1747">
        <v>0.1</v>
      </c>
    </row>
    <row r="61" spans="1:6" ht="14.25" thickBot="1">
      <c r="A61" s="1741" t="s">
        <v>899</v>
      </c>
      <c r="B61" s="1745" t="s">
        <v>1173</v>
      </c>
      <c r="C61" s="1746">
        <v>8.8999999999999996E-2</v>
      </c>
      <c r="D61" s="1746">
        <v>9.8000000000000004E-2</v>
      </c>
      <c r="E61" s="1746">
        <v>8.7999999999999995E-2</v>
      </c>
      <c r="F61" s="1754"/>
    </row>
    <row r="62" spans="1:6" ht="14.25" thickBot="1">
      <c r="A62" s="1741" t="s">
        <v>899</v>
      </c>
      <c r="B62" s="1745" t="s">
        <v>1183</v>
      </c>
      <c r="C62" s="1746">
        <v>9.8000000000000004E-2</v>
      </c>
      <c r="D62" s="1746">
        <v>9.2999999999999999E-2</v>
      </c>
      <c r="E62" s="1746">
        <v>9.7000000000000003E-2</v>
      </c>
      <c r="F62" s="1754"/>
    </row>
    <row r="63" spans="1:6" ht="14.25" thickBot="1">
      <c r="A63" s="1741" t="s">
        <v>899</v>
      </c>
      <c r="B63" s="1745" t="s">
        <v>1193</v>
      </c>
      <c r="C63" s="1746">
        <v>9.6000000000000002E-2</v>
      </c>
      <c r="D63" s="1746">
        <v>9.8000000000000004E-2</v>
      </c>
      <c r="E63" s="1746">
        <v>0.09</v>
      </c>
      <c r="F63" s="1754"/>
    </row>
    <row r="64" spans="1:6" ht="14.25" thickBot="1">
      <c r="A64" s="1741" t="s">
        <v>899</v>
      </c>
      <c r="B64" s="1745" t="s">
        <v>1203</v>
      </c>
      <c r="C64" s="1746">
        <v>9.9000000000000005E-2</v>
      </c>
      <c r="D64" s="1746">
        <v>9.7000000000000003E-2</v>
      </c>
      <c r="E64" s="1746">
        <v>9.9000000000000005E-2</v>
      </c>
      <c r="F64" s="1754"/>
    </row>
    <row r="65" spans="1:6" ht="14.25" thickBot="1">
      <c r="A65" s="1741" t="s">
        <v>899</v>
      </c>
      <c r="B65" s="1745" t="s">
        <v>1213</v>
      </c>
      <c r="C65" s="1746">
        <v>9.8000000000000004E-2</v>
      </c>
      <c r="D65" s="1746">
        <v>9.6000000000000002E-2</v>
      </c>
      <c r="E65" s="1746">
        <v>9.6000000000000002E-2</v>
      </c>
      <c r="F65" s="1754"/>
    </row>
    <row r="66" spans="1:6" ht="14.25" thickBot="1">
      <c r="A66" s="1741" t="s">
        <v>899</v>
      </c>
      <c r="B66" s="1745" t="s">
        <v>1223</v>
      </c>
      <c r="C66" s="1746">
        <v>9.6000000000000002E-2</v>
      </c>
      <c r="D66" s="1746">
        <v>9.1999999999999998E-2</v>
      </c>
      <c r="E66" s="1746">
        <v>9.6000000000000002E-2</v>
      </c>
      <c r="F66" s="1754"/>
    </row>
    <row r="67" spans="1:6" ht="14.25" thickBot="1">
      <c r="A67" s="1741" t="s">
        <v>899</v>
      </c>
      <c r="B67" s="1745" t="s">
        <v>1233</v>
      </c>
      <c r="C67" s="1746">
        <v>9.4E-2</v>
      </c>
      <c r="D67" s="1746">
        <v>0.1</v>
      </c>
      <c r="E67" s="1746">
        <v>8.7999999999999995E-2</v>
      </c>
      <c r="F67" s="1754"/>
    </row>
    <row r="68" spans="1:6" ht="14.25" thickBot="1">
      <c r="A68" s="1741" t="s">
        <v>899</v>
      </c>
      <c r="B68" s="1745" t="s">
        <v>1242</v>
      </c>
      <c r="C68" s="1746">
        <v>0.1</v>
      </c>
      <c r="D68" s="1746">
        <v>8.7999999999999995E-2</v>
      </c>
      <c r="E68" s="1746">
        <v>9.7000000000000003E-2</v>
      </c>
      <c r="F68" s="1754"/>
    </row>
    <row r="69" spans="1:6" ht="14.25" thickBot="1">
      <c r="A69" s="1741" t="s">
        <v>899</v>
      </c>
      <c r="B69" s="1745" t="s">
        <v>1251</v>
      </c>
      <c r="C69" s="1746">
        <v>6.4000000000000001E-2</v>
      </c>
      <c r="D69" s="1746">
        <v>0.1</v>
      </c>
      <c r="E69" s="1746">
        <v>0.1</v>
      </c>
      <c r="F69" s="1754"/>
    </row>
    <row r="70" spans="1:6" ht="14.25" thickBot="1">
      <c r="A70" s="1741" t="s">
        <v>899</v>
      </c>
      <c r="B70" s="1745" t="s">
        <v>1259</v>
      </c>
      <c r="C70" s="1746">
        <v>9.0999999999999998E-2</v>
      </c>
      <c r="D70" s="1755"/>
      <c r="E70" s="1755"/>
      <c r="F70" s="1754"/>
    </row>
    <row r="71" spans="1:6" ht="14.25" thickBot="1">
      <c r="A71" s="1741" t="s">
        <v>899</v>
      </c>
      <c r="B71" s="1745" t="s">
        <v>1266</v>
      </c>
      <c r="C71" s="1746">
        <v>0.1</v>
      </c>
      <c r="D71" s="1755"/>
      <c r="E71" s="1755"/>
      <c r="F71" s="1754"/>
    </row>
    <row r="72" spans="1:6" ht="14.25" thickBot="1">
      <c r="A72" s="1741" t="s">
        <v>899</v>
      </c>
      <c r="B72" s="1745" t="s">
        <v>2058</v>
      </c>
      <c r="C72" s="1755"/>
      <c r="D72" s="1755"/>
      <c r="E72" s="1755"/>
      <c r="F72" s="1747">
        <v>0.05</v>
      </c>
    </row>
    <row r="73" spans="1:6" ht="14.25" thickBot="1">
      <c r="A73" s="1741" t="s">
        <v>899</v>
      </c>
      <c r="B73" s="1745" t="s">
        <v>2059</v>
      </c>
      <c r="C73" s="1755"/>
      <c r="D73" s="1755"/>
      <c r="E73" s="1755"/>
      <c r="F73" s="1747">
        <v>0.05</v>
      </c>
    </row>
    <row r="74" spans="1:6" ht="14.25" thickBot="1">
      <c r="A74" s="1741" t="s">
        <v>899</v>
      </c>
      <c r="B74" s="1745" t="s">
        <v>2060</v>
      </c>
      <c r="C74" s="1755"/>
      <c r="D74" s="1755"/>
      <c r="E74" s="1755"/>
      <c r="F74" s="1747">
        <v>0.05</v>
      </c>
    </row>
    <row r="75" spans="1:6" ht="14.25" thickBot="1">
      <c r="A75" s="1749" t="s">
        <v>899</v>
      </c>
      <c r="B75" s="1756" t="s">
        <v>2061</v>
      </c>
      <c r="C75" s="1752"/>
      <c r="D75" s="1752"/>
      <c r="E75" s="1752"/>
      <c r="F75" s="1757">
        <v>0.05</v>
      </c>
    </row>
    <row r="76" spans="1:6" ht="14.25" thickBot="1">
      <c r="A76" s="1741" t="s">
        <v>1381</v>
      </c>
      <c r="B76" s="1742" t="s">
        <v>2062</v>
      </c>
      <c r="C76" s="1743">
        <v>0.1</v>
      </c>
      <c r="D76" s="1743">
        <v>0.1</v>
      </c>
      <c r="E76" s="1743">
        <v>0.1</v>
      </c>
      <c r="F76" s="1744">
        <v>0.1</v>
      </c>
    </row>
    <row r="77" spans="1:6" ht="14.25" thickBot="1">
      <c r="A77" s="1741" t="s">
        <v>1381</v>
      </c>
      <c r="B77" s="1745" t="s">
        <v>1048</v>
      </c>
      <c r="C77" s="1746">
        <v>8.7999999999999995E-2</v>
      </c>
      <c r="D77" s="1746">
        <v>8.6999999999999994E-2</v>
      </c>
      <c r="E77" s="1746">
        <v>7.9000000000000001E-2</v>
      </c>
      <c r="F77" s="1747">
        <v>0.1</v>
      </c>
    </row>
    <row r="78" spans="1:6" ht="14.25" thickBot="1">
      <c r="A78" s="1741" t="s">
        <v>1381</v>
      </c>
      <c r="B78" s="1745" t="s">
        <v>1062</v>
      </c>
      <c r="C78" s="1746">
        <v>8.6999999999999994E-2</v>
      </c>
      <c r="D78" s="1746">
        <v>8.4000000000000005E-2</v>
      </c>
      <c r="E78" s="1746">
        <v>9.6000000000000002E-2</v>
      </c>
      <c r="F78" s="1747">
        <v>0.1</v>
      </c>
    </row>
    <row r="79" spans="1:6" ht="14.25" thickBot="1">
      <c r="A79" s="1741" t="s">
        <v>1381</v>
      </c>
      <c r="B79" s="1745" t="s">
        <v>1075</v>
      </c>
      <c r="C79" s="1746">
        <v>9.8000000000000004E-2</v>
      </c>
      <c r="D79" s="1746">
        <v>9.8000000000000004E-2</v>
      </c>
      <c r="E79" s="1746">
        <v>9.0999999999999998E-2</v>
      </c>
      <c r="F79" s="1747">
        <v>0.1</v>
      </c>
    </row>
    <row r="80" spans="1:6" ht="14.25" thickBot="1">
      <c r="A80" s="1741" t="s">
        <v>1381</v>
      </c>
      <c r="B80" s="1745" t="s">
        <v>1089</v>
      </c>
      <c r="C80" s="1746">
        <v>9.6000000000000002E-2</v>
      </c>
      <c r="D80" s="1746">
        <v>9.6000000000000002E-2</v>
      </c>
      <c r="E80" s="1746">
        <v>0.1</v>
      </c>
      <c r="F80" s="1747">
        <v>0.1</v>
      </c>
    </row>
    <row r="81" spans="1:6" ht="14.25" thickBot="1">
      <c r="A81" s="1741" t="s">
        <v>1381</v>
      </c>
      <c r="B81" s="1745" t="s">
        <v>1100</v>
      </c>
      <c r="C81" s="1746">
        <v>9.9000000000000005E-2</v>
      </c>
      <c r="D81" s="1746">
        <v>9.9000000000000005E-2</v>
      </c>
      <c r="E81" s="1746">
        <v>9.8000000000000004E-2</v>
      </c>
      <c r="F81" s="1747">
        <v>0.1</v>
      </c>
    </row>
    <row r="82" spans="1:6" ht="14.25" thickBot="1">
      <c r="A82" s="1741" t="s">
        <v>1381</v>
      </c>
      <c r="B82" s="1745" t="s">
        <v>1111</v>
      </c>
      <c r="C82" s="1746">
        <v>9.9000000000000005E-2</v>
      </c>
      <c r="D82" s="1746">
        <v>9.9000000000000005E-2</v>
      </c>
      <c r="E82" s="1746">
        <v>9.7000000000000003E-2</v>
      </c>
      <c r="F82" s="1747">
        <v>0.1</v>
      </c>
    </row>
    <row r="83" spans="1:6" ht="14.25" thickBot="1">
      <c r="A83" s="1741" t="s">
        <v>1381</v>
      </c>
      <c r="B83" s="1745" t="s">
        <v>1122</v>
      </c>
      <c r="C83" s="1746">
        <v>9.8000000000000004E-2</v>
      </c>
      <c r="D83" s="1746">
        <v>9.8000000000000004E-2</v>
      </c>
      <c r="E83" s="1746">
        <v>9.8000000000000004E-2</v>
      </c>
      <c r="F83" s="1747">
        <v>0.1</v>
      </c>
    </row>
    <row r="84" spans="1:6" ht="14.25" thickBot="1">
      <c r="A84" s="1741" t="s">
        <v>1381</v>
      </c>
      <c r="B84" s="1745" t="s">
        <v>1134</v>
      </c>
      <c r="C84" s="1746">
        <v>9.9000000000000005E-2</v>
      </c>
      <c r="D84" s="1746">
        <v>9.9000000000000005E-2</v>
      </c>
      <c r="E84" s="1746">
        <v>9.9000000000000005E-2</v>
      </c>
      <c r="F84" s="1747">
        <v>0.1</v>
      </c>
    </row>
    <row r="85" spans="1:6" ht="14.25" thickBot="1">
      <c r="A85" s="1741" t="s">
        <v>1381</v>
      </c>
      <c r="B85" s="1745" t="s">
        <v>1144</v>
      </c>
      <c r="C85" s="1746">
        <v>9.9000000000000005E-2</v>
      </c>
      <c r="D85" s="1746">
        <v>9.9000000000000005E-2</v>
      </c>
      <c r="E85" s="1746">
        <v>9.9000000000000005E-2</v>
      </c>
      <c r="F85" s="1747">
        <v>0.1</v>
      </c>
    </row>
    <row r="86" spans="1:6" ht="14.25" thickBot="1">
      <c r="A86" s="1741" t="s">
        <v>1381</v>
      </c>
      <c r="B86" s="1745" t="s">
        <v>1154</v>
      </c>
      <c r="C86" s="1746">
        <v>0.1</v>
      </c>
      <c r="D86" s="1746">
        <v>0.1</v>
      </c>
      <c r="E86" s="1746">
        <v>7.6999999999999999E-2</v>
      </c>
      <c r="F86" s="1747">
        <v>0.1</v>
      </c>
    </row>
    <row r="87" spans="1:6" ht="14.25" thickBot="1">
      <c r="A87" s="1741" t="s">
        <v>1381</v>
      </c>
      <c r="B87" s="1745" t="s">
        <v>1164</v>
      </c>
      <c r="C87" s="1746">
        <v>0.1</v>
      </c>
      <c r="D87" s="1746">
        <v>0.1</v>
      </c>
      <c r="E87" s="1746">
        <v>9.8000000000000004E-2</v>
      </c>
      <c r="F87" s="1754"/>
    </row>
    <row r="88" spans="1:6" ht="14.25" thickBot="1">
      <c r="A88" s="1741" t="s">
        <v>1381</v>
      </c>
      <c r="B88" s="1745" t="s">
        <v>1174</v>
      </c>
      <c r="C88" s="1746">
        <v>9.1999999999999998E-2</v>
      </c>
      <c r="D88" s="1746">
        <v>8.5000000000000006E-2</v>
      </c>
      <c r="E88" s="1746">
        <v>9.6000000000000002E-2</v>
      </c>
      <c r="F88" s="1754"/>
    </row>
    <row r="89" spans="1:6" ht="14.25" thickBot="1">
      <c r="A89" s="1741" t="s">
        <v>1381</v>
      </c>
      <c r="B89" s="1745" t="s">
        <v>1184</v>
      </c>
      <c r="C89" s="1746">
        <v>0.1</v>
      </c>
      <c r="D89" s="1746">
        <v>0.1</v>
      </c>
      <c r="E89" s="1746">
        <v>9.7000000000000003E-2</v>
      </c>
      <c r="F89" s="1754"/>
    </row>
    <row r="90" spans="1:6" ht="14.25" thickBot="1">
      <c r="A90" s="1741" t="s">
        <v>1381</v>
      </c>
      <c r="B90" s="1745" t="s">
        <v>1194</v>
      </c>
      <c r="C90" s="1746">
        <v>9.8000000000000004E-2</v>
      </c>
      <c r="D90" s="1746">
        <v>9.8000000000000004E-2</v>
      </c>
      <c r="E90" s="1746">
        <v>8.7999999999999995E-2</v>
      </c>
      <c r="F90" s="1754"/>
    </row>
    <row r="91" spans="1:6" ht="14.25" thickBot="1">
      <c r="A91" s="1741" t="s">
        <v>1381</v>
      </c>
      <c r="B91" s="1745" t="s">
        <v>1204</v>
      </c>
      <c r="C91" s="1746">
        <v>9.9000000000000005E-2</v>
      </c>
      <c r="D91" s="1746">
        <v>9.9000000000000005E-2</v>
      </c>
      <c r="E91" s="1746">
        <v>9.0999999999999998E-2</v>
      </c>
      <c r="F91" s="1754"/>
    </row>
    <row r="92" spans="1:6" ht="14.25" thickBot="1">
      <c r="A92" s="1741" t="s">
        <v>1381</v>
      </c>
      <c r="B92" s="1745" t="s">
        <v>1214</v>
      </c>
      <c r="C92" s="1746">
        <v>9.6000000000000002E-2</v>
      </c>
      <c r="D92" s="1746">
        <v>9.6000000000000002E-2</v>
      </c>
      <c r="E92" s="1746">
        <v>7.2999999999999995E-2</v>
      </c>
      <c r="F92" s="1754"/>
    </row>
    <row r="93" spans="1:6" ht="14.25" thickBot="1">
      <c r="A93" s="1741" t="s">
        <v>1381</v>
      </c>
      <c r="B93" s="1745" t="s">
        <v>1224</v>
      </c>
      <c r="C93" s="1746">
        <v>9.6000000000000002E-2</v>
      </c>
      <c r="D93" s="1746">
        <v>9.6000000000000002E-2</v>
      </c>
      <c r="E93" s="1746">
        <v>9.9000000000000005E-2</v>
      </c>
      <c r="F93" s="1754"/>
    </row>
    <row r="94" spans="1:6" ht="14.25" thickBot="1">
      <c r="A94" s="1741" t="s">
        <v>1381</v>
      </c>
      <c r="B94" s="1745" t="s">
        <v>1234</v>
      </c>
      <c r="C94" s="1746">
        <v>7.5999999999999998E-2</v>
      </c>
      <c r="D94" s="1746">
        <v>7.3999999999999996E-2</v>
      </c>
      <c r="E94" s="1746">
        <v>9.7000000000000003E-2</v>
      </c>
      <c r="F94" s="1754"/>
    </row>
    <row r="95" spans="1:6" ht="14.25" thickBot="1">
      <c r="A95" s="1741" t="s">
        <v>1381</v>
      </c>
      <c r="B95" s="1745" t="s">
        <v>1243</v>
      </c>
      <c r="C95" s="1746">
        <v>9.9000000000000005E-2</v>
      </c>
      <c r="D95" s="1746">
        <v>9.4E-2</v>
      </c>
      <c r="E95" s="1746">
        <v>9.6000000000000002E-2</v>
      </c>
      <c r="F95" s="1754"/>
    </row>
    <row r="96" spans="1:6" ht="14.25" thickBot="1">
      <c r="A96" s="1741" t="s">
        <v>1381</v>
      </c>
      <c r="B96" s="1745" t="s">
        <v>1252</v>
      </c>
      <c r="C96" s="1746">
        <v>9.9000000000000005E-2</v>
      </c>
      <c r="D96" s="1746">
        <v>9.9000000000000005E-2</v>
      </c>
      <c r="E96" s="1746">
        <v>9.9000000000000005E-2</v>
      </c>
      <c r="F96" s="1754"/>
    </row>
    <row r="97" spans="1:6" ht="14.25" thickBot="1">
      <c r="A97" s="1741" t="s">
        <v>1381</v>
      </c>
      <c r="B97" s="1745" t="s">
        <v>1260</v>
      </c>
      <c r="C97" s="1746">
        <v>9.8000000000000004E-2</v>
      </c>
      <c r="D97" s="1746">
        <v>9.8000000000000004E-2</v>
      </c>
      <c r="E97" s="1746">
        <v>9.7000000000000003E-2</v>
      </c>
      <c r="F97" s="1754"/>
    </row>
    <row r="98" spans="1:6" ht="14.25" thickBot="1">
      <c r="A98" s="1741" t="s">
        <v>1381</v>
      </c>
      <c r="B98" s="1745" t="s">
        <v>1267</v>
      </c>
      <c r="C98" s="1746">
        <v>0.1</v>
      </c>
      <c r="D98" s="1746">
        <v>0.1</v>
      </c>
      <c r="E98" s="1746">
        <v>9.7000000000000003E-2</v>
      </c>
      <c r="F98" s="1754"/>
    </row>
    <row r="99" spans="1:6" ht="14.25" thickBot="1">
      <c r="A99" s="1741" t="s">
        <v>1381</v>
      </c>
      <c r="B99" s="1745" t="s">
        <v>1274</v>
      </c>
      <c r="C99" s="1746">
        <v>0.1</v>
      </c>
      <c r="D99" s="1746">
        <v>0.1</v>
      </c>
      <c r="E99" s="1755"/>
      <c r="F99" s="1754"/>
    </row>
    <row r="100" spans="1:6" ht="14.25" thickBot="1">
      <c r="A100" s="1741" t="s">
        <v>1381</v>
      </c>
      <c r="B100" s="1745" t="s">
        <v>1281</v>
      </c>
      <c r="C100" s="1746">
        <v>0.09</v>
      </c>
      <c r="D100" s="1746">
        <v>8.8999999999999996E-2</v>
      </c>
      <c r="E100" s="1755"/>
      <c r="F100" s="1754"/>
    </row>
    <row r="101" spans="1:6" ht="14.25" thickBot="1">
      <c r="A101" s="1741" t="s">
        <v>1381</v>
      </c>
      <c r="B101" s="1745" t="s">
        <v>1288</v>
      </c>
      <c r="C101" s="1746">
        <v>9.8000000000000004E-2</v>
      </c>
      <c r="D101" s="1746">
        <v>9.7000000000000003E-2</v>
      </c>
      <c r="E101" s="1755"/>
      <c r="F101" s="1754"/>
    </row>
    <row r="102" spans="1:6" ht="14.25" thickBot="1">
      <c r="A102" s="1741" t="s">
        <v>1381</v>
      </c>
      <c r="B102" s="1745" t="s">
        <v>2063</v>
      </c>
      <c r="C102" s="1755"/>
      <c r="D102" s="1755"/>
      <c r="E102" s="1755"/>
      <c r="F102" s="1747">
        <v>0.05</v>
      </c>
    </row>
    <row r="103" spans="1:6" ht="24.75" thickBot="1">
      <c r="A103" s="1741" t="s">
        <v>1381</v>
      </c>
      <c r="B103" s="1745" t="s">
        <v>2064</v>
      </c>
      <c r="C103" s="1755"/>
      <c r="D103" s="1755"/>
      <c r="E103" s="1755"/>
      <c r="F103" s="1747">
        <v>0.05</v>
      </c>
    </row>
    <row r="104" spans="1:6" ht="14.25" thickBot="1">
      <c r="A104" s="1741" t="s">
        <v>1381</v>
      </c>
      <c r="B104" s="1745" t="s">
        <v>2065</v>
      </c>
      <c r="C104" s="1755"/>
      <c r="D104" s="1755"/>
      <c r="E104" s="1755"/>
      <c r="F104" s="1747">
        <v>0.05</v>
      </c>
    </row>
    <row r="105" spans="1:6" ht="14.25" thickBot="1">
      <c r="A105" s="1741" t="s">
        <v>1381</v>
      </c>
      <c r="B105" s="1745" t="s">
        <v>2066</v>
      </c>
      <c r="C105" s="1755"/>
      <c r="D105" s="1755"/>
      <c r="E105" s="1755"/>
      <c r="F105" s="1747">
        <v>0.05</v>
      </c>
    </row>
    <row r="106" spans="1:6" ht="14.25" thickBot="1">
      <c r="A106" s="1741" t="s">
        <v>1381</v>
      </c>
      <c r="B106" s="1745" t="s">
        <v>2067</v>
      </c>
      <c r="C106" s="1755"/>
      <c r="D106" s="1755"/>
      <c r="E106" s="1755"/>
      <c r="F106" s="1747">
        <v>0.05</v>
      </c>
    </row>
    <row r="107" spans="1:6" ht="24.75" thickBot="1">
      <c r="A107" s="1741" t="s">
        <v>1381</v>
      </c>
      <c r="B107" s="1745" t="s">
        <v>2068</v>
      </c>
      <c r="C107" s="1755"/>
      <c r="D107" s="1755"/>
      <c r="E107" s="1755"/>
      <c r="F107" s="1747">
        <v>0.05</v>
      </c>
    </row>
    <row r="108" spans="1:6" ht="24.75" thickBot="1">
      <c r="A108" s="1741" t="s">
        <v>1381</v>
      </c>
      <c r="B108" s="1745" t="s">
        <v>2069</v>
      </c>
      <c r="C108" s="1755"/>
      <c r="D108" s="1755"/>
      <c r="E108" s="1755"/>
      <c r="F108" s="1747">
        <v>0.05</v>
      </c>
    </row>
    <row r="109" spans="1:6" ht="24.75" thickBot="1">
      <c r="A109" s="1749" t="s">
        <v>1381</v>
      </c>
      <c r="B109" s="1756" t="s">
        <v>2070</v>
      </c>
      <c r="C109" s="1752"/>
      <c r="D109" s="1752"/>
      <c r="E109" s="1752"/>
      <c r="F109" s="1757">
        <v>0.05</v>
      </c>
    </row>
    <row r="110" spans="1:6" ht="14.25" thickBot="1">
      <c r="A110" s="1741" t="s">
        <v>1383</v>
      </c>
      <c r="B110" s="1742" t="s">
        <v>2071</v>
      </c>
      <c r="C110" s="1743">
        <v>0.129</v>
      </c>
      <c r="D110" s="1743">
        <v>0.129</v>
      </c>
      <c r="E110" s="1743">
        <v>0.126</v>
      </c>
      <c r="F110" s="1744">
        <v>0.13</v>
      </c>
    </row>
    <row r="111" spans="1:6" ht="14.25" thickBot="1">
      <c r="A111" s="1741" t="s">
        <v>1383</v>
      </c>
      <c r="B111" s="1745" t="s">
        <v>1049</v>
      </c>
      <c r="C111" s="1746">
        <v>0.11</v>
      </c>
      <c r="D111" s="1746">
        <v>0.11</v>
      </c>
      <c r="E111" s="1746">
        <v>9.9000000000000005E-2</v>
      </c>
      <c r="F111" s="1747">
        <v>0.128</v>
      </c>
    </row>
    <row r="112" spans="1:6" ht="14.25" thickBot="1">
      <c r="A112" s="1741" t="s">
        <v>1383</v>
      </c>
      <c r="B112" s="1745" t="s">
        <v>1063</v>
      </c>
      <c r="C112" s="1746">
        <v>0.125</v>
      </c>
      <c r="D112" s="1746">
        <v>0.125</v>
      </c>
      <c r="E112" s="1746">
        <v>0.12</v>
      </c>
      <c r="F112" s="1747">
        <v>0.125</v>
      </c>
    </row>
    <row r="113" spans="1:6" ht="14.25" thickBot="1">
      <c r="A113" s="1741" t="s">
        <v>1383</v>
      </c>
      <c r="B113" s="1745" t="s">
        <v>1076</v>
      </c>
      <c r="C113" s="1746">
        <v>0.13</v>
      </c>
      <c r="D113" s="1746">
        <v>0.13</v>
      </c>
      <c r="E113" s="1746">
        <v>0.13</v>
      </c>
      <c r="F113" s="1747">
        <v>0.13</v>
      </c>
    </row>
    <row r="114" spans="1:6" ht="14.25" thickBot="1">
      <c r="A114" s="1741" t="s">
        <v>1383</v>
      </c>
      <c r="B114" s="1745" t="s">
        <v>1090</v>
      </c>
      <c r="C114" s="1746">
        <v>0.123</v>
      </c>
      <c r="D114" s="1746">
        <v>0.123</v>
      </c>
      <c r="E114" s="1746">
        <v>0.12</v>
      </c>
      <c r="F114" s="1747">
        <v>0.13</v>
      </c>
    </row>
    <row r="115" spans="1:6" ht="14.25" thickBot="1">
      <c r="A115" s="1741" t="s">
        <v>1383</v>
      </c>
      <c r="B115" s="1745" t="s">
        <v>1101</v>
      </c>
      <c r="C115" s="1746">
        <v>0.125</v>
      </c>
      <c r="D115" s="1746">
        <v>0.125</v>
      </c>
      <c r="E115" s="1746">
        <v>0.11700000000000001</v>
      </c>
      <c r="F115" s="1747">
        <v>0.13</v>
      </c>
    </row>
    <row r="116" spans="1:6" ht="14.25" thickBot="1">
      <c r="A116" s="1741" t="s">
        <v>1383</v>
      </c>
      <c r="B116" s="1745" t="s">
        <v>1112</v>
      </c>
      <c r="C116" s="1746">
        <v>0.11700000000000001</v>
      </c>
      <c r="D116" s="1746">
        <v>0.11700000000000001</v>
      </c>
      <c r="E116" s="1746">
        <v>8.7999999999999995E-2</v>
      </c>
      <c r="F116" s="1747">
        <v>0.13</v>
      </c>
    </row>
    <row r="117" spans="1:6" ht="14.25" thickBot="1">
      <c r="A117" s="1741" t="s">
        <v>1383</v>
      </c>
      <c r="B117" s="1745" t="s">
        <v>1123</v>
      </c>
      <c r="C117" s="1746">
        <v>0.13</v>
      </c>
      <c r="D117" s="1746">
        <v>0.13</v>
      </c>
      <c r="E117" s="1746">
        <v>0.129</v>
      </c>
      <c r="F117" s="1747">
        <v>0.13</v>
      </c>
    </row>
    <row r="118" spans="1:6" ht="14.25" thickBot="1">
      <c r="A118" s="1741" t="s">
        <v>1383</v>
      </c>
      <c r="B118" s="1745" t="s">
        <v>1135</v>
      </c>
      <c r="C118" s="1746">
        <v>0.123</v>
      </c>
      <c r="D118" s="1746">
        <v>0.123</v>
      </c>
      <c r="E118" s="1746">
        <v>0.11600000000000001</v>
      </c>
      <c r="F118" s="1747">
        <v>0.13</v>
      </c>
    </row>
    <row r="119" spans="1:6" ht="14.25" thickBot="1">
      <c r="A119" s="1741" t="s">
        <v>1383</v>
      </c>
      <c r="B119" s="1745" t="s">
        <v>1145</v>
      </c>
      <c r="C119" s="1746">
        <v>0.127</v>
      </c>
      <c r="D119" s="1746">
        <v>0.127</v>
      </c>
      <c r="E119" s="1746">
        <v>0.124</v>
      </c>
      <c r="F119" s="1747">
        <v>0.13</v>
      </c>
    </row>
    <row r="120" spans="1:6" ht="14.25" thickBot="1">
      <c r="A120" s="1741" t="s">
        <v>1383</v>
      </c>
      <c r="B120" s="1745" t="s">
        <v>1155</v>
      </c>
      <c r="C120" s="1746">
        <v>0.125</v>
      </c>
      <c r="D120" s="1746">
        <v>0.125</v>
      </c>
      <c r="E120" s="1746">
        <v>0.122</v>
      </c>
      <c r="F120" s="1747">
        <v>0.13</v>
      </c>
    </row>
    <row r="121" spans="1:6" ht="14.25" thickBot="1">
      <c r="A121" s="1741" t="s">
        <v>1383</v>
      </c>
      <c r="B121" s="1745" t="s">
        <v>1165</v>
      </c>
      <c r="C121" s="1746">
        <v>0.13</v>
      </c>
      <c r="D121" s="1746">
        <v>0.13</v>
      </c>
      <c r="E121" s="1746">
        <v>0.13</v>
      </c>
      <c r="F121" s="1747">
        <v>0.13</v>
      </c>
    </row>
    <row r="122" spans="1:6" ht="14.25" thickBot="1">
      <c r="A122" s="1741" t="s">
        <v>1383</v>
      </c>
      <c r="B122" s="1745" t="s">
        <v>1175</v>
      </c>
      <c r="C122" s="1746">
        <v>0.13</v>
      </c>
      <c r="D122" s="1746">
        <v>0.13</v>
      </c>
      <c r="E122" s="1746">
        <v>0.125</v>
      </c>
      <c r="F122" s="1747">
        <v>0.13</v>
      </c>
    </row>
    <row r="123" spans="1:6" ht="14.25" thickBot="1">
      <c r="A123" s="1741" t="s">
        <v>1383</v>
      </c>
      <c r="B123" s="1745" t="s">
        <v>1185</v>
      </c>
      <c r="C123" s="1746">
        <v>0.129</v>
      </c>
      <c r="D123" s="1746">
        <v>0.129</v>
      </c>
      <c r="E123" s="1746">
        <v>0.123</v>
      </c>
      <c r="F123" s="1747">
        <v>0.13</v>
      </c>
    </row>
    <row r="124" spans="1:6" ht="14.25" thickBot="1">
      <c r="A124" s="1741" t="s">
        <v>1383</v>
      </c>
      <c r="B124" s="1745" t="s">
        <v>1195</v>
      </c>
      <c r="C124" s="1746">
        <v>0.10199999999999999</v>
      </c>
      <c r="D124" s="1746">
        <v>0.10100000000000001</v>
      </c>
      <c r="E124" s="1746">
        <v>0.08</v>
      </c>
      <c r="F124" s="1754"/>
    </row>
    <row r="125" spans="1:6" ht="14.25" thickBot="1">
      <c r="A125" s="1741" t="s">
        <v>1383</v>
      </c>
      <c r="B125" s="1745" t="s">
        <v>1205</v>
      </c>
      <c r="C125" s="1746">
        <v>0.13</v>
      </c>
      <c r="D125" s="1746">
        <v>0.13</v>
      </c>
      <c r="E125" s="1746">
        <v>0.129</v>
      </c>
      <c r="F125" s="1754"/>
    </row>
    <row r="126" spans="1:6" ht="14.25" thickBot="1">
      <c r="A126" s="1741" t="s">
        <v>1383</v>
      </c>
      <c r="B126" s="1745" t="s">
        <v>1215</v>
      </c>
      <c r="C126" s="1746">
        <v>0.13</v>
      </c>
      <c r="D126" s="1746">
        <v>0.13</v>
      </c>
      <c r="E126" s="1746">
        <v>0.126</v>
      </c>
      <c r="F126" s="1754"/>
    </row>
    <row r="127" spans="1:6" ht="14.25" thickBot="1">
      <c r="A127" s="1741" t="s">
        <v>1383</v>
      </c>
      <c r="B127" s="1745" t="s">
        <v>1225</v>
      </c>
      <c r="C127" s="1746">
        <v>0.125</v>
      </c>
      <c r="D127" s="1746">
        <v>0.125</v>
      </c>
      <c r="E127" s="1746">
        <v>0.121</v>
      </c>
      <c r="F127" s="1754"/>
    </row>
    <row r="128" spans="1:6" ht="14.25" thickBot="1">
      <c r="A128" s="1741" t="s">
        <v>1383</v>
      </c>
      <c r="B128" s="1745" t="s">
        <v>1235</v>
      </c>
      <c r="C128" s="1746">
        <v>0.12</v>
      </c>
      <c r="D128" s="1746">
        <v>0.12</v>
      </c>
      <c r="E128" s="1746">
        <v>0.105</v>
      </c>
      <c r="F128" s="1754"/>
    </row>
    <row r="129" spans="1:6" ht="14.25" thickBot="1">
      <c r="A129" s="1741" t="s">
        <v>1383</v>
      </c>
      <c r="B129" s="1745" t="s">
        <v>1244</v>
      </c>
      <c r="C129" s="1746">
        <v>0.13</v>
      </c>
      <c r="D129" s="1746">
        <v>0.13</v>
      </c>
      <c r="E129" s="1746">
        <v>0.126</v>
      </c>
      <c r="F129" s="1754"/>
    </row>
    <row r="130" spans="1:6" ht="14.25" thickBot="1">
      <c r="A130" s="1741" t="s">
        <v>1383</v>
      </c>
      <c r="B130" s="1745" t="s">
        <v>1253</v>
      </c>
      <c r="C130" s="1746">
        <v>0.125</v>
      </c>
      <c r="D130" s="1746">
        <v>0.125</v>
      </c>
      <c r="E130" s="1746">
        <v>0.122</v>
      </c>
      <c r="F130" s="1754"/>
    </row>
    <row r="131" spans="1:6" ht="14.25" thickBot="1">
      <c r="A131" s="1741" t="s">
        <v>1383</v>
      </c>
      <c r="B131" s="1745" t="s">
        <v>1261</v>
      </c>
      <c r="C131" s="1746">
        <v>0.127</v>
      </c>
      <c r="D131" s="1746">
        <v>0.126</v>
      </c>
      <c r="E131" s="1746">
        <v>0.123</v>
      </c>
      <c r="F131" s="1754"/>
    </row>
    <row r="132" spans="1:6" ht="14.25" thickBot="1">
      <c r="A132" s="1741" t="s">
        <v>1383</v>
      </c>
      <c r="B132" s="1745" t="s">
        <v>1268</v>
      </c>
      <c r="C132" s="1746">
        <v>9.0999999999999998E-2</v>
      </c>
      <c r="D132" s="1746">
        <v>0.121</v>
      </c>
      <c r="E132" s="1746">
        <v>9.9000000000000005E-2</v>
      </c>
      <c r="F132" s="1754"/>
    </row>
    <row r="133" spans="1:6" ht="14.25" thickBot="1">
      <c r="A133" s="1741" t="s">
        <v>1383</v>
      </c>
      <c r="B133" s="1745" t="s">
        <v>1275</v>
      </c>
      <c r="C133" s="1746">
        <v>0.13</v>
      </c>
      <c r="D133" s="1746">
        <v>0.13</v>
      </c>
      <c r="E133" s="1746">
        <v>0.129</v>
      </c>
      <c r="F133" s="1754"/>
    </row>
    <row r="134" spans="1:6" ht="14.25" thickBot="1">
      <c r="A134" s="1741" t="s">
        <v>1383</v>
      </c>
      <c r="B134" s="1745" t="s">
        <v>2072</v>
      </c>
      <c r="C134" s="1746">
        <v>6.8000000000000005E-2</v>
      </c>
      <c r="D134" s="1746">
        <v>6.5000000000000002E-2</v>
      </c>
      <c r="E134" s="1746">
        <v>6.5000000000000002E-2</v>
      </c>
      <c r="F134" s="1747">
        <v>0.13</v>
      </c>
    </row>
    <row r="135" spans="1:6" ht="14.25" thickBot="1">
      <c r="A135" s="1741" t="s">
        <v>1383</v>
      </c>
      <c r="B135" s="1745" t="s">
        <v>1289</v>
      </c>
      <c r="C135" s="1746">
        <v>0.123</v>
      </c>
      <c r="D135" s="1746">
        <v>0.123</v>
      </c>
      <c r="E135" s="1746">
        <v>0.11</v>
      </c>
      <c r="F135" s="1754"/>
    </row>
    <row r="136" spans="1:6" ht="14.25" thickBot="1">
      <c r="A136" s="1741" t="s">
        <v>1383</v>
      </c>
      <c r="B136" s="1745" t="s">
        <v>1296</v>
      </c>
      <c r="C136" s="1746">
        <v>0.13</v>
      </c>
      <c r="D136" s="1746">
        <v>0.13</v>
      </c>
      <c r="E136" s="1746">
        <v>0.125</v>
      </c>
      <c r="F136" s="1754"/>
    </row>
    <row r="137" spans="1:6" ht="14.25" thickBot="1">
      <c r="A137" s="1741" t="s">
        <v>1383</v>
      </c>
      <c r="B137" s="1745" t="s">
        <v>1303</v>
      </c>
      <c r="C137" s="1746">
        <v>0.121</v>
      </c>
      <c r="D137" s="1746">
        <v>0.122</v>
      </c>
      <c r="E137" s="1746">
        <v>0.115</v>
      </c>
      <c r="F137" s="1754"/>
    </row>
    <row r="138" spans="1:6" ht="14.25" thickBot="1">
      <c r="A138" s="1741" t="s">
        <v>1383</v>
      </c>
      <c r="B138" s="1745" t="s">
        <v>2073</v>
      </c>
      <c r="C138" s="1746">
        <v>0.105</v>
      </c>
      <c r="D138" s="1746">
        <v>0.125</v>
      </c>
      <c r="E138" s="1746">
        <v>0.112</v>
      </c>
      <c r="F138" s="1754"/>
    </row>
    <row r="139" spans="1:6" ht="14.25" thickBot="1">
      <c r="A139" s="1741" t="s">
        <v>1383</v>
      </c>
      <c r="B139" s="1745" t="s">
        <v>2074</v>
      </c>
      <c r="C139" s="1746">
        <v>0.127</v>
      </c>
      <c r="D139" s="1746">
        <v>0.127</v>
      </c>
      <c r="E139" s="1746">
        <v>0.122</v>
      </c>
      <c r="F139" s="1747">
        <v>0.13</v>
      </c>
    </row>
    <row r="140" spans="1:6" ht="14.25" thickBot="1">
      <c r="A140" s="1741" t="s">
        <v>1383</v>
      </c>
      <c r="B140" s="1745" t="s">
        <v>2075</v>
      </c>
      <c r="C140" s="1746">
        <v>0.125</v>
      </c>
      <c r="D140" s="1746">
        <v>0.125</v>
      </c>
      <c r="E140" s="1746">
        <v>0.11899999999999999</v>
      </c>
      <c r="F140" s="1747">
        <v>0.13</v>
      </c>
    </row>
    <row r="141" spans="1:6" ht="14.25" thickBot="1">
      <c r="A141" s="1741" t="s">
        <v>1383</v>
      </c>
      <c r="B141" s="1745" t="s">
        <v>1322</v>
      </c>
      <c r="C141" s="1746">
        <v>0.125</v>
      </c>
      <c r="D141" s="1746">
        <v>0.125</v>
      </c>
      <c r="E141" s="1746">
        <v>0.11700000000000001</v>
      </c>
      <c r="F141" s="1754"/>
    </row>
    <row r="142" spans="1:6" ht="14.25" thickBot="1">
      <c r="A142" s="1741" t="s">
        <v>1383</v>
      </c>
      <c r="B142" s="1745" t="s">
        <v>1327</v>
      </c>
      <c r="C142" s="1746">
        <v>0.125</v>
      </c>
      <c r="D142" s="1746">
        <v>0.125</v>
      </c>
      <c r="E142" s="1746">
        <v>0.115</v>
      </c>
      <c r="F142" s="1754"/>
    </row>
    <row r="143" spans="1:6" ht="14.25" thickBot="1">
      <c r="A143" s="1741" t="s">
        <v>1383</v>
      </c>
      <c r="B143" s="1745" t="s">
        <v>1332</v>
      </c>
      <c r="C143" s="1746">
        <v>0.121</v>
      </c>
      <c r="D143" s="1746">
        <v>0.121</v>
      </c>
      <c r="E143" s="1746">
        <v>0.108</v>
      </c>
      <c r="F143" s="1754"/>
    </row>
    <row r="144" spans="1:6" ht="14.25" thickBot="1">
      <c r="A144" s="1741" t="s">
        <v>1383</v>
      </c>
      <c r="B144" s="1758" t="s">
        <v>2076</v>
      </c>
      <c r="C144" s="1759">
        <v>0.126</v>
      </c>
      <c r="D144" s="1759">
        <v>0.126</v>
      </c>
      <c r="E144" s="1759">
        <v>0.121</v>
      </c>
      <c r="F144" s="1754"/>
    </row>
    <row r="145" spans="1:6" ht="14.25" thickBot="1">
      <c r="A145" s="1749" t="s">
        <v>1383</v>
      </c>
      <c r="B145" s="1760" t="s">
        <v>2077</v>
      </c>
      <c r="C145" s="1761"/>
      <c r="D145" s="1761"/>
      <c r="E145" s="1761"/>
      <c r="F145" s="1762">
        <v>0.05</v>
      </c>
    </row>
    <row r="146" spans="1:6" ht="24.75" thickBot="1">
      <c r="A146" s="1763" t="s">
        <v>1383</v>
      </c>
      <c r="B146" s="1748" t="s">
        <v>2078</v>
      </c>
      <c r="C146" s="1755"/>
      <c r="D146" s="1755"/>
      <c r="E146" s="1755"/>
      <c r="F146" s="1764">
        <v>0.05</v>
      </c>
    </row>
    <row r="147" spans="1:6" ht="24.75" thickBot="1">
      <c r="A147" s="1741" t="s">
        <v>1383</v>
      </c>
      <c r="B147" s="1745" t="s">
        <v>2079</v>
      </c>
      <c r="C147" s="1755"/>
      <c r="D147" s="1755"/>
      <c r="E147" s="1755"/>
      <c r="F147" s="1747">
        <v>0.05</v>
      </c>
    </row>
    <row r="148" spans="1:6" ht="24.75" thickBot="1">
      <c r="A148" s="1741" t="s">
        <v>1383</v>
      </c>
      <c r="B148" s="1745" t="s">
        <v>2080</v>
      </c>
      <c r="C148" s="1755"/>
      <c r="D148" s="1755"/>
      <c r="E148" s="1755"/>
      <c r="F148" s="1747">
        <v>0.05</v>
      </c>
    </row>
    <row r="149" spans="1:6" ht="24.75" thickBot="1">
      <c r="A149" s="1741" t="s">
        <v>1383</v>
      </c>
      <c r="B149" s="1745" t="s">
        <v>2081</v>
      </c>
      <c r="C149" s="1755"/>
      <c r="D149" s="1755"/>
      <c r="E149" s="1755"/>
      <c r="F149" s="1747">
        <v>0.05</v>
      </c>
    </row>
    <row r="150" spans="1:6" ht="24.75" thickBot="1">
      <c r="A150" s="1741" t="s">
        <v>1383</v>
      </c>
      <c r="B150" s="1745" t="s">
        <v>2082</v>
      </c>
      <c r="C150" s="1755"/>
      <c r="D150" s="1755"/>
      <c r="E150" s="1755"/>
      <c r="F150" s="1747">
        <v>0.05</v>
      </c>
    </row>
    <row r="151" spans="1:6" ht="24.75" thickBot="1">
      <c r="A151" s="1741" t="s">
        <v>1383</v>
      </c>
      <c r="B151" s="1745" t="s">
        <v>2083</v>
      </c>
      <c r="C151" s="1755"/>
      <c r="D151" s="1755"/>
      <c r="E151" s="1755"/>
      <c r="F151" s="1747">
        <v>0.05</v>
      </c>
    </row>
    <row r="152" spans="1:6" ht="24.75" thickBot="1">
      <c r="A152" s="1741" t="s">
        <v>1383</v>
      </c>
      <c r="B152" s="1745" t="s">
        <v>1365</v>
      </c>
      <c r="C152" s="1755"/>
      <c r="D152" s="1755"/>
      <c r="E152" s="1755"/>
      <c r="F152" s="1747">
        <v>0.05</v>
      </c>
    </row>
    <row r="153" spans="1:6" ht="14.25" thickBot="1">
      <c r="A153" s="1741" t="s">
        <v>1383</v>
      </c>
      <c r="B153" s="1745" t="s">
        <v>2084</v>
      </c>
      <c r="C153" s="1755"/>
      <c r="D153" s="1755"/>
      <c r="E153" s="1755"/>
      <c r="F153" s="1747">
        <v>0.05</v>
      </c>
    </row>
    <row r="154" spans="1:6" ht="14.25" thickBot="1">
      <c r="A154" s="1741" t="s">
        <v>1383</v>
      </c>
      <c r="B154" s="1745" t="s">
        <v>2085</v>
      </c>
      <c r="C154" s="1755"/>
      <c r="D154" s="1755"/>
      <c r="E154" s="1755"/>
      <c r="F154" s="1747">
        <v>0.05</v>
      </c>
    </row>
    <row r="155" spans="1:6" ht="24.75" thickBot="1">
      <c r="A155" s="1741" t="s">
        <v>1383</v>
      </c>
      <c r="B155" s="1745" t="s">
        <v>2086</v>
      </c>
      <c r="C155" s="1755"/>
      <c r="D155" s="1755"/>
      <c r="E155" s="1755"/>
      <c r="F155" s="1747">
        <v>0.05</v>
      </c>
    </row>
    <row r="156" spans="1:6" ht="24.75" thickBot="1">
      <c r="A156" s="1741" t="s">
        <v>1383</v>
      </c>
      <c r="B156" s="1745" t="s">
        <v>2087</v>
      </c>
      <c r="C156" s="1755"/>
      <c r="D156" s="1755"/>
      <c r="E156" s="1755"/>
      <c r="F156" s="1747">
        <v>0.05</v>
      </c>
    </row>
    <row r="157" spans="1:6" ht="14.25" thickBot="1">
      <c r="A157" s="1749" t="s">
        <v>1383</v>
      </c>
      <c r="B157" s="1756" t="s">
        <v>2088</v>
      </c>
      <c r="C157" s="1752"/>
      <c r="D157" s="1752"/>
      <c r="E157" s="1752"/>
      <c r="F157" s="1757">
        <v>0.05</v>
      </c>
    </row>
    <row r="158" spans="1:6" ht="14.25" thickBot="1">
      <c r="A158" s="1741" t="s">
        <v>1385</v>
      </c>
      <c r="B158" s="1742" t="s">
        <v>2089</v>
      </c>
      <c r="C158" s="1743">
        <v>0.13</v>
      </c>
      <c r="D158" s="1743">
        <v>0.13</v>
      </c>
      <c r="E158" s="1743">
        <v>0.13</v>
      </c>
      <c r="F158" s="1744">
        <v>0.13</v>
      </c>
    </row>
    <row r="159" spans="1:6" ht="14.25" thickBot="1">
      <c r="A159" s="1741" t="s">
        <v>1385</v>
      </c>
      <c r="B159" s="1745" t="s">
        <v>1050</v>
      </c>
      <c r="C159" s="1746">
        <v>0.13</v>
      </c>
      <c r="D159" s="1746">
        <v>0.13</v>
      </c>
      <c r="E159" s="1746">
        <v>0.13</v>
      </c>
      <c r="F159" s="1747">
        <v>0.13</v>
      </c>
    </row>
    <row r="160" spans="1:6" ht="14.25" thickBot="1">
      <c r="A160" s="1741" t="s">
        <v>1385</v>
      </c>
      <c r="B160" s="1745" t="s">
        <v>1064</v>
      </c>
      <c r="C160" s="1746">
        <v>0.13</v>
      </c>
      <c r="D160" s="1746">
        <v>0.13</v>
      </c>
      <c r="E160" s="1746">
        <v>0.129</v>
      </c>
      <c r="F160" s="1747">
        <v>0.13</v>
      </c>
    </row>
    <row r="161" spans="1:6" ht="14.25" thickBot="1">
      <c r="A161" s="1741" t="s">
        <v>1385</v>
      </c>
      <c r="B161" s="1745" t="s">
        <v>1077</v>
      </c>
      <c r="C161" s="1746">
        <v>0.128</v>
      </c>
      <c r="D161" s="1746">
        <v>0.128</v>
      </c>
      <c r="E161" s="1746">
        <v>0.125</v>
      </c>
      <c r="F161" s="1747">
        <v>0.13</v>
      </c>
    </row>
    <row r="162" spans="1:6" ht="14.25" thickBot="1">
      <c r="A162" s="1741" t="s">
        <v>1385</v>
      </c>
      <c r="B162" s="1745" t="s">
        <v>1091</v>
      </c>
      <c r="C162" s="1746">
        <v>0.122</v>
      </c>
      <c r="D162" s="1746">
        <v>0.122</v>
      </c>
      <c r="E162" s="1746">
        <v>0.126</v>
      </c>
      <c r="F162" s="1747">
        <v>0.122</v>
      </c>
    </row>
    <row r="163" spans="1:6" ht="14.25" thickBot="1">
      <c r="A163" s="1741" t="s">
        <v>1385</v>
      </c>
      <c r="B163" s="1745" t="s">
        <v>1102</v>
      </c>
      <c r="C163" s="1746">
        <v>0.13</v>
      </c>
      <c r="D163" s="1746">
        <v>0.13</v>
      </c>
      <c r="E163" s="1746">
        <v>0.125</v>
      </c>
      <c r="F163" s="1747">
        <v>0.13</v>
      </c>
    </row>
    <row r="164" spans="1:6" ht="14.25" thickBot="1">
      <c r="A164" s="1741" t="s">
        <v>1385</v>
      </c>
      <c r="B164" s="1745" t="s">
        <v>1113</v>
      </c>
      <c r="C164" s="1746">
        <v>0.13</v>
      </c>
      <c r="D164" s="1746">
        <v>0.13</v>
      </c>
      <c r="E164" s="1746">
        <v>0.13</v>
      </c>
      <c r="F164" s="1747">
        <v>0.13</v>
      </c>
    </row>
    <row r="165" spans="1:6" ht="14.25" thickBot="1">
      <c r="A165" s="1741" t="s">
        <v>1385</v>
      </c>
      <c r="B165" s="1745" t="s">
        <v>1124</v>
      </c>
      <c r="C165" s="1746">
        <v>0.13</v>
      </c>
      <c r="D165" s="1746">
        <v>0.13</v>
      </c>
      <c r="E165" s="1746">
        <v>0.124</v>
      </c>
      <c r="F165" s="1747">
        <v>0.13</v>
      </c>
    </row>
    <row r="166" spans="1:6" ht="14.25" thickBot="1">
      <c r="A166" s="1741" t="s">
        <v>1385</v>
      </c>
      <c r="B166" s="1745" t="s">
        <v>1136</v>
      </c>
      <c r="C166" s="1746">
        <v>0.13</v>
      </c>
      <c r="D166" s="1746">
        <v>0.13</v>
      </c>
      <c r="E166" s="1746">
        <v>0.13</v>
      </c>
      <c r="F166" s="1747">
        <v>0.13</v>
      </c>
    </row>
    <row r="167" spans="1:6" ht="14.25" thickBot="1">
      <c r="A167" s="1741" t="s">
        <v>1385</v>
      </c>
      <c r="B167" s="1745" t="s">
        <v>1146</v>
      </c>
      <c r="C167" s="1746">
        <v>0.125</v>
      </c>
      <c r="D167" s="1746">
        <v>0.125</v>
      </c>
      <c r="E167" s="1746">
        <v>0.121</v>
      </c>
      <c r="F167" s="1754"/>
    </row>
    <row r="168" spans="1:6" ht="14.25" thickBot="1">
      <c r="A168" s="1741" t="s">
        <v>1385</v>
      </c>
      <c r="B168" s="1745" t="s">
        <v>1156</v>
      </c>
      <c r="C168" s="1746">
        <v>0.13</v>
      </c>
      <c r="D168" s="1746">
        <v>0.13</v>
      </c>
      <c r="E168" s="1746">
        <v>0.126</v>
      </c>
      <c r="F168" s="1754"/>
    </row>
    <row r="169" spans="1:6" ht="14.25" thickBot="1">
      <c r="A169" s="1741" t="s">
        <v>1385</v>
      </c>
      <c r="B169" s="1745" t="s">
        <v>1166</v>
      </c>
      <c r="C169" s="1746">
        <v>0.128</v>
      </c>
      <c r="D169" s="1746">
        <v>0.129</v>
      </c>
      <c r="E169" s="1746">
        <v>0.13</v>
      </c>
      <c r="F169" s="1754"/>
    </row>
    <row r="170" spans="1:6" ht="14.25" thickBot="1">
      <c r="A170" s="1741" t="s">
        <v>1385</v>
      </c>
      <c r="B170" s="1745" t="s">
        <v>1176</v>
      </c>
      <c r="C170" s="1746">
        <v>0.14099999999999999</v>
      </c>
      <c r="D170" s="1746">
        <v>0.13</v>
      </c>
      <c r="E170" s="1746">
        <v>0.125</v>
      </c>
      <c r="F170" s="1754"/>
    </row>
    <row r="171" spans="1:6" ht="14.25" thickBot="1">
      <c r="A171" s="1741" t="s">
        <v>1385</v>
      </c>
      <c r="B171" s="1745" t="s">
        <v>2090</v>
      </c>
      <c r="C171" s="1746">
        <v>0.127</v>
      </c>
      <c r="D171" s="1746">
        <v>0.126</v>
      </c>
      <c r="E171" s="1746">
        <v>0.126</v>
      </c>
      <c r="F171" s="1747">
        <v>0.11799999999999999</v>
      </c>
    </row>
    <row r="172" spans="1:6" ht="14.25" thickBot="1">
      <c r="A172" s="1741" t="s">
        <v>1385</v>
      </c>
      <c r="B172" s="1745" t="s">
        <v>2091</v>
      </c>
      <c r="C172" s="1746">
        <v>0.13</v>
      </c>
      <c r="D172" s="1746">
        <v>0.13</v>
      </c>
      <c r="E172" s="1746">
        <v>0.13</v>
      </c>
      <c r="F172" s="1754"/>
    </row>
    <row r="173" spans="1:6" ht="14.25" thickBot="1">
      <c r="A173" s="1741" t="s">
        <v>1385</v>
      </c>
      <c r="B173" s="1745" t="s">
        <v>1206</v>
      </c>
      <c r="C173" s="1746">
        <v>0.13</v>
      </c>
      <c r="D173" s="1746">
        <v>0.13</v>
      </c>
      <c r="E173" s="1746">
        <v>0.13</v>
      </c>
      <c r="F173" s="1754"/>
    </row>
    <row r="174" spans="1:6" ht="14.25" thickBot="1">
      <c r="A174" s="1741" t="s">
        <v>1385</v>
      </c>
      <c r="B174" s="1745" t="s">
        <v>2092</v>
      </c>
      <c r="C174" s="1746">
        <v>0.13</v>
      </c>
      <c r="D174" s="1746">
        <v>0.13</v>
      </c>
      <c r="E174" s="1746">
        <v>0.13</v>
      </c>
      <c r="F174" s="1747">
        <v>0.13</v>
      </c>
    </row>
    <row r="175" spans="1:6" ht="14.25" thickBot="1">
      <c r="A175" s="1741" t="s">
        <v>1385</v>
      </c>
      <c r="B175" s="1745" t="s">
        <v>2093</v>
      </c>
      <c r="C175" s="1746">
        <v>0.13</v>
      </c>
      <c r="D175" s="1746">
        <v>0.13</v>
      </c>
      <c r="E175" s="1746">
        <v>0.13</v>
      </c>
      <c r="F175" s="1747">
        <v>0.13</v>
      </c>
    </row>
    <row r="176" spans="1:6" ht="14.25" thickBot="1">
      <c r="A176" s="1741" t="s">
        <v>1385</v>
      </c>
      <c r="B176" s="1745" t="s">
        <v>1236</v>
      </c>
      <c r="C176" s="1746">
        <v>0.13</v>
      </c>
      <c r="D176" s="1746">
        <v>0.13</v>
      </c>
      <c r="E176" s="1746">
        <v>0.13</v>
      </c>
      <c r="F176" s="1747">
        <v>0.13</v>
      </c>
    </row>
    <row r="177" spans="1:6" ht="14.25" thickBot="1">
      <c r="A177" s="1741" t="s">
        <v>1385</v>
      </c>
      <c r="B177" s="1745" t="s">
        <v>2094</v>
      </c>
      <c r="C177" s="1746">
        <v>0.13</v>
      </c>
      <c r="D177" s="1746">
        <v>0.13</v>
      </c>
      <c r="E177" s="1746">
        <v>0.13</v>
      </c>
      <c r="F177" s="1747">
        <v>0.13</v>
      </c>
    </row>
    <row r="178" spans="1:6" ht="14.25" thickBot="1">
      <c r="A178" s="1741" t="s">
        <v>1385</v>
      </c>
      <c r="B178" s="1745" t="s">
        <v>1254</v>
      </c>
      <c r="C178" s="1746">
        <v>0.13</v>
      </c>
      <c r="D178" s="1746">
        <v>0.13</v>
      </c>
      <c r="E178" s="1746">
        <v>0.13</v>
      </c>
      <c r="F178" s="1747">
        <v>0.127</v>
      </c>
    </row>
    <row r="179" spans="1:6" ht="14.25" thickBot="1">
      <c r="A179" s="1741" t="s">
        <v>1385</v>
      </c>
      <c r="B179" s="1745" t="s">
        <v>1262</v>
      </c>
      <c r="C179" s="1746">
        <v>0.13</v>
      </c>
      <c r="D179" s="1746">
        <v>0.13</v>
      </c>
      <c r="E179" s="1746">
        <v>0.13</v>
      </c>
      <c r="F179" s="1754"/>
    </row>
    <row r="180" spans="1:6" ht="14.25" thickBot="1">
      <c r="A180" s="1741" t="s">
        <v>1385</v>
      </c>
      <c r="B180" s="1745" t="s">
        <v>2095</v>
      </c>
      <c r="C180" s="1746">
        <v>0.13</v>
      </c>
      <c r="D180" s="1746">
        <v>0.13</v>
      </c>
      <c r="E180" s="1746">
        <v>0.125</v>
      </c>
      <c r="F180" s="1747">
        <v>0.13</v>
      </c>
    </row>
    <row r="181" spans="1:6" ht="14.25" thickBot="1">
      <c r="A181" s="1741" t="s">
        <v>1385</v>
      </c>
      <c r="B181" s="1745" t="s">
        <v>1276</v>
      </c>
      <c r="C181" s="1746">
        <v>0.122</v>
      </c>
      <c r="D181" s="1746">
        <v>0.123</v>
      </c>
      <c r="E181" s="1746">
        <v>0.126</v>
      </c>
      <c r="F181" s="1747">
        <v>0.121</v>
      </c>
    </row>
    <row r="182" spans="1:6" ht="14.25" thickBot="1">
      <c r="A182" s="1741" t="s">
        <v>1385</v>
      </c>
      <c r="B182" s="1745" t="s">
        <v>1283</v>
      </c>
      <c r="C182" s="1746">
        <v>0.125</v>
      </c>
      <c r="D182" s="1746">
        <v>0.125</v>
      </c>
      <c r="E182" s="1746">
        <v>0.11700000000000001</v>
      </c>
      <c r="F182" s="1747">
        <v>0.13</v>
      </c>
    </row>
    <row r="183" spans="1:6" ht="14.25" thickBot="1">
      <c r="A183" s="1741" t="s">
        <v>1385</v>
      </c>
      <c r="B183" s="1745" t="s">
        <v>1290</v>
      </c>
      <c r="C183" s="1746">
        <v>0.127</v>
      </c>
      <c r="D183" s="1746">
        <v>0.127</v>
      </c>
      <c r="E183" s="1746">
        <v>0.128</v>
      </c>
      <c r="F183" s="1754"/>
    </row>
    <row r="184" spans="1:6" ht="14.25" thickBot="1">
      <c r="A184" s="1741" t="s">
        <v>1385</v>
      </c>
      <c r="B184" s="1745" t="s">
        <v>1297</v>
      </c>
      <c r="C184" s="1746">
        <v>0.125</v>
      </c>
      <c r="D184" s="1746">
        <v>0.125</v>
      </c>
      <c r="E184" s="1746">
        <v>0.127</v>
      </c>
      <c r="F184" s="1754"/>
    </row>
    <row r="185" spans="1:6" ht="14.25" thickBot="1">
      <c r="A185" s="1741" t="s">
        <v>1385</v>
      </c>
      <c r="B185" s="1745" t="s">
        <v>2096</v>
      </c>
      <c r="C185" s="1746">
        <v>0.127</v>
      </c>
      <c r="D185" s="1746">
        <v>0.127</v>
      </c>
      <c r="E185" s="1746">
        <v>0.128</v>
      </c>
      <c r="F185" s="1747">
        <v>0.13</v>
      </c>
    </row>
    <row r="186" spans="1:6" ht="24.75" thickBot="1">
      <c r="A186" s="1741" t="s">
        <v>1385</v>
      </c>
      <c r="B186" s="1745" t="s">
        <v>2097</v>
      </c>
      <c r="C186" s="1755"/>
      <c r="D186" s="1755"/>
      <c r="E186" s="1755"/>
      <c r="F186" s="1747">
        <v>0.05</v>
      </c>
    </row>
    <row r="187" spans="1:6" ht="14.25" thickBot="1">
      <c r="A187" s="1741" t="s">
        <v>1385</v>
      </c>
      <c r="B187" s="1745" t="s">
        <v>2098</v>
      </c>
      <c r="C187" s="1755"/>
      <c r="D187" s="1755"/>
      <c r="E187" s="1755"/>
      <c r="F187" s="1747">
        <v>0.05</v>
      </c>
    </row>
    <row r="188" spans="1:6" ht="14.25" thickBot="1">
      <c r="A188" s="1741" t="s">
        <v>1385</v>
      </c>
      <c r="B188" s="1745" t="s">
        <v>2099</v>
      </c>
      <c r="C188" s="1755"/>
      <c r="D188" s="1755"/>
      <c r="E188" s="1755"/>
      <c r="F188" s="1747">
        <v>0.05</v>
      </c>
    </row>
    <row r="189" spans="1:6" ht="24.75" thickBot="1">
      <c r="A189" s="1741" t="s">
        <v>1385</v>
      </c>
      <c r="B189" s="1745" t="s">
        <v>2100</v>
      </c>
      <c r="C189" s="1755"/>
      <c r="D189" s="1755"/>
      <c r="E189" s="1755"/>
      <c r="F189" s="1747">
        <v>0.05</v>
      </c>
    </row>
    <row r="190" spans="1:6" ht="24.75" thickBot="1">
      <c r="A190" s="1741" t="s">
        <v>1385</v>
      </c>
      <c r="B190" s="1745" t="s">
        <v>2101</v>
      </c>
      <c r="C190" s="1755"/>
      <c r="D190" s="1755"/>
      <c r="E190" s="1755"/>
      <c r="F190" s="1747">
        <v>0.05</v>
      </c>
    </row>
    <row r="191" spans="1:6" ht="24.75" thickBot="1">
      <c r="A191" s="1741" t="s">
        <v>1385</v>
      </c>
      <c r="B191" s="1745" t="s">
        <v>2102</v>
      </c>
      <c r="C191" s="1755"/>
      <c r="D191" s="1755"/>
      <c r="E191" s="1755"/>
      <c r="F191" s="1747">
        <v>0.05</v>
      </c>
    </row>
    <row r="192" spans="1:6" ht="24.75" thickBot="1">
      <c r="A192" s="1741" t="s">
        <v>1385</v>
      </c>
      <c r="B192" s="1745" t="s">
        <v>2103</v>
      </c>
      <c r="C192" s="1755"/>
      <c r="D192" s="1755"/>
      <c r="E192" s="1755"/>
      <c r="F192" s="1747">
        <v>0.05</v>
      </c>
    </row>
    <row r="193" spans="1:6" ht="24.75" thickBot="1">
      <c r="A193" s="1741" t="s">
        <v>1385</v>
      </c>
      <c r="B193" s="1745" t="s">
        <v>2104</v>
      </c>
      <c r="C193" s="1755"/>
      <c r="D193" s="1755"/>
      <c r="E193" s="1755"/>
      <c r="F193" s="1747">
        <v>0.05</v>
      </c>
    </row>
    <row r="194" spans="1:6" ht="24.75" thickBot="1">
      <c r="A194" s="1741" t="s">
        <v>1385</v>
      </c>
      <c r="B194" s="1745" t="s">
        <v>2105</v>
      </c>
      <c r="C194" s="1755"/>
      <c r="D194" s="1755"/>
      <c r="E194" s="1755"/>
      <c r="F194" s="1747">
        <v>0.05</v>
      </c>
    </row>
    <row r="195" spans="1:6" ht="14.25" thickBot="1">
      <c r="A195" s="1741" t="s">
        <v>1385</v>
      </c>
      <c r="B195" s="1745" t="s">
        <v>2106</v>
      </c>
      <c r="C195" s="1755"/>
      <c r="D195" s="1755"/>
      <c r="E195" s="1755"/>
      <c r="F195" s="1747">
        <v>0.05</v>
      </c>
    </row>
    <row r="196" spans="1:6" ht="24.75" thickBot="1">
      <c r="A196" s="1741" t="s">
        <v>1385</v>
      </c>
      <c r="B196" s="1745" t="s">
        <v>2107</v>
      </c>
      <c r="C196" s="1755"/>
      <c r="D196" s="1755"/>
      <c r="E196" s="1755"/>
      <c r="F196" s="1747">
        <v>0.05</v>
      </c>
    </row>
    <row r="197" spans="1:6" ht="24.75" thickBot="1">
      <c r="A197" s="1741" t="s">
        <v>1385</v>
      </c>
      <c r="B197" s="1745" t="s">
        <v>2108</v>
      </c>
      <c r="C197" s="1755"/>
      <c r="D197" s="1755"/>
      <c r="E197" s="1755"/>
      <c r="F197" s="1747">
        <v>0.05</v>
      </c>
    </row>
    <row r="198" spans="1:6" ht="24.75" thickBot="1">
      <c r="A198" s="1741" t="s">
        <v>1385</v>
      </c>
      <c r="B198" s="1745" t="s">
        <v>2109</v>
      </c>
      <c r="C198" s="1755"/>
      <c r="D198" s="1755"/>
      <c r="E198" s="1755"/>
      <c r="F198" s="1747">
        <v>0.05</v>
      </c>
    </row>
    <row r="199" spans="1:6" ht="24.75" thickBot="1">
      <c r="A199" s="1741" t="s">
        <v>1385</v>
      </c>
      <c r="B199" s="1745" t="s">
        <v>2110</v>
      </c>
      <c r="C199" s="1755"/>
      <c r="D199" s="1755"/>
      <c r="E199" s="1755"/>
      <c r="F199" s="1747">
        <v>0.05</v>
      </c>
    </row>
    <row r="200" spans="1:6" ht="24.75" thickBot="1">
      <c r="A200" s="1741" t="s">
        <v>1385</v>
      </c>
      <c r="B200" s="1745" t="s">
        <v>2111</v>
      </c>
      <c r="C200" s="1755"/>
      <c r="D200" s="1755"/>
      <c r="E200" s="1755"/>
      <c r="F200" s="1747">
        <v>0.05</v>
      </c>
    </row>
    <row r="201" spans="1:6" ht="24.75" thickBot="1">
      <c r="A201" s="1741" t="s">
        <v>1385</v>
      </c>
      <c r="B201" s="1745" t="s">
        <v>2112</v>
      </c>
      <c r="C201" s="1755"/>
      <c r="D201" s="1755"/>
      <c r="E201" s="1755"/>
      <c r="F201" s="1747">
        <v>0.05</v>
      </c>
    </row>
    <row r="202" spans="1:6" ht="24.75" thickBot="1">
      <c r="A202" s="1741" t="s">
        <v>1385</v>
      </c>
      <c r="B202" s="1745" t="s">
        <v>2113</v>
      </c>
      <c r="C202" s="1755"/>
      <c r="D202" s="1755"/>
      <c r="E202" s="1755"/>
      <c r="F202" s="1747">
        <v>0.05</v>
      </c>
    </row>
    <row r="203" spans="1:6" ht="24.75" thickBot="1">
      <c r="A203" s="1741" t="s">
        <v>1385</v>
      </c>
      <c r="B203" s="1745" t="s">
        <v>2114</v>
      </c>
      <c r="C203" s="1755"/>
      <c r="D203" s="1755"/>
      <c r="E203" s="1755"/>
      <c r="F203" s="1747">
        <v>0.05</v>
      </c>
    </row>
    <row r="204" spans="1:6" ht="14.25" thickBot="1">
      <c r="A204" s="1741" t="s">
        <v>1385</v>
      </c>
      <c r="B204" s="1745" t="s">
        <v>2115</v>
      </c>
      <c r="C204" s="1755"/>
      <c r="D204" s="1755"/>
      <c r="E204" s="1755"/>
      <c r="F204" s="1747">
        <v>0.05</v>
      </c>
    </row>
    <row r="205" spans="1:6" ht="14.25" thickBot="1">
      <c r="A205" s="1749" t="s">
        <v>1385</v>
      </c>
      <c r="B205" s="1756" t="s">
        <v>2116</v>
      </c>
      <c r="C205" s="1752"/>
      <c r="D205" s="1752"/>
      <c r="E205" s="1752"/>
      <c r="F205" s="1757">
        <v>0.05</v>
      </c>
    </row>
    <row r="206" spans="1:6" ht="14.25" thickBot="1">
      <c r="A206" s="1741" t="s">
        <v>1387</v>
      </c>
      <c r="B206" s="1742" t="s">
        <v>2117</v>
      </c>
      <c r="C206" s="1743">
        <v>0.15</v>
      </c>
      <c r="D206" s="1743">
        <v>0.15</v>
      </c>
      <c r="E206" s="1743">
        <v>0.15</v>
      </c>
      <c r="F206" s="1744">
        <v>0.15</v>
      </c>
    </row>
    <row r="207" spans="1:6" ht="14.25" thickBot="1">
      <c r="A207" s="1741" t="s">
        <v>1387</v>
      </c>
      <c r="B207" s="1745" t="s">
        <v>1051</v>
      </c>
      <c r="C207" s="1746">
        <v>0.15</v>
      </c>
      <c r="D207" s="1746">
        <v>0.15</v>
      </c>
      <c r="E207" s="1746">
        <v>0.15</v>
      </c>
      <c r="F207" s="1747">
        <v>0.14399999999999999</v>
      </c>
    </row>
    <row r="208" spans="1:6" ht="14.25" thickBot="1">
      <c r="A208" s="1741" t="s">
        <v>1387</v>
      </c>
      <c r="B208" s="1745" t="s">
        <v>1065</v>
      </c>
      <c r="C208" s="1746">
        <v>0.15</v>
      </c>
      <c r="D208" s="1746">
        <v>0.15</v>
      </c>
      <c r="E208" s="1746">
        <v>0.15</v>
      </c>
      <c r="F208" s="1747">
        <v>0.15</v>
      </c>
    </row>
    <row r="209" spans="1:6" ht="14.25" thickBot="1">
      <c r="A209" s="1741" t="s">
        <v>1387</v>
      </c>
      <c r="B209" s="1745" t="s">
        <v>1078</v>
      </c>
      <c r="C209" s="1746">
        <v>0.13700000000000001</v>
      </c>
      <c r="D209" s="1746">
        <v>0.13700000000000001</v>
      </c>
      <c r="E209" s="1746">
        <v>0.14000000000000001</v>
      </c>
      <c r="F209" s="1747">
        <v>0.11700000000000001</v>
      </c>
    </row>
    <row r="210" spans="1:6" ht="14.25" thickBot="1">
      <c r="A210" s="1741" t="s">
        <v>1387</v>
      </c>
      <c r="B210" s="1745" t="s">
        <v>2118</v>
      </c>
      <c r="C210" s="1746">
        <v>0.15</v>
      </c>
      <c r="D210" s="1746">
        <v>0.15</v>
      </c>
      <c r="E210" s="1746">
        <v>0.15</v>
      </c>
      <c r="F210" s="1747">
        <v>0.13800000000000001</v>
      </c>
    </row>
    <row r="211" spans="1:6" ht="14.25" thickBot="1">
      <c r="A211" s="1741" t="s">
        <v>1387</v>
      </c>
      <c r="B211" s="1745" t="s">
        <v>2119</v>
      </c>
      <c r="C211" s="1746">
        <v>0.13700000000000001</v>
      </c>
      <c r="D211" s="1746">
        <v>0.13500000000000001</v>
      </c>
      <c r="E211" s="1746">
        <v>0.13600000000000001</v>
      </c>
      <c r="F211" s="1747">
        <v>0.1</v>
      </c>
    </row>
    <row r="212" spans="1:6" ht="14.25" thickBot="1">
      <c r="A212" s="1741" t="s">
        <v>1387</v>
      </c>
      <c r="B212" s="1745" t="s">
        <v>2120</v>
      </c>
      <c r="C212" s="1746">
        <v>0.15</v>
      </c>
      <c r="D212" s="1746">
        <v>0.15</v>
      </c>
      <c r="E212" s="1746">
        <v>0.14799999999999999</v>
      </c>
      <c r="F212" s="1747">
        <v>0.13600000000000001</v>
      </c>
    </row>
    <row r="213" spans="1:6" ht="14.25" thickBot="1">
      <c r="A213" s="1741" t="s">
        <v>1387</v>
      </c>
      <c r="B213" s="1745" t="s">
        <v>1125</v>
      </c>
      <c r="C213" s="1746">
        <v>0.15</v>
      </c>
      <c r="D213" s="1746">
        <v>0.15</v>
      </c>
      <c r="E213" s="1746">
        <v>0.15</v>
      </c>
      <c r="F213" s="1747">
        <v>0.13800000000000001</v>
      </c>
    </row>
    <row r="214" spans="1:6" ht="14.25" thickBot="1">
      <c r="A214" s="1741" t="s">
        <v>1387</v>
      </c>
      <c r="B214" s="1745" t="s">
        <v>1137</v>
      </c>
      <c r="C214" s="1746">
        <v>9.0999999999999998E-2</v>
      </c>
      <c r="D214" s="1746">
        <v>0.09</v>
      </c>
      <c r="E214" s="1746">
        <v>9.1999999999999998E-2</v>
      </c>
      <c r="F214" s="1754"/>
    </row>
    <row r="215" spans="1:6" ht="14.25" thickBot="1">
      <c r="A215" s="1741" t="s">
        <v>1387</v>
      </c>
      <c r="B215" s="1745" t="s">
        <v>2121</v>
      </c>
      <c r="C215" s="1746">
        <v>0.15</v>
      </c>
      <c r="D215" s="1746">
        <v>0.15</v>
      </c>
      <c r="E215" s="1746">
        <v>0.15</v>
      </c>
      <c r="F215" s="1747">
        <v>0.15</v>
      </c>
    </row>
    <row r="216" spans="1:6" ht="14.25" thickBot="1">
      <c r="A216" s="1741" t="s">
        <v>1387</v>
      </c>
      <c r="B216" s="1745" t="s">
        <v>1157</v>
      </c>
      <c r="C216" s="1746">
        <v>0.14699999999999999</v>
      </c>
      <c r="D216" s="1746">
        <v>0.14699999999999999</v>
      </c>
      <c r="E216" s="1746">
        <v>0.15</v>
      </c>
      <c r="F216" s="1747">
        <v>0.14000000000000001</v>
      </c>
    </row>
    <row r="217" spans="1:6" ht="14.25" thickBot="1">
      <c r="A217" s="1741" t="s">
        <v>1387</v>
      </c>
      <c r="B217" s="1745" t="s">
        <v>1167</v>
      </c>
      <c r="C217" s="1746">
        <v>0.15</v>
      </c>
      <c r="D217" s="1746">
        <v>0.15</v>
      </c>
      <c r="E217" s="1746">
        <v>0.15</v>
      </c>
      <c r="F217" s="1747">
        <v>0.15</v>
      </c>
    </row>
    <row r="218" spans="1:6" ht="14.25" thickBot="1">
      <c r="A218" s="1741" t="s">
        <v>1387</v>
      </c>
      <c r="B218" s="1745" t="s">
        <v>2122</v>
      </c>
      <c r="C218" s="1746">
        <v>0.15</v>
      </c>
      <c r="D218" s="1746">
        <v>0.15</v>
      </c>
      <c r="E218" s="1746">
        <v>0.15</v>
      </c>
      <c r="F218" s="1747">
        <v>0.15</v>
      </c>
    </row>
    <row r="219" spans="1:6" ht="14.25" thickBot="1">
      <c r="A219" s="1741" t="s">
        <v>1387</v>
      </c>
      <c r="B219" s="1745" t="s">
        <v>1187</v>
      </c>
      <c r="C219" s="1746">
        <v>0.15</v>
      </c>
      <c r="D219" s="1746">
        <v>0.15</v>
      </c>
      <c r="E219" s="1746">
        <v>0.15</v>
      </c>
      <c r="F219" s="1747">
        <v>0.14799999999999999</v>
      </c>
    </row>
    <row r="220" spans="1:6" ht="14.25" thickBot="1">
      <c r="A220" s="1741" t="s">
        <v>1387</v>
      </c>
      <c r="B220" s="1745" t="s">
        <v>2123</v>
      </c>
      <c r="C220" s="1746">
        <v>0.15</v>
      </c>
      <c r="D220" s="1746">
        <v>0.15</v>
      </c>
      <c r="E220" s="1746">
        <v>0.15</v>
      </c>
      <c r="F220" s="1747">
        <v>0.15</v>
      </c>
    </row>
    <row r="221" spans="1:6" ht="14.25" thickBot="1">
      <c r="A221" s="1741" t="s">
        <v>1387</v>
      </c>
      <c r="B221" s="1745" t="s">
        <v>1207</v>
      </c>
      <c r="C221" s="1746"/>
      <c r="D221" s="1755"/>
      <c r="E221" s="1755"/>
      <c r="F221" s="1747">
        <v>0.14799999999999999</v>
      </c>
    </row>
    <row r="222" spans="1:6" ht="14.25" thickBot="1">
      <c r="A222" s="1741" t="s">
        <v>1387</v>
      </c>
      <c r="B222" s="1745" t="s">
        <v>1217</v>
      </c>
      <c r="C222" s="1746"/>
      <c r="D222" s="1755"/>
      <c r="E222" s="1755"/>
      <c r="F222" s="1747">
        <v>0.1</v>
      </c>
    </row>
    <row r="223" spans="1:6" ht="14.25" thickBot="1">
      <c r="A223" s="1741" t="s">
        <v>1387</v>
      </c>
      <c r="B223" s="1745" t="s">
        <v>1227</v>
      </c>
      <c r="C223" s="1746"/>
      <c r="D223" s="1755"/>
      <c r="E223" s="1755"/>
      <c r="F223" s="1747">
        <v>0.15</v>
      </c>
    </row>
    <row r="224" spans="1:6" ht="14.25" thickBot="1">
      <c r="A224" s="1741" t="s">
        <v>1387</v>
      </c>
      <c r="B224" s="1745" t="s">
        <v>1237</v>
      </c>
      <c r="C224" s="1746"/>
      <c r="D224" s="1755"/>
      <c r="E224" s="1755"/>
      <c r="F224" s="1747">
        <v>0.15</v>
      </c>
    </row>
    <row r="225" spans="1:6" ht="14.25" thickBot="1">
      <c r="A225" s="1741" t="s">
        <v>1387</v>
      </c>
      <c r="B225" s="1745" t="s">
        <v>2124</v>
      </c>
      <c r="C225" s="1746">
        <v>0.15</v>
      </c>
      <c r="D225" s="1746">
        <v>0.15</v>
      </c>
      <c r="E225" s="1746">
        <v>0.15</v>
      </c>
      <c r="F225" s="1747">
        <v>0.15</v>
      </c>
    </row>
    <row r="226" spans="1:6" ht="14.25" thickBot="1">
      <c r="A226" s="1741" t="s">
        <v>1387</v>
      </c>
      <c r="B226" s="1745" t="s">
        <v>1255</v>
      </c>
      <c r="C226" s="1746">
        <v>0.15</v>
      </c>
      <c r="D226" s="1746">
        <v>0.15</v>
      </c>
      <c r="E226" s="1746">
        <v>0.15</v>
      </c>
      <c r="F226" s="1747">
        <v>0.14799999999999999</v>
      </c>
    </row>
    <row r="227" spans="1:6" ht="14.25" thickBot="1">
      <c r="A227" s="1741" t="s">
        <v>1387</v>
      </c>
      <c r="B227" s="1745" t="s">
        <v>2125</v>
      </c>
      <c r="C227" s="1746">
        <v>0.15</v>
      </c>
      <c r="D227" s="1746">
        <v>0.15</v>
      </c>
      <c r="E227" s="1746">
        <v>0.15</v>
      </c>
      <c r="F227" s="1747">
        <v>0.15</v>
      </c>
    </row>
    <row r="228" spans="1:6" ht="14.25" thickBot="1">
      <c r="A228" s="1741" t="s">
        <v>1387</v>
      </c>
      <c r="B228" s="1745" t="s">
        <v>1270</v>
      </c>
      <c r="C228" s="1746">
        <v>0.15</v>
      </c>
      <c r="D228" s="1746">
        <v>0.15</v>
      </c>
      <c r="E228" s="1746">
        <v>0.15</v>
      </c>
      <c r="F228" s="1747">
        <v>0.15</v>
      </c>
    </row>
    <row r="229" spans="1:6" ht="14.25" thickBot="1">
      <c r="A229" s="1741" t="s">
        <v>1387</v>
      </c>
      <c r="B229" s="1745" t="s">
        <v>1277</v>
      </c>
      <c r="C229" s="1746">
        <v>0.15</v>
      </c>
      <c r="D229" s="1746">
        <v>0.15</v>
      </c>
      <c r="E229" s="1746">
        <v>0.15</v>
      </c>
      <c r="F229" s="1754"/>
    </row>
    <row r="230" spans="1:6" ht="14.25" thickBot="1">
      <c r="A230" s="1741" t="s">
        <v>1387</v>
      </c>
      <c r="B230" s="1745" t="s">
        <v>1284</v>
      </c>
      <c r="C230" s="1746">
        <v>0.14499999999999999</v>
      </c>
      <c r="D230" s="1746">
        <v>0.14499999999999999</v>
      </c>
      <c r="E230" s="1746">
        <v>0.14399999999999999</v>
      </c>
      <c r="F230" s="1754"/>
    </row>
    <row r="231" spans="1:6" ht="14.25" thickBot="1">
      <c r="A231" s="1741" t="s">
        <v>1387</v>
      </c>
      <c r="B231" s="1745" t="s">
        <v>2126</v>
      </c>
      <c r="C231" s="1746">
        <v>0.128</v>
      </c>
      <c r="D231" s="1746">
        <v>0.125</v>
      </c>
      <c r="E231" s="1746">
        <v>0.13200000000000001</v>
      </c>
      <c r="F231" s="1754"/>
    </row>
    <row r="232" spans="1:6" ht="14.25" thickBot="1">
      <c r="A232" s="1741" t="s">
        <v>1387</v>
      </c>
      <c r="B232" s="1745" t="s">
        <v>2127</v>
      </c>
      <c r="C232" s="1746">
        <v>0.14499999999999999</v>
      </c>
      <c r="D232" s="1746">
        <v>0.14399999999999999</v>
      </c>
      <c r="E232" s="1746">
        <v>0.14599999999999999</v>
      </c>
      <c r="F232" s="1747">
        <v>0.13800000000000001</v>
      </c>
    </row>
    <row r="233" spans="1:6" ht="14.25" thickBot="1">
      <c r="A233" s="1741" t="s">
        <v>1387</v>
      </c>
      <c r="B233" s="1745" t="s">
        <v>2128</v>
      </c>
      <c r="C233" s="1746">
        <v>0.14499999999999999</v>
      </c>
      <c r="D233" s="1746">
        <v>0.14299999999999999</v>
      </c>
      <c r="E233" s="1746">
        <v>0.14199999999999999</v>
      </c>
      <c r="F233" s="1754"/>
    </row>
    <row r="234" spans="1:6" ht="14.25" thickBot="1">
      <c r="A234" s="1741" t="s">
        <v>1387</v>
      </c>
      <c r="B234" s="1745" t="s">
        <v>2129</v>
      </c>
      <c r="C234" s="1746">
        <v>0.14000000000000001</v>
      </c>
      <c r="D234" s="1746">
        <v>0.14000000000000001</v>
      </c>
      <c r="E234" s="1746">
        <v>0.14399999999999999</v>
      </c>
      <c r="F234" s="1754"/>
    </row>
    <row r="235" spans="1:6" ht="14.25" thickBot="1">
      <c r="A235" s="1741" t="s">
        <v>1387</v>
      </c>
      <c r="B235" s="1745" t="s">
        <v>2130</v>
      </c>
      <c r="C235" s="1746">
        <v>0.14099999999999999</v>
      </c>
      <c r="D235" s="1746">
        <v>0.14199999999999999</v>
      </c>
      <c r="E235" s="1746">
        <v>0.14499999999999999</v>
      </c>
      <c r="F235" s="1747">
        <v>0.15</v>
      </c>
    </row>
    <row r="236" spans="1:6" ht="14.25" thickBot="1">
      <c r="A236" s="1741" t="s">
        <v>1387</v>
      </c>
      <c r="B236" s="1745" t="s">
        <v>1319</v>
      </c>
      <c r="C236" s="1755"/>
      <c r="D236" s="1755"/>
      <c r="E236" s="1755"/>
      <c r="F236" s="1747">
        <v>0.14299999999999999</v>
      </c>
    </row>
    <row r="237" spans="1:6" ht="24.75" thickBot="1">
      <c r="A237" s="1741" t="s">
        <v>1387</v>
      </c>
      <c r="B237" s="1745" t="s">
        <v>2131</v>
      </c>
      <c r="C237" s="1755"/>
      <c r="D237" s="1755"/>
      <c r="E237" s="1755"/>
      <c r="F237" s="1747">
        <v>0.05</v>
      </c>
    </row>
    <row r="238" spans="1:6" ht="24.75" thickBot="1">
      <c r="A238" s="1741" t="s">
        <v>1387</v>
      </c>
      <c r="B238" s="1745" t="s">
        <v>2132</v>
      </c>
      <c r="C238" s="1755"/>
      <c r="D238" s="1755"/>
      <c r="E238" s="1755"/>
      <c r="F238" s="1747">
        <v>0.05</v>
      </c>
    </row>
    <row r="239" spans="1:6" ht="24.75" thickBot="1">
      <c r="A239" s="1741" t="s">
        <v>1387</v>
      </c>
      <c r="B239" s="1745" t="s">
        <v>2133</v>
      </c>
      <c r="C239" s="1755"/>
      <c r="D239" s="1755"/>
      <c r="E239" s="1755"/>
      <c r="F239" s="1747">
        <v>0.05</v>
      </c>
    </row>
    <row r="240" spans="1:6" ht="24.75" thickBot="1">
      <c r="A240" s="1741" t="s">
        <v>1387</v>
      </c>
      <c r="B240" s="1745" t="s">
        <v>2134</v>
      </c>
      <c r="C240" s="1755"/>
      <c r="D240" s="1755"/>
      <c r="E240" s="1755"/>
      <c r="F240" s="1747">
        <v>0.05</v>
      </c>
    </row>
    <row r="241" spans="1:6" ht="24.75" thickBot="1">
      <c r="A241" s="1741" t="s">
        <v>1387</v>
      </c>
      <c r="B241" s="1745" t="s">
        <v>2135</v>
      </c>
      <c r="C241" s="1755"/>
      <c r="D241" s="1755"/>
      <c r="E241" s="1755"/>
      <c r="F241" s="1747">
        <v>0.05</v>
      </c>
    </row>
    <row r="242" spans="1:6" ht="24.75" thickBot="1">
      <c r="A242" s="1741" t="s">
        <v>1387</v>
      </c>
      <c r="B242" s="1745" t="s">
        <v>2136</v>
      </c>
      <c r="C242" s="1755"/>
      <c r="D242" s="1755"/>
      <c r="E242" s="1755"/>
      <c r="F242" s="1747">
        <v>0.05</v>
      </c>
    </row>
    <row r="243" spans="1:6" ht="24.75" thickBot="1">
      <c r="A243" s="1741" t="s">
        <v>1387</v>
      </c>
      <c r="B243" s="1745" t="s">
        <v>2137</v>
      </c>
      <c r="C243" s="1755"/>
      <c r="D243" s="1755"/>
      <c r="E243" s="1755"/>
      <c r="F243" s="1747">
        <v>0.05</v>
      </c>
    </row>
    <row r="244" spans="1:6" ht="24.75" thickBot="1">
      <c r="A244" s="1749" t="s">
        <v>1387</v>
      </c>
      <c r="B244" s="1756" t="s">
        <v>2138</v>
      </c>
      <c r="C244" s="1752"/>
      <c r="D244" s="1752"/>
      <c r="E244" s="1752"/>
      <c r="F244" s="1757">
        <v>0.05</v>
      </c>
    </row>
    <row r="245" spans="1:6" ht="14.25" thickBot="1">
      <c r="A245" s="1741" t="s">
        <v>1389</v>
      </c>
      <c r="B245" s="1742" t="s">
        <v>2139</v>
      </c>
      <c r="C245" s="1743">
        <v>0.15</v>
      </c>
      <c r="D245" s="1743">
        <v>0.15</v>
      </c>
      <c r="E245" s="1743">
        <v>0.15</v>
      </c>
      <c r="F245" s="1744">
        <v>0.14299999999999999</v>
      </c>
    </row>
    <row r="246" spans="1:6" ht="14.25" thickBot="1">
      <c r="A246" s="1741" t="s">
        <v>1389</v>
      </c>
      <c r="B246" s="1745" t="s">
        <v>1052</v>
      </c>
      <c r="C246" s="1746">
        <v>0.15</v>
      </c>
      <c r="D246" s="1746">
        <v>0.15</v>
      </c>
      <c r="E246" s="1746">
        <v>0.15</v>
      </c>
      <c r="F246" s="1747">
        <v>0.114</v>
      </c>
    </row>
    <row r="247" spans="1:6" ht="14.25" thickBot="1">
      <c r="A247" s="1741" t="s">
        <v>1389</v>
      </c>
      <c r="B247" s="1745" t="s">
        <v>2140</v>
      </c>
      <c r="C247" s="1746">
        <v>0.15</v>
      </c>
      <c r="D247" s="1746">
        <v>0.15</v>
      </c>
      <c r="E247" s="1746">
        <v>0.15</v>
      </c>
      <c r="F247" s="1747">
        <v>0.15</v>
      </c>
    </row>
    <row r="248" spans="1:6" ht="14.25" thickBot="1">
      <c r="A248" s="1741" t="s">
        <v>1389</v>
      </c>
      <c r="B248" s="1745" t="s">
        <v>2141</v>
      </c>
      <c r="C248" s="1746">
        <v>0.15</v>
      </c>
      <c r="D248" s="1746">
        <v>0.15</v>
      </c>
      <c r="E248" s="1746">
        <v>0.15</v>
      </c>
      <c r="F248" s="1747">
        <v>0.14000000000000001</v>
      </c>
    </row>
    <row r="249" spans="1:6" ht="14.25" thickBot="1">
      <c r="A249" s="1741" t="s">
        <v>1389</v>
      </c>
      <c r="B249" s="1745" t="s">
        <v>2142</v>
      </c>
      <c r="C249" s="1746">
        <v>0.15</v>
      </c>
      <c r="D249" s="1746">
        <v>0.14899999999999999</v>
      </c>
      <c r="E249" s="1746">
        <v>0.15</v>
      </c>
      <c r="F249" s="1747">
        <v>0.1</v>
      </c>
    </row>
    <row r="250" spans="1:6" ht="14.25" thickBot="1">
      <c r="A250" s="1741" t="s">
        <v>1389</v>
      </c>
      <c r="B250" s="1745" t="s">
        <v>2143</v>
      </c>
      <c r="C250" s="1746">
        <v>0.15</v>
      </c>
      <c r="D250" s="1746">
        <v>0.15</v>
      </c>
      <c r="E250" s="1746">
        <v>0.15</v>
      </c>
      <c r="F250" s="1747">
        <v>0.14399999999999999</v>
      </c>
    </row>
    <row r="251" spans="1:6" ht="14.25" thickBot="1">
      <c r="A251" s="1741" t="s">
        <v>1389</v>
      </c>
      <c r="B251" s="1745" t="s">
        <v>1115</v>
      </c>
      <c r="C251" s="1746">
        <v>0.15</v>
      </c>
      <c r="D251" s="1746">
        <v>0.15</v>
      </c>
      <c r="E251" s="1746">
        <v>0.15</v>
      </c>
      <c r="F251" s="1747">
        <v>0.14299999999999999</v>
      </c>
    </row>
    <row r="252" spans="1:6" ht="14.25" thickBot="1">
      <c r="A252" s="1741" t="s">
        <v>1389</v>
      </c>
      <c r="B252" s="1745" t="s">
        <v>1126</v>
      </c>
      <c r="C252" s="1746">
        <v>0.15</v>
      </c>
      <c r="D252" s="1746">
        <v>0.15</v>
      </c>
      <c r="E252" s="1746">
        <v>0.15</v>
      </c>
      <c r="F252" s="1747">
        <v>0.1</v>
      </c>
    </row>
    <row r="253" spans="1:6" ht="14.25" thickBot="1">
      <c r="A253" s="1741" t="s">
        <v>1389</v>
      </c>
      <c r="B253" s="1745" t="s">
        <v>1138</v>
      </c>
      <c r="C253" s="1746">
        <v>0.15</v>
      </c>
      <c r="D253" s="1746">
        <v>0.15</v>
      </c>
      <c r="E253" s="1746">
        <v>0.15</v>
      </c>
      <c r="F253" s="1747">
        <v>0.1</v>
      </c>
    </row>
    <row r="254" spans="1:6" ht="14.25" thickBot="1">
      <c r="A254" s="1741" t="s">
        <v>1389</v>
      </c>
      <c r="B254" s="1745" t="s">
        <v>1148</v>
      </c>
      <c r="C254" s="1755"/>
      <c r="D254" s="1755"/>
      <c r="E254" s="1755"/>
      <c r="F254" s="1747">
        <v>0.15</v>
      </c>
    </row>
    <row r="255" spans="1:6" ht="14.25" thickBot="1">
      <c r="A255" s="1741" t="s">
        <v>1389</v>
      </c>
      <c r="B255" s="1745" t="s">
        <v>1158</v>
      </c>
      <c r="C255" s="1755"/>
      <c r="D255" s="1755"/>
      <c r="E255" s="1755"/>
      <c r="F255" s="1747">
        <v>0.14299999999999999</v>
      </c>
    </row>
    <row r="256" spans="1:6" ht="14.25" thickBot="1">
      <c r="A256" s="1741" t="s">
        <v>1389</v>
      </c>
      <c r="B256" s="1745" t="s">
        <v>2144</v>
      </c>
      <c r="C256" s="1746">
        <v>0.14599999999999999</v>
      </c>
      <c r="D256" s="1746">
        <v>0.14699999999999999</v>
      </c>
      <c r="E256" s="1746">
        <v>0.15</v>
      </c>
      <c r="F256" s="1747">
        <v>0.13200000000000001</v>
      </c>
    </row>
    <row r="257" spans="1:6" ht="14.25" thickBot="1">
      <c r="A257" s="1741" t="s">
        <v>1389</v>
      </c>
      <c r="B257" s="1745" t="s">
        <v>1178</v>
      </c>
      <c r="C257" s="1746">
        <v>0.15</v>
      </c>
      <c r="D257" s="1746">
        <v>0.15</v>
      </c>
      <c r="E257" s="1746">
        <v>0.15</v>
      </c>
      <c r="F257" s="1747">
        <v>0.13900000000000001</v>
      </c>
    </row>
    <row r="258" spans="1:6" ht="14.25" thickBot="1">
      <c r="A258" s="1741" t="s">
        <v>1389</v>
      </c>
      <c r="B258" s="1745" t="s">
        <v>1188</v>
      </c>
      <c r="C258" s="1746">
        <v>0.15</v>
      </c>
      <c r="D258" s="1746">
        <v>0.15</v>
      </c>
      <c r="E258" s="1746">
        <v>0.15</v>
      </c>
      <c r="F258" s="1747">
        <v>0.13</v>
      </c>
    </row>
    <row r="259" spans="1:6" ht="14.25" thickBot="1">
      <c r="A259" s="1741" t="s">
        <v>1389</v>
      </c>
      <c r="B259" s="1745" t="s">
        <v>2145</v>
      </c>
      <c r="C259" s="1746">
        <v>0.14799999999999999</v>
      </c>
      <c r="D259" s="1746">
        <v>0.14899999999999999</v>
      </c>
      <c r="E259" s="1746">
        <v>0.15</v>
      </c>
      <c r="F259" s="1747">
        <v>0.13700000000000001</v>
      </c>
    </row>
    <row r="260" spans="1:6" ht="14.25" thickBot="1">
      <c r="A260" s="1741" t="s">
        <v>1389</v>
      </c>
      <c r="B260" s="1745" t="s">
        <v>1208</v>
      </c>
      <c r="C260" s="1746">
        <v>0.15</v>
      </c>
      <c r="D260" s="1746">
        <v>0.15</v>
      </c>
      <c r="E260" s="1746">
        <v>0.15</v>
      </c>
      <c r="F260" s="1747">
        <v>0.14199999999999999</v>
      </c>
    </row>
    <row r="261" spans="1:6" ht="14.25" thickBot="1">
      <c r="A261" s="1741" t="s">
        <v>1389</v>
      </c>
      <c r="B261" s="1745" t="s">
        <v>1218</v>
      </c>
      <c r="C261" s="1746">
        <v>0.15</v>
      </c>
      <c r="D261" s="1746">
        <v>0.15</v>
      </c>
      <c r="E261" s="1746">
        <v>0.14899999999999999</v>
      </c>
      <c r="F261" s="1747">
        <v>0.14799999999999999</v>
      </c>
    </row>
    <row r="262" spans="1:6" ht="14.25" thickBot="1">
      <c r="A262" s="1741" t="s">
        <v>1389</v>
      </c>
      <c r="B262" s="1745" t="s">
        <v>1228</v>
      </c>
      <c r="C262" s="1746">
        <v>0.15</v>
      </c>
      <c r="D262" s="1746">
        <v>0.15</v>
      </c>
      <c r="E262" s="1746">
        <v>0.15</v>
      </c>
      <c r="F262" s="1754"/>
    </row>
    <row r="263" spans="1:6" ht="14.25" thickBot="1">
      <c r="A263" s="1741" t="s">
        <v>1389</v>
      </c>
      <c r="B263" s="1745" t="s">
        <v>2146</v>
      </c>
      <c r="C263" s="1746">
        <v>0.14899999999999999</v>
      </c>
      <c r="D263" s="1746">
        <v>0.14899999999999999</v>
      </c>
      <c r="E263" s="1746">
        <v>0.15</v>
      </c>
      <c r="F263" s="1747">
        <v>0.13</v>
      </c>
    </row>
    <row r="264" spans="1:6" ht="14.25" thickBot="1">
      <c r="A264" s="1741" t="s">
        <v>1389</v>
      </c>
      <c r="B264" s="1745" t="s">
        <v>1247</v>
      </c>
      <c r="C264" s="1746">
        <v>0.14799999999999999</v>
      </c>
      <c r="D264" s="1746">
        <v>0.14699999999999999</v>
      </c>
      <c r="E264" s="1746">
        <v>0.15</v>
      </c>
      <c r="F264" s="1747">
        <v>7.8E-2</v>
      </c>
    </row>
    <row r="265" spans="1:6" ht="14.25" thickBot="1">
      <c r="A265" s="1741" t="s">
        <v>1389</v>
      </c>
      <c r="B265" s="1745" t="s">
        <v>1256</v>
      </c>
      <c r="C265" s="1746">
        <v>0.15</v>
      </c>
      <c r="D265" s="1746">
        <v>0.15</v>
      </c>
      <c r="E265" s="1746">
        <v>0.15</v>
      </c>
      <c r="F265" s="1747">
        <v>7.3999999999999996E-2</v>
      </c>
    </row>
    <row r="266" spans="1:6" ht="14.25" thickBot="1">
      <c r="A266" s="1741" t="s">
        <v>1389</v>
      </c>
      <c r="B266" s="1745" t="s">
        <v>1264</v>
      </c>
      <c r="C266" s="1746">
        <v>0.14699999999999999</v>
      </c>
      <c r="D266" s="1746">
        <v>0.14699999999999999</v>
      </c>
      <c r="E266" s="1746">
        <v>0.15</v>
      </c>
      <c r="F266" s="1747">
        <v>0.14299999999999999</v>
      </c>
    </row>
    <row r="267" spans="1:6" ht="14.25" thickBot="1">
      <c r="A267" s="1741" t="s">
        <v>1389</v>
      </c>
      <c r="B267" s="1745" t="s">
        <v>1271</v>
      </c>
      <c r="C267" s="1746">
        <v>0.14199999999999999</v>
      </c>
      <c r="D267" s="1746">
        <v>0.14299999999999999</v>
      </c>
      <c r="E267" s="1746">
        <v>0.15</v>
      </c>
      <c r="F267" s="1754"/>
    </row>
    <row r="268" spans="1:6" ht="14.25" thickBot="1">
      <c r="A268" s="1741" t="s">
        <v>1389</v>
      </c>
      <c r="B268" s="1745" t="s">
        <v>2147</v>
      </c>
      <c r="C268" s="1746">
        <v>0.15</v>
      </c>
      <c r="D268" s="1746">
        <v>0.15</v>
      </c>
      <c r="E268" s="1746">
        <v>0.15</v>
      </c>
      <c r="F268" s="1747">
        <v>0.13</v>
      </c>
    </row>
    <row r="269" spans="1:6" ht="14.25" thickBot="1">
      <c r="A269" s="1741" t="s">
        <v>1389</v>
      </c>
      <c r="B269" s="1745" t="s">
        <v>1285</v>
      </c>
      <c r="C269" s="1746">
        <v>0.15</v>
      </c>
      <c r="D269" s="1746">
        <v>0.15</v>
      </c>
      <c r="E269" s="1746">
        <v>0.15</v>
      </c>
      <c r="F269" s="1747">
        <v>0.14299999999999999</v>
      </c>
    </row>
    <row r="270" spans="1:6" ht="14.25" thickBot="1">
      <c r="A270" s="1741" t="s">
        <v>1389</v>
      </c>
      <c r="B270" s="1745" t="s">
        <v>1292</v>
      </c>
      <c r="C270" s="1746">
        <v>0.14499999999999999</v>
      </c>
      <c r="D270" s="1746">
        <v>0.14499999999999999</v>
      </c>
      <c r="E270" s="1746">
        <v>0.15</v>
      </c>
      <c r="F270" s="1747">
        <v>0.14699999999999999</v>
      </c>
    </row>
    <row r="271" spans="1:6" ht="14.25" thickBot="1">
      <c r="A271" s="1741" t="s">
        <v>1389</v>
      </c>
      <c r="B271" s="1745" t="s">
        <v>1299</v>
      </c>
      <c r="C271" s="1746">
        <v>0.15</v>
      </c>
      <c r="D271" s="1746">
        <v>0.15</v>
      </c>
      <c r="E271" s="1746">
        <v>0.15</v>
      </c>
      <c r="F271" s="1747">
        <v>0.13800000000000001</v>
      </c>
    </row>
    <row r="272" spans="1:6" ht="14.25" thickBot="1">
      <c r="A272" s="1741" t="s">
        <v>1389</v>
      </c>
      <c r="B272" s="1745" t="s">
        <v>1306</v>
      </c>
      <c r="C272" s="1755"/>
      <c r="D272" s="1755"/>
      <c r="E272" s="1755"/>
      <c r="F272" s="1747">
        <v>0.14000000000000001</v>
      </c>
    </row>
    <row r="273" spans="1:6" ht="14.25" thickBot="1">
      <c r="A273" s="1741" t="s">
        <v>1389</v>
      </c>
      <c r="B273" s="1745" t="s">
        <v>2148</v>
      </c>
      <c r="C273" s="1746">
        <v>0.14199999999999999</v>
      </c>
      <c r="D273" s="1746">
        <v>0.14299999999999999</v>
      </c>
      <c r="E273" s="1746">
        <v>0.15</v>
      </c>
      <c r="F273" s="1747">
        <v>0.1</v>
      </c>
    </row>
    <row r="274" spans="1:6" ht="14.25" thickBot="1">
      <c r="A274" s="1741" t="s">
        <v>1389</v>
      </c>
      <c r="B274" s="1745" t="s">
        <v>2149</v>
      </c>
      <c r="C274" s="1746">
        <v>0.14799999999999999</v>
      </c>
      <c r="D274" s="1746">
        <v>0.14799999999999999</v>
      </c>
      <c r="E274" s="1746">
        <v>0.15</v>
      </c>
      <c r="F274" s="1747">
        <v>6.7000000000000004E-2</v>
      </c>
    </row>
    <row r="275" spans="1:6" ht="14.25" thickBot="1">
      <c r="A275" s="1741" t="s">
        <v>1389</v>
      </c>
      <c r="B275" s="1745" t="s">
        <v>2150</v>
      </c>
      <c r="C275" s="1746">
        <v>0.15</v>
      </c>
      <c r="D275" s="1746">
        <v>0.15</v>
      </c>
      <c r="E275" s="1746">
        <v>0.15</v>
      </c>
      <c r="F275" s="1747">
        <v>0.15</v>
      </c>
    </row>
    <row r="276" spans="1:6" ht="14.25" thickBot="1">
      <c r="A276" s="1741" t="s">
        <v>1389</v>
      </c>
      <c r="B276" s="1745" t="s">
        <v>2151</v>
      </c>
      <c r="C276" s="1746">
        <v>0.14499999999999999</v>
      </c>
      <c r="D276" s="1746">
        <v>0.14299999999999999</v>
      </c>
      <c r="E276" s="1746">
        <v>0.15</v>
      </c>
      <c r="F276" s="1747">
        <v>5.8999999999999997E-2</v>
      </c>
    </row>
    <row r="277" spans="1:6" ht="14.25" thickBot="1">
      <c r="A277" s="1741" t="s">
        <v>1389</v>
      </c>
      <c r="B277" s="1745" t="s">
        <v>2152</v>
      </c>
      <c r="C277" s="1746">
        <v>0.15</v>
      </c>
      <c r="D277" s="1746">
        <v>0.15</v>
      </c>
      <c r="E277" s="1746">
        <v>0.15</v>
      </c>
      <c r="F277" s="1747">
        <v>0.121</v>
      </c>
    </row>
    <row r="278" spans="1:6" ht="14.25" thickBot="1">
      <c r="A278" s="1741" t="s">
        <v>1389</v>
      </c>
      <c r="B278" s="1745" t="s">
        <v>2153</v>
      </c>
      <c r="C278" s="1746">
        <v>0.15</v>
      </c>
      <c r="D278" s="1746">
        <v>0.15</v>
      </c>
      <c r="E278" s="1746">
        <v>0.15</v>
      </c>
      <c r="F278" s="1747">
        <v>0.13800000000000001</v>
      </c>
    </row>
    <row r="279" spans="1:6" ht="24.75" thickBot="1">
      <c r="A279" s="1741" t="s">
        <v>1389</v>
      </c>
      <c r="B279" s="1745" t="s">
        <v>2154</v>
      </c>
      <c r="C279" s="1755"/>
      <c r="D279" s="1755"/>
      <c r="E279" s="1755"/>
      <c r="F279" s="1747">
        <v>0.05</v>
      </c>
    </row>
    <row r="280" spans="1:6" ht="24.75" thickBot="1">
      <c r="A280" s="1741" t="s">
        <v>1389</v>
      </c>
      <c r="B280" s="1745" t="s">
        <v>2155</v>
      </c>
      <c r="C280" s="1755"/>
      <c r="D280" s="1755"/>
      <c r="E280" s="1755"/>
      <c r="F280" s="1747">
        <v>0.05</v>
      </c>
    </row>
    <row r="281" spans="1:6" ht="24.75" thickBot="1">
      <c r="A281" s="1741" t="s">
        <v>1389</v>
      </c>
      <c r="B281" s="1745" t="s">
        <v>2156</v>
      </c>
      <c r="C281" s="1755"/>
      <c r="D281" s="1755"/>
      <c r="E281" s="1755"/>
      <c r="F281" s="1747">
        <v>0.05</v>
      </c>
    </row>
    <row r="282" spans="1:6" ht="24.75" thickBot="1">
      <c r="A282" s="1741" t="s">
        <v>1389</v>
      </c>
      <c r="B282" s="1745" t="s">
        <v>2157</v>
      </c>
      <c r="C282" s="1755"/>
      <c r="D282" s="1755"/>
      <c r="E282" s="1755"/>
      <c r="F282" s="1747">
        <v>0.05</v>
      </c>
    </row>
    <row r="283" spans="1:6" ht="24.75" thickBot="1">
      <c r="A283" s="1741" t="s">
        <v>1389</v>
      </c>
      <c r="B283" s="1745" t="s">
        <v>2158</v>
      </c>
      <c r="C283" s="1755"/>
      <c r="D283" s="1755"/>
      <c r="E283" s="1755"/>
      <c r="F283" s="1747">
        <v>0.05</v>
      </c>
    </row>
    <row r="284" spans="1:6" ht="24.75" thickBot="1">
      <c r="A284" s="1741" t="s">
        <v>1389</v>
      </c>
      <c r="B284" s="1745" t="s">
        <v>2159</v>
      </c>
      <c r="C284" s="1755"/>
      <c r="D284" s="1755"/>
      <c r="E284" s="1755"/>
      <c r="F284" s="1747">
        <v>0.05</v>
      </c>
    </row>
    <row r="285" spans="1:6" ht="24.75" thickBot="1">
      <c r="A285" s="1741" t="s">
        <v>1389</v>
      </c>
      <c r="B285" s="1745" t="s">
        <v>2160</v>
      </c>
      <c r="C285" s="1755"/>
      <c r="D285" s="1755"/>
      <c r="E285" s="1755"/>
      <c r="F285" s="1747">
        <v>0.05</v>
      </c>
    </row>
    <row r="286" spans="1:6" ht="24.75" thickBot="1">
      <c r="A286" s="1741" t="s">
        <v>1389</v>
      </c>
      <c r="B286" s="1745" t="s">
        <v>2161</v>
      </c>
      <c r="C286" s="1755"/>
      <c r="D286" s="1755"/>
      <c r="E286" s="1755"/>
      <c r="F286" s="1747">
        <v>0.05</v>
      </c>
    </row>
    <row r="287" spans="1:6" ht="24.75" thickBot="1">
      <c r="A287" s="1741" t="s">
        <v>1389</v>
      </c>
      <c r="B287" s="1745" t="s">
        <v>2162</v>
      </c>
      <c r="C287" s="1755"/>
      <c r="D287" s="1755"/>
      <c r="E287" s="1755"/>
      <c r="F287" s="1747">
        <v>0.05</v>
      </c>
    </row>
    <row r="288" spans="1:6" ht="24.75" thickBot="1">
      <c r="A288" s="1741" t="s">
        <v>1389</v>
      </c>
      <c r="B288" s="1745" t="s">
        <v>2163</v>
      </c>
      <c r="C288" s="1755"/>
      <c r="D288" s="1755"/>
      <c r="E288" s="1755"/>
      <c r="F288" s="1747">
        <v>0.05</v>
      </c>
    </row>
    <row r="289" spans="1:6" ht="24.75" thickBot="1">
      <c r="A289" s="1749" t="s">
        <v>1389</v>
      </c>
      <c r="B289" s="1756" t="s">
        <v>2164</v>
      </c>
      <c r="C289" s="1752"/>
      <c r="D289" s="1752"/>
      <c r="E289" s="1752"/>
      <c r="F289" s="1757">
        <v>0.05</v>
      </c>
    </row>
    <row r="290" spans="1:6" ht="14.25" thickBot="1">
      <c r="A290" s="1741" t="s">
        <v>1393</v>
      </c>
      <c r="B290" s="1742" t="s">
        <v>2165</v>
      </c>
      <c r="C290" s="1743">
        <v>0.15</v>
      </c>
      <c r="D290" s="1743">
        <v>0.15</v>
      </c>
      <c r="E290" s="1743">
        <v>0.15</v>
      </c>
      <c r="F290" s="1765"/>
    </row>
    <row r="291" spans="1:6" ht="14.25" thickBot="1">
      <c r="A291" s="1741" t="s">
        <v>1393</v>
      </c>
      <c r="B291" s="1745" t="s">
        <v>1053</v>
      </c>
      <c r="C291" s="1746">
        <v>0.15</v>
      </c>
      <c r="D291" s="1746">
        <v>0.15</v>
      </c>
      <c r="E291" s="1746">
        <v>0.15</v>
      </c>
      <c r="F291" s="1754"/>
    </row>
    <row r="292" spans="1:6" ht="14.25" thickBot="1">
      <c r="A292" s="1741" t="s">
        <v>1393</v>
      </c>
      <c r="B292" s="1745" t="s">
        <v>2166</v>
      </c>
      <c r="C292" s="1746">
        <v>0.15</v>
      </c>
      <c r="D292" s="1746">
        <v>0.15</v>
      </c>
      <c r="E292" s="1746">
        <v>0.15</v>
      </c>
      <c r="F292" s="1747">
        <v>0.14699999999999999</v>
      </c>
    </row>
    <row r="293" spans="1:6" ht="14.25" thickBot="1">
      <c r="A293" s="1741" t="s">
        <v>1393</v>
      </c>
      <c r="B293" s="1745" t="s">
        <v>2167</v>
      </c>
      <c r="C293" s="1755"/>
      <c r="D293" s="1755"/>
      <c r="E293" s="1755"/>
      <c r="F293" s="1747">
        <v>0.1</v>
      </c>
    </row>
    <row r="294" spans="1:6" ht="14.25" thickBot="1">
      <c r="A294" s="1741" t="s">
        <v>1393</v>
      </c>
      <c r="B294" s="1745" t="s">
        <v>2168</v>
      </c>
      <c r="C294" s="1746">
        <v>0.15</v>
      </c>
      <c r="D294" s="1746">
        <v>0.15</v>
      </c>
      <c r="E294" s="1746">
        <v>0.15</v>
      </c>
      <c r="F294" s="1747">
        <v>0.15</v>
      </c>
    </row>
    <row r="295" spans="1:6" ht="14.25" thickBot="1">
      <c r="A295" s="1741" t="s">
        <v>1393</v>
      </c>
      <c r="B295" s="1745" t="s">
        <v>1094</v>
      </c>
      <c r="C295" s="1746">
        <v>0.15</v>
      </c>
      <c r="D295" s="1746">
        <v>0.15</v>
      </c>
      <c r="E295" s="1746">
        <v>0.15</v>
      </c>
      <c r="F295" s="1747">
        <v>0.15</v>
      </c>
    </row>
    <row r="296" spans="1:6" ht="14.25" thickBot="1">
      <c r="A296" s="1741" t="s">
        <v>1393</v>
      </c>
      <c r="B296" s="1745" t="s">
        <v>2169</v>
      </c>
      <c r="C296" s="1746">
        <v>0.15</v>
      </c>
      <c r="D296" s="1746">
        <v>0.15</v>
      </c>
      <c r="E296" s="1746">
        <v>0.15</v>
      </c>
      <c r="F296" s="1747">
        <v>0.15</v>
      </c>
    </row>
    <row r="297" spans="1:6" ht="14.25" thickBot="1">
      <c r="A297" s="1741" t="s">
        <v>1393</v>
      </c>
      <c r="B297" s="1745" t="s">
        <v>2170</v>
      </c>
      <c r="C297" s="1746">
        <v>0.14799999999999999</v>
      </c>
      <c r="D297" s="1746">
        <v>0.14899999999999999</v>
      </c>
      <c r="E297" s="1746">
        <v>0.15</v>
      </c>
      <c r="F297" s="1747">
        <v>0.13700000000000001</v>
      </c>
    </row>
    <row r="298" spans="1:6" ht="14.25" thickBot="1">
      <c r="A298" s="1741" t="s">
        <v>1393</v>
      </c>
      <c r="B298" s="1745" t="s">
        <v>1127</v>
      </c>
      <c r="C298" s="1746">
        <v>0.13400000000000001</v>
      </c>
      <c r="D298" s="1746">
        <v>0.13400000000000001</v>
      </c>
      <c r="E298" s="1746">
        <v>0.14499999999999999</v>
      </c>
      <c r="F298" s="1747">
        <v>0.14799999999999999</v>
      </c>
    </row>
    <row r="299" spans="1:6" ht="14.25" thickBot="1">
      <c r="A299" s="1741" t="s">
        <v>1393</v>
      </c>
      <c r="B299" s="1745" t="s">
        <v>1139</v>
      </c>
      <c r="C299" s="1746">
        <v>0.15</v>
      </c>
      <c r="D299" s="1746">
        <v>0.15</v>
      </c>
      <c r="E299" s="1746">
        <v>0.15</v>
      </c>
      <c r="F299" s="1754"/>
    </row>
    <row r="300" spans="1:6" ht="14.25" thickBot="1">
      <c r="A300" s="1741" t="s">
        <v>1393</v>
      </c>
      <c r="B300" s="1745" t="s">
        <v>2171</v>
      </c>
      <c r="C300" s="1746">
        <v>0.15</v>
      </c>
      <c r="D300" s="1746">
        <v>0.15</v>
      </c>
      <c r="E300" s="1746">
        <v>0.15</v>
      </c>
      <c r="F300" s="1747">
        <v>0.15</v>
      </c>
    </row>
    <row r="301" spans="1:6" ht="14.25" thickBot="1">
      <c r="A301" s="1741" t="s">
        <v>1393</v>
      </c>
      <c r="B301" s="1745" t="s">
        <v>1159</v>
      </c>
      <c r="C301" s="1746">
        <v>0.15</v>
      </c>
      <c r="D301" s="1746">
        <v>0.15</v>
      </c>
      <c r="E301" s="1746">
        <v>0.15</v>
      </c>
      <c r="F301" s="1754"/>
    </row>
    <row r="302" spans="1:6" ht="14.25" thickBot="1">
      <c r="A302" s="1741" t="s">
        <v>1393</v>
      </c>
      <c r="B302" s="1745" t="s">
        <v>2172</v>
      </c>
      <c r="C302" s="1746">
        <v>0.15</v>
      </c>
      <c r="D302" s="1746">
        <v>0.15</v>
      </c>
      <c r="E302" s="1746">
        <v>0.15</v>
      </c>
      <c r="F302" s="1747">
        <v>0.15</v>
      </c>
    </row>
    <row r="303" spans="1:6" ht="14.25" thickBot="1">
      <c r="A303" s="1741" t="s">
        <v>1393</v>
      </c>
      <c r="B303" s="1745" t="s">
        <v>1179</v>
      </c>
      <c r="C303" s="1746">
        <v>0.15</v>
      </c>
      <c r="D303" s="1746">
        <v>0.15</v>
      </c>
      <c r="E303" s="1746">
        <v>0.15</v>
      </c>
      <c r="F303" s="1747">
        <v>0.15</v>
      </c>
    </row>
    <row r="304" spans="1:6" ht="14.25" thickBot="1">
      <c r="A304" s="1741" t="s">
        <v>1393</v>
      </c>
      <c r="B304" s="1745" t="s">
        <v>1189</v>
      </c>
      <c r="C304" s="1746">
        <v>0.15</v>
      </c>
      <c r="D304" s="1746">
        <v>0.15</v>
      </c>
      <c r="E304" s="1746">
        <v>0.15</v>
      </c>
      <c r="F304" s="1754"/>
    </row>
    <row r="305" spans="1:6" ht="14.25" thickBot="1">
      <c r="A305" s="1741" t="s">
        <v>1393</v>
      </c>
      <c r="B305" s="1745" t="s">
        <v>2173</v>
      </c>
      <c r="C305" s="1746">
        <v>0.15</v>
      </c>
      <c r="D305" s="1746">
        <v>0.15</v>
      </c>
      <c r="E305" s="1746">
        <v>0.15</v>
      </c>
      <c r="F305" s="1747">
        <v>0.14000000000000001</v>
      </c>
    </row>
    <row r="306" spans="1:6" ht="14.25" thickBot="1">
      <c r="A306" s="1741" t="s">
        <v>1393</v>
      </c>
      <c r="B306" s="1745" t="s">
        <v>1209</v>
      </c>
      <c r="C306" s="1746">
        <v>0.15</v>
      </c>
      <c r="D306" s="1746">
        <v>0.15</v>
      </c>
      <c r="E306" s="1746">
        <v>0.15</v>
      </c>
      <c r="F306" s="1754"/>
    </row>
    <row r="307" spans="1:6" ht="14.25" thickBot="1">
      <c r="A307" s="1741" t="s">
        <v>1393</v>
      </c>
      <c r="B307" s="1745" t="s">
        <v>2174</v>
      </c>
      <c r="C307" s="1746">
        <v>0.15</v>
      </c>
      <c r="D307" s="1746">
        <v>0.15</v>
      </c>
      <c r="E307" s="1746">
        <v>0.15</v>
      </c>
      <c r="F307" s="1747">
        <v>0.14299999999999999</v>
      </c>
    </row>
    <row r="308" spans="1:6" ht="14.25" thickBot="1">
      <c r="A308" s="1741" t="s">
        <v>1393</v>
      </c>
      <c r="B308" s="1745" t="s">
        <v>1229</v>
      </c>
      <c r="C308" s="1746">
        <v>0.15</v>
      </c>
      <c r="D308" s="1746">
        <v>0.15</v>
      </c>
      <c r="E308" s="1746">
        <v>0.15</v>
      </c>
      <c r="F308" s="1747">
        <v>0.15</v>
      </c>
    </row>
    <row r="309" spans="1:6" ht="14.25" thickBot="1">
      <c r="A309" s="1741" t="s">
        <v>1393</v>
      </c>
      <c r="B309" s="1745" t="s">
        <v>1239</v>
      </c>
      <c r="C309" s="1746">
        <v>0.15</v>
      </c>
      <c r="D309" s="1746">
        <v>0.15</v>
      </c>
      <c r="E309" s="1746">
        <v>0.15</v>
      </c>
      <c r="F309" s="1754"/>
    </row>
    <row r="310" spans="1:6" ht="14.25" thickBot="1">
      <c r="A310" s="1741" t="s">
        <v>1393</v>
      </c>
      <c r="B310" s="1745" t="s">
        <v>2175</v>
      </c>
      <c r="C310" s="1746">
        <v>0.15</v>
      </c>
      <c r="D310" s="1746">
        <v>0.15</v>
      </c>
      <c r="E310" s="1746">
        <v>0.15</v>
      </c>
      <c r="F310" s="1747">
        <v>0.13700000000000001</v>
      </c>
    </row>
    <row r="311" spans="1:6" ht="14.25" thickBot="1">
      <c r="A311" s="1741" t="s">
        <v>1393</v>
      </c>
      <c r="B311" s="1745" t="s">
        <v>2176</v>
      </c>
      <c r="C311" s="1746">
        <v>0.15</v>
      </c>
      <c r="D311" s="1746">
        <v>0.15</v>
      </c>
      <c r="E311" s="1746">
        <v>0.15</v>
      </c>
      <c r="F311" s="1747">
        <v>0.15</v>
      </c>
    </row>
    <row r="312" spans="1:6" ht="14.25" thickBot="1">
      <c r="A312" s="1741" t="s">
        <v>1393</v>
      </c>
      <c r="B312" s="1745" t="s">
        <v>1265</v>
      </c>
      <c r="C312" s="1746">
        <v>0.15</v>
      </c>
      <c r="D312" s="1746">
        <v>0.15</v>
      </c>
      <c r="E312" s="1746">
        <v>0.15</v>
      </c>
      <c r="F312" s="1747">
        <v>0.1</v>
      </c>
    </row>
    <row r="313" spans="1:6" ht="14.25" thickBot="1">
      <c r="A313" s="1741" t="s">
        <v>1393</v>
      </c>
      <c r="B313" s="1745" t="s">
        <v>2177</v>
      </c>
      <c r="C313" s="1746">
        <v>0.15</v>
      </c>
      <c r="D313" s="1746">
        <v>0.15</v>
      </c>
      <c r="E313" s="1746">
        <v>0.15</v>
      </c>
      <c r="F313" s="1747">
        <v>0.15</v>
      </c>
    </row>
    <row r="314" spans="1:6" ht="24.75" thickBot="1">
      <c r="A314" s="1741" t="s">
        <v>1393</v>
      </c>
      <c r="B314" s="1745" t="s">
        <v>2178</v>
      </c>
      <c r="C314" s="1755"/>
      <c r="D314" s="1755"/>
      <c r="E314" s="1755"/>
      <c r="F314" s="1747">
        <v>0.05</v>
      </c>
    </row>
    <row r="315" spans="1:6" ht="24.75" thickBot="1">
      <c r="A315" s="1741" t="s">
        <v>1393</v>
      </c>
      <c r="B315" s="1745" t="s">
        <v>2179</v>
      </c>
      <c r="C315" s="1755"/>
      <c r="D315" s="1755"/>
      <c r="E315" s="1755"/>
      <c r="F315" s="1747">
        <v>0.05</v>
      </c>
    </row>
    <row r="316" spans="1:6" ht="24.75" thickBot="1">
      <c r="A316" s="1749" t="s">
        <v>1393</v>
      </c>
      <c r="B316" s="1756" t="s">
        <v>2180</v>
      </c>
      <c r="C316" s="1752"/>
      <c r="D316" s="1752"/>
      <c r="E316" s="1752"/>
      <c r="F316" s="1757">
        <v>0.05</v>
      </c>
    </row>
    <row r="317" spans="1:6" ht="14.25" thickBot="1">
      <c r="A317" s="1741" t="s">
        <v>2181</v>
      </c>
      <c r="B317" s="1742" t="s">
        <v>2182</v>
      </c>
      <c r="C317" s="1743">
        <v>0.15</v>
      </c>
      <c r="D317" s="1743">
        <v>0.15</v>
      </c>
      <c r="E317" s="1743">
        <v>0.15</v>
      </c>
      <c r="F317" s="1744">
        <v>0.15</v>
      </c>
    </row>
    <row r="318" spans="1:6" ht="14.25" thickBot="1">
      <c r="A318" s="1741" t="s">
        <v>2181</v>
      </c>
      <c r="B318" s="1745" t="s">
        <v>2183</v>
      </c>
      <c r="C318" s="1746">
        <v>0.107</v>
      </c>
      <c r="D318" s="1746">
        <v>0.11</v>
      </c>
      <c r="E318" s="1746">
        <v>0.112</v>
      </c>
      <c r="F318" s="1754"/>
    </row>
    <row r="319" spans="1:6" ht="14.25" thickBot="1">
      <c r="A319" s="1741" t="s">
        <v>2181</v>
      </c>
      <c r="B319" s="1745" t="s">
        <v>2184</v>
      </c>
      <c r="C319" s="1746">
        <v>0.15</v>
      </c>
      <c r="D319" s="1746">
        <v>0.15</v>
      </c>
      <c r="E319" s="1746">
        <v>0.15</v>
      </c>
      <c r="F319" s="1747">
        <v>0.15</v>
      </c>
    </row>
    <row r="320" spans="1:6" ht="14.25" thickBot="1">
      <c r="A320" s="1741" t="s">
        <v>2181</v>
      </c>
      <c r="B320" s="1745" t="s">
        <v>1081</v>
      </c>
      <c r="C320" s="1746">
        <v>0.15</v>
      </c>
      <c r="D320" s="1746">
        <v>0.15</v>
      </c>
      <c r="E320" s="1746">
        <v>0.15</v>
      </c>
      <c r="F320" s="1754"/>
    </row>
    <row r="321" spans="1:6" ht="14.25" thickBot="1">
      <c r="A321" s="1741" t="s">
        <v>2181</v>
      </c>
      <c r="B321" s="1745" t="s">
        <v>2185</v>
      </c>
      <c r="C321" s="1746">
        <v>0.15</v>
      </c>
      <c r="D321" s="1746">
        <v>0.15</v>
      </c>
      <c r="E321" s="1746">
        <v>0.15</v>
      </c>
      <c r="F321" s="1754"/>
    </row>
    <row r="322" spans="1:6" ht="14.25" thickBot="1">
      <c r="A322" s="1741" t="s">
        <v>2181</v>
      </c>
      <c r="B322" s="1745" t="s">
        <v>2186</v>
      </c>
      <c r="C322" s="1746">
        <v>0.15</v>
      </c>
      <c r="D322" s="1746">
        <v>0.15</v>
      </c>
      <c r="E322" s="1746">
        <v>0.15</v>
      </c>
      <c r="F322" s="1747">
        <v>0.15</v>
      </c>
    </row>
    <row r="323" spans="1:6" ht="14.25" thickBot="1">
      <c r="A323" s="1741" t="s">
        <v>2181</v>
      </c>
      <c r="B323" s="1745" t="s">
        <v>2187</v>
      </c>
      <c r="C323" s="1746">
        <v>0.15</v>
      </c>
      <c r="D323" s="1746">
        <v>0.15</v>
      </c>
      <c r="E323" s="1746">
        <v>0.15</v>
      </c>
      <c r="F323" s="1754"/>
    </row>
    <row r="324" spans="1:6" ht="14.25" thickBot="1">
      <c r="A324" s="1741" t="s">
        <v>2181</v>
      </c>
      <c r="B324" s="1745" t="s">
        <v>2188</v>
      </c>
      <c r="C324" s="1746">
        <v>0.15</v>
      </c>
      <c r="D324" s="1746">
        <v>0.15</v>
      </c>
      <c r="E324" s="1746">
        <v>0.15</v>
      </c>
      <c r="F324" s="1754"/>
    </row>
    <row r="325" spans="1:6" ht="14.25" thickBot="1">
      <c r="A325" s="1741" t="s">
        <v>2181</v>
      </c>
      <c r="B325" s="1745" t="s">
        <v>2189</v>
      </c>
      <c r="C325" s="1746">
        <v>0.15</v>
      </c>
      <c r="D325" s="1746">
        <v>0.15</v>
      </c>
      <c r="E325" s="1746">
        <v>0.15</v>
      </c>
      <c r="F325" s="1747">
        <v>0.14699999999999999</v>
      </c>
    </row>
    <row r="326" spans="1:6" ht="14.25" thickBot="1">
      <c r="A326" s="1741" t="s">
        <v>2181</v>
      </c>
      <c r="B326" s="1745" t="s">
        <v>1150</v>
      </c>
      <c r="C326" s="1746">
        <v>0.15</v>
      </c>
      <c r="D326" s="1746">
        <v>0.15</v>
      </c>
      <c r="E326" s="1746">
        <v>0.15</v>
      </c>
      <c r="F326" s="1754"/>
    </row>
    <row r="327" spans="1:6" ht="14.25" thickBot="1">
      <c r="A327" s="1741" t="s">
        <v>2181</v>
      </c>
      <c r="B327" s="1745" t="s">
        <v>2190</v>
      </c>
      <c r="C327" s="1746">
        <v>0.15</v>
      </c>
      <c r="D327" s="1746">
        <v>0.15</v>
      </c>
      <c r="E327" s="1746">
        <v>0.15</v>
      </c>
      <c r="F327" s="1747">
        <v>0.15</v>
      </c>
    </row>
    <row r="328" spans="1:6" ht="14.25" thickBot="1">
      <c r="A328" s="1741" t="s">
        <v>2181</v>
      </c>
      <c r="B328" s="1745" t="s">
        <v>1170</v>
      </c>
      <c r="C328" s="1746">
        <v>0.15</v>
      </c>
      <c r="D328" s="1746">
        <v>0.15</v>
      </c>
      <c r="E328" s="1746">
        <v>0.15</v>
      </c>
      <c r="F328" s="1747">
        <v>0.14099999999999999</v>
      </c>
    </row>
    <row r="329" spans="1:6" ht="14.25" thickBot="1">
      <c r="A329" s="1741" t="s">
        <v>2181</v>
      </c>
      <c r="B329" s="1745" t="s">
        <v>1180</v>
      </c>
      <c r="C329" s="1746">
        <v>0.15</v>
      </c>
      <c r="D329" s="1746">
        <v>0.15</v>
      </c>
      <c r="E329" s="1746">
        <v>0.15</v>
      </c>
      <c r="F329" s="1747">
        <v>0.15</v>
      </c>
    </row>
    <row r="330" spans="1:6" ht="14.25" thickBot="1">
      <c r="A330" s="1741" t="s">
        <v>2181</v>
      </c>
      <c r="B330" s="1745" t="s">
        <v>1190</v>
      </c>
      <c r="C330" s="1746">
        <v>0.15</v>
      </c>
      <c r="D330" s="1746">
        <v>0.15</v>
      </c>
      <c r="E330" s="1746">
        <v>0.15</v>
      </c>
      <c r="F330" s="1754"/>
    </row>
    <row r="331" spans="1:6" ht="14.25" thickBot="1">
      <c r="A331" s="1741" t="s">
        <v>2181</v>
      </c>
      <c r="B331" s="1745" t="s">
        <v>2191</v>
      </c>
      <c r="C331" s="1746">
        <v>0.15</v>
      </c>
      <c r="D331" s="1746">
        <v>0.15</v>
      </c>
      <c r="E331" s="1746">
        <v>0.15</v>
      </c>
      <c r="F331" s="1747">
        <v>0.15</v>
      </c>
    </row>
    <row r="332" spans="1:6" ht="14.25" thickBot="1">
      <c r="A332" s="1741" t="s">
        <v>2181</v>
      </c>
      <c r="B332" s="1745" t="s">
        <v>1210</v>
      </c>
      <c r="C332" s="1746">
        <v>0.15</v>
      </c>
      <c r="D332" s="1746">
        <v>0.15</v>
      </c>
      <c r="E332" s="1746">
        <v>0.15</v>
      </c>
      <c r="F332" s="1747">
        <v>0.15</v>
      </c>
    </row>
    <row r="333" spans="1:6" ht="14.25" thickBot="1">
      <c r="A333" s="1741" t="s">
        <v>2181</v>
      </c>
      <c r="B333" s="1745" t="s">
        <v>2192</v>
      </c>
      <c r="C333" s="1746">
        <v>0.15</v>
      </c>
      <c r="D333" s="1746">
        <v>0.15</v>
      </c>
      <c r="E333" s="1746">
        <v>0.15</v>
      </c>
      <c r="F333" s="1747">
        <v>0.14099999999999999</v>
      </c>
    </row>
    <row r="334" spans="1:6" ht="14.25" thickBot="1">
      <c r="A334" s="1741" t="s">
        <v>2181</v>
      </c>
      <c r="B334" s="1745" t="s">
        <v>1230</v>
      </c>
      <c r="C334" s="1746">
        <v>0.15</v>
      </c>
      <c r="D334" s="1746">
        <v>0.15</v>
      </c>
      <c r="E334" s="1746">
        <v>0.15</v>
      </c>
      <c r="F334" s="1747">
        <v>0.15</v>
      </c>
    </row>
    <row r="335" spans="1:6" ht="14.25" thickBot="1">
      <c r="A335" s="1741" t="s">
        <v>2181</v>
      </c>
      <c r="B335" s="1745" t="s">
        <v>1240</v>
      </c>
      <c r="C335" s="1746">
        <v>0.15</v>
      </c>
      <c r="D335" s="1746">
        <v>0.15</v>
      </c>
      <c r="E335" s="1746">
        <v>0.15</v>
      </c>
      <c r="F335" s="1754"/>
    </row>
    <row r="336" spans="1:6" ht="14.25" thickBot="1">
      <c r="A336" s="1741" t="s">
        <v>2181</v>
      </c>
      <c r="B336" s="1745" t="s">
        <v>2193</v>
      </c>
      <c r="C336" s="1746">
        <v>0.15</v>
      </c>
      <c r="D336" s="1746">
        <v>0.15</v>
      </c>
      <c r="E336" s="1746">
        <v>0.15</v>
      </c>
      <c r="F336" s="1747">
        <v>0.11799999999999999</v>
      </c>
    </row>
    <row r="337" spans="1:6" ht="14.25" thickBot="1">
      <c r="A337" s="1749" t="s">
        <v>2181</v>
      </c>
      <c r="B337" s="1756" t="s">
        <v>1258</v>
      </c>
      <c r="C337" s="1752"/>
      <c r="D337" s="1752"/>
      <c r="E337" s="1752"/>
      <c r="F337" s="1757">
        <v>0.14299999999999999</v>
      </c>
    </row>
    <row r="338" spans="1:6" ht="14.25" thickBot="1">
      <c r="A338" s="1741" t="s">
        <v>2194</v>
      </c>
      <c r="B338" s="1742" t="s">
        <v>2195</v>
      </c>
      <c r="C338" s="1743">
        <v>0.15</v>
      </c>
      <c r="D338" s="1743">
        <v>0.15</v>
      </c>
      <c r="E338" s="1743">
        <v>0.15</v>
      </c>
      <c r="F338" s="1765"/>
    </row>
    <row r="339" spans="1:6" ht="14.25" thickBot="1">
      <c r="A339" s="1741" t="s">
        <v>2194</v>
      </c>
      <c r="B339" s="1745" t="s">
        <v>2196</v>
      </c>
      <c r="C339" s="1746">
        <v>0.15</v>
      </c>
      <c r="D339" s="1746">
        <v>0.15</v>
      </c>
      <c r="E339" s="1746">
        <v>0.15</v>
      </c>
      <c r="F339" s="1754"/>
    </row>
    <row r="340" spans="1:6" ht="14.25" thickBot="1">
      <c r="A340" s="1741" t="s">
        <v>2194</v>
      </c>
      <c r="B340" s="1745" t="s">
        <v>2197</v>
      </c>
      <c r="C340" s="1746">
        <v>0.15</v>
      </c>
      <c r="D340" s="1746">
        <v>0.15</v>
      </c>
      <c r="E340" s="1746">
        <v>0.15</v>
      </c>
      <c r="F340" s="1754"/>
    </row>
    <row r="341" spans="1:6" ht="14.25" thickBot="1">
      <c r="A341" s="1741" t="s">
        <v>2198</v>
      </c>
      <c r="B341" s="1745" t="s">
        <v>2199</v>
      </c>
      <c r="C341" s="1746">
        <v>0.15</v>
      </c>
      <c r="D341" s="1746">
        <v>0.15</v>
      </c>
      <c r="E341" s="1746">
        <v>0.15</v>
      </c>
      <c r="F341" s="1747">
        <v>0.15</v>
      </c>
    </row>
    <row r="342" spans="1:6" ht="14.25" thickBot="1">
      <c r="A342" s="1741" t="s">
        <v>2194</v>
      </c>
      <c r="B342" s="1745" t="s">
        <v>2200</v>
      </c>
      <c r="C342" s="1746">
        <v>0.15</v>
      </c>
      <c r="D342" s="1746">
        <v>0.15</v>
      </c>
      <c r="E342" s="1746">
        <v>0.15</v>
      </c>
      <c r="F342" s="1747">
        <v>0.15</v>
      </c>
    </row>
    <row r="343" spans="1:6" ht="14.25" thickBot="1">
      <c r="A343" s="1741" t="s">
        <v>2194</v>
      </c>
      <c r="B343" s="1745" t="s">
        <v>2201</v>
      </c>
      <c r="C343" s="1746">
        <v>0.15</v>
      </c>
      <c r="D343" s="1746">
        <v>0.15</v>
      </c>
      <c r="E343" s="1746">
        <v>0.15</v>
      </c>
      <c r="F343" s="1747">
        <v>0.15</v>
      </c>
    </row>
    <row r="344" spans="1:6" ht="14.25" thickBot="1">
      <c r="A344" s="1749" t="s">
        <v>2194</v>
      </c>
      <c r="B344" s="1756" t="s">
        <v>2202</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37" zoomScale="80" zoomScaleNormal="60" zoomScaleSheetLayoutView="80" workbookViewId="0">
      <selection activeCell="C85" sqref="C85"/>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37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1667</v>
      </c>
      <c r="B1" s="1322"/>
      <c r="C1" s="1328" t="s">
        <v>965</v>
      </c>
      <c r="D1" s="1434">
        <f>SUM(D29:D30,D33:D39)</f>
        <v>102489.97</v>
      </c>
      <c r="E1" s="1328" t="s">
        <v>2387</v>
      </c>
      <c r="F1" s="2277"/>
      <c r="G1" s="1323"/>
      <c r="H1" s="1323"/>
      <c r="I1" s="1323"/>
      <c r="J1" s="1323"/>
      <c r="K1" s="2040"/>
      <c r="L1" s="1768" t="s">
        <v>2203</v>
      </c>
      <c r="M1" s="1769">
        <f>SUMPRODUCT((区片价!B5:B9=I2)*(区片价!C3:F3=E2)*(区片价!C5:F9))</f>
        <v>0</v>
      </c>
      <c r="N1" s="1770">
        <f>SUMPRODUCT((因素修正幅度!B5:B9=I2)*(因素修正幅度!C3:F3=E2)*(因素修正幅度!C5:F9))</f>
        <v>0</v>
      </c>
      <c r="O1" s="2040"/>
      <c r="P1" s="2040"/>
      <c r="Q1" s="2040"/>
      <c r="R1" s="2620" t="s">
        <v>2712</v>
      </c>
      <c r="S1" s="2620" t="s">
        <v>1609</v>
      </c>
      <c r="T1" s="2620" t="s">
        <v>2734</v>
      </c>
      <c r="U1" s="2620" t="s">
        <v>2735</v>
      </c>
      <c r="V1" s="2620" t="s">
        <v>966</v>
      </c>
      <c r="W1" s="2040"/>
      <c r="X1" s="2040"/>
      <c r="Y1" s="2040"/>
      <c r="Z1" s="2040"/>
      <c r="AA1" s="2040"/>
      <c r="AB1" s="2040"/>
      <c r="AC1" s="2041"/>
    </row>
    <row r="2" spans="1:39" ht="15.75">
      <c r="A2" s="1328" t="s">
        <v>894</v>
      </c>
      <c r="B2" s="1007">
        <f>C26</f>
        <v>19719</v>
      </c>
      <c r="C2" s="1329" t="s">
        <v>895</v>
      </c>
      <c r="D2" s="1330" t="s">
        <v>872</v>
      </c>
      <c r="E2" s="1331" t="s">
        <v>955</v>
      </c>
      <c r="F2" s="1330" t="s">
        <v>873</v>
      </c>
      <c r="G2" s="1553" t="str">
        <f>IF(E2="商业",项目基本情况!B43,IF(E2="办公",项目基本情况!C43,IF(E2="住宅",项目基本情况!D43,项目基本情况!E43)))</f>
        <v>八级</v>
      </c>
      <c r="H2" s="1330" t="s">
        <v>900</v>
      </c>
      <c r="I2" s="1554" t="str">
        <f>IF(E2="商业",项目基本情况!B44,IF(E2="办公",项目基本情况!C44,IF(E2="住宅",项目基本情况!D44,项目基本情况!E44)))</f>
        <v>Ⅷ-顺1</v>
      </c>
      <c r="J2" s="1332"/>
      <c r="K2" s="3194"/>
      <c r="L2" s="1771" t="s">
        <v>2204</v>
      </c>
      <c r="M2" s="1772">
        <f>SUMPRODUCT((区片价!B10:B28=I2)*(区片价!C3:F3=E2)*(区片价!C10:F28))</f>
        <v>0</v>
      </c>
      <c r="N2" s="1773">
        <f>SUMPRODUCT((因素修正幅度!B10:B28=I2)*(因素修正幅度!C3:F3=E2)*(因素修正幅度!C10:F28))</f>
        <v>0</v>
      </c>
      <c r="O2" s="3194"/>
      <c r="P2" s="2040"/>
      <c r="Q2" s="2040"/>
      <c r="R2" s="2621">
        <v>1</v>
      </c>
      <c r="S2" s="2621">
        <f>ROUND(IF(G3&gt;1,IF(R2&lt;7,SUMPRODUCT((B93:B98=R2)*(C92:N92=G2)*(C93:N98)),SUMIF(C92:N92,G2,C100:N100)),IF(R2&lt;7,SUMPRODUCT((B102:B107=R2)*(C92:N92=G2)*(C102:N107)),SUMIF(C92:N92,G2,C109:N109))),4)</f>
        <v>1.9419999999999999</v>
      </c>
      <c r="T2" s="2621">
        <f>ROUND($C$5*$C$18*$C$19*$C$20*S2*$C$24,0)</f>
        <v>3531</v>
      </c>
      <c r="U2" s="2610"/>
      <c r="V2" s="2621">
        <f>ROUND(T2*U2/10000,0)</f>
        <v>0</v>
      </c>
      <c r="W2" s="2040"/>
      <c r="X2" s="2040"/>
      <c r="Y2" s="2040"/>
      <c r="Z2" s="2040"/>
      <c r="AA2" s="2040"/>
      <c r="AB2" s="2040"/>
      <c r="AC2" s="2041"/>
    </row>
    <row r="3" spans="1:39" ht="15.75">
      <c r="A3" s="1333" t="s">
        <v>1660</v>
      </c>
      <c r="B3" s="1007">
        <f>ROUND(B2*10000/D1,0)</f>
        <v>1924</v>
      </c>
      <c r="C3" s="1329" t="s">
        <v>901</v>
      </c>
      <c r="D3" s="1330" t="s">
        <v>902</v>
      </c>
      <c r="E3" s="1334" t="s">
        <v>3317</v>
      </c>
      <c r="F3" s="1335" t="s">
        <v>3133</v>
      </c>
      <c r="G3" s="1008">
        <f>IF(F3="宗地容积率",'数据-汇总表'!I4,IF(F3="估价对象容积率",'数据-汇总表'!I6,'数据-汇总表'!I7))</f>
        <v>1</v>
      </c>
      <c r="H3" s="1336" t="s">
        <v>903</v>
      </c>
      <c r="I3" s="1009"/>
      <c r="J3" s="1332" t="s">
        <v>904</v>
      </c>
      <c r="K3" s="3194"/>
      <c r="L3" s="1771" t="s">
        <v>2205</v>
      </c>
      <c r="M3" s="1772">
        <f>SUMPRODUCT((区片价!B29:B48=I2)*(区片价!C3:F3=E2)*(区片价!C29:F48))</f>
        <v>0</v>
      </c>
      <c r="N3" s="1773">
        <f>SUMPRODUCT((因素修正幅度!B29:B48=I2)*(因素修正幅度!C3:F3=E2)*(因素修正幅度!C29:F48))</f>
        <v>0</v>
      </c>
      <c r="O3" s="3194"/>
      <c r="P3" s="2040"/>
      <c r="Q3" s="2040"/>
      <c r="R3" s="2621">
        <v>2</v>
      </c>
      <c r="S3" s="2621">
        <f>ROUND(IF(G3&gt;1,IF(R3&lt;7,SUMPRODUCT((B93:B98=R3)*(C92:N92=G2)*(C93:N98)),SUMIF(C92:N92,G2,C100:N100)),IF(R3&lt;7,SUMPRODUCT((B102:B107=R3)*(C92:N92=G2)*(C102:N107)),SUMIF(C92:N92,G2,C109:N109))),4)</f>
        <v>1.2799</v>
      </c>
      <c r="T3" s="2621">
        <f t="shared" ref="T3:T16" si="0">ROUND($C$5*$C$18*$C$19*$C$20*S3*$C$24,0)</f>
        <v>2327</v>
      </c>
      <c r="U3" s="2610"/>
      <c r="V3" s="2621">
        <f t="shared" ref="V3:V16" si="1">ROUND(T3*U3/10000,0)</f>
        <v>0</v>
      </c>
      <c r="W3" s="2040"/>
      <c r="X3" s="2040"/>
      <c r="Y3" s="2040"/>
      <c r="Z3" s="2040"/>
      <c r="AA3" s="2040"/>
      <c r="AB3" s="2040"/>
      <c r="AC3" s="2041"/>
    </row>
    <row r="4" spans="1:39" ht="28.5">
      <c r="A4" s="1777" t="s">
        <v>2244</v>
      </c>
      <c r="B4" s="2278" t="e">
        <f>ROUND(B2*10000/F1,0)</f>
        <v>#DIV/0!</v>
      </c>
      <c r="C4" s="1780" t="s">
        <v>2219</v>
      </c>
      <c r="D4" s="1780" t="e">
        <f>ROUND(B2/(F1/666.67),0)</f>
        <v>#DIV/0!</v>
      </c>
      <c r="E4" s="1780" t="s">
        <v>2220</v>
      </c>
      <c r="F4" s="1778"/>
      <c r="G4" s="1778"/>
      <c r="H4" s="1778"/>
      <c r="I4" s="1778"/>
      <c r="J4" s="1779"/>
      <c r="K4" s="3195"/>
      <c r="L4" s="1771" t="s">
        <v>2206</v>
      </c>
      <c r="M4" s="1772">
        <f>SUMPRODUCT((区片价!B49:B75=I2)*(区片价!C3:F3=E2)*(区片价!C49:F75))</f>
        <v>0</v>
      </c>
      <c r="N4" s="1773">
        <f>SUMPRODUCT((因素修正幅度!B49:B75=I2)*(因素修正幅度!C3:F3=E2)*(因素修正幅度!C49:F75))</f>
        <v>0</v>
      </c>
      <c r="O4" s="3195"/>
      <c r="P4" s="2040"/>
      <c r="Q4" s="2040"/>
      <c r="R4" s="2621">
        <v>3</v>
      </c>
      <c r="S4" s="2621">
        <f>ROUND(IF(G3&gt;1,IF(R4&lt;7,SUMPRODUCT((B93:B98=R4)*(C92:N92=G2)*(C93:N98)),SUMIF(C92:N92,G2,C100:N100)),IF(R4&lt;7,SUMPRODUCT((B102:B107=R4)*(C92:N92=G2)*(C102:N107)),SUMIF(C92:N92,G2,C109:N109))),4)</f>
        <v>1.0072000000000001</v>
      </c>
      <c r="T4" s="2621">
        <f t="shared" si="0"/>
        <v>1831</v>
      </c>
      <c r="U4" s="2610"/>
      <c r="V4" s="2621">
        <f t="shared" si="1"/>
        <v>0</v>
      </c>
      <c r="W4" s="2040"/>
      <c r="X4" s="2040"/>
      <c r="Y4" s="2040"/>
      <c r="Z4" s="2040"/>
      <c r="AA4" s="2040"/>
      <c r="AB4" s="2040"/>
      <c r="AC4" s="2041"/>
    </row>
    <row r="5" spans="1:39" s="1343" customFormat="1" ht="15.75" thickBot="1">
      <c r="A5" s="1539" t="s">
        <v>1796</v>
      </c>
      <c r="B5" s="1337" t="s">
        <v>905</v>
      </c>
      <c r="C5" s="1010">
        <f>ROUND(IF(E2="商业",C6*C7+C16,(IF(E2="住宅",C6*C12+C16,C6+C16))),0)</f>
        <v>1730</v>
      </c>
      <c r="D5" s="2757">
        <f>ROUND(C6+C16,0)</f>
        <v>1730</v>
      </c>
      <c r="E5" s="2757"/>
      <c r="F5" s="1338"/>
      <c r="G5" s="1339"/>
      <c r="H5" s="1339"/>
      <c r="I5" s="1339"/>
      <c r="J5" s="1340"/>
      <c r="K5" s="3196"/>
      <c r="L5" s="1771" t="s">
        <v>2207</v>
      </c>
      <c r="M5" s="1772">
        <f>SUMPRODUCT((区片价!B76:B109=I2)*(区片价!C3:F3=E2)*(区片价!C76:F109))</f>
        <v>0</v>
      </c>
      <c r="N5" s="1773">
        <f>SUMPRODUCT((因素修正幅度!B76:B109=I2)*(因素修正幅度!C3:F3=E2)*(因素修正幅度!C76:F109))</f>
        <v>0</v>
      </c>
      <c r="O5" s="3196"/>
      <c r="P5" s="3199"/>
      <c r="Q5" s="2040"/>
      <c r="R5" s="2621">
        <v>4</v>
      </c>
      <c r="S5" s="2621">
        <f>ROUND(IF(G3&gt;1,IF(R5&lt;7,SUMPRODUCT((B93:B98=R5)*(C92:N92=G2)*(C93:N98)),SUMIF(C92:N92,G2,C100:N100)),IF(R5&lt;7,SUMPRODUCT((B102:B107=R5)*(C92:N92=G2)*(C102:N107)),SUMIF(C92:N92,G2,C109:N109))),4)</f>
        <v>0.75249999999999995</v>
      </c>
      <c r="T5" s="2621">
        <f t="shared" si="0"/>
        <v>1368</v>
      </c>
      <c r="U5" s="2610"/>
      <c r="V5" s="2621">
        <f t="shared"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1837</v>
      </c>
      <c r="B6" s="1344" t="s">
        <v>905</v>
      </c>
      <c r="C6" s="1011">
        <v>1730</v>
      </c>
      <c r="D6" s="1345" t="s">
        <v>1668</v>
      </c>
      <c r="E6" s="1346"/>
      <c r="F6" s="1346"/>
      <c r="G6" s="1347"/>
      <c r="H6" s="1347"/>
      <c r="I6" s="1347"/>
      <c r="J6" s="1348"/>
      <c r="K6" s="3197"/>
      <c r="L6" s="1771" t="s">
        <v>2208</v>
      </c>
      <c r="M6" s="1772">
        <f>SUMPRODUCT((区片价!B110:B157=I2)*(区片价!C3:F3=E2)*(区片价!C110:F157))</f>
        <v>0</v>
      </c>
      <c r="N6" s="1773">
        <f>SUMPRODUCT((因素修正幅度!B110:B157=I2)*(因素修正幅度!C3:F3=E2)*(因素修正幅度!C110:F157))</f>
        <v>0</v>
      </c>
      <c r="O6" s="3197"/>
      <c r="P6" s="3200"/>
      <c r="Q6" s="2040"/>
      <c r="R6" s="2621">
        <v>5</v>
      </c>
      <c r="S6" s="2621">
        <f>ROUND(IF(G3&gt;1,IF(R6&lt;7,SUMPRODUCT((B93:B98=R6)*(C92:N92=G2)*(C93:N98)),SUMIF(C92:N92,G2,C100:N100)),IF(R6&lt;7,SUMPRODUCT((B102:B107=R6)*(C92:N92=G2)*(C102:N107)),SUMIF(C92:N92,G2,C109:N109))),4)</f>
        <v>0.56589999999999996</v>
      </c>
      <c r="T6" s="2621">
        <f t="shared" si="0"/>
        <v>1029</v>
      </c>
      <c r="U6" s="2610"/>
      <c r="V6" s="2621">
        <f t="shared" si="1"/>
        <v>0</v>
      </c>
      <c r="W6" s="2040"/>
      <c r="X6" s="2040"/>
      <c r="Y6" s="2040"/>
      <c r="Z6" s="2040"/>
      <c r="AA6" s="2040"/>
      <c r="AB6" s="2040"/>
      <c r="AC6" s="2042"/>
      <c r="AD6" s="1341"/>
      <c r="AE6" s="1341"/>
      <c r="AF6" s="1341"/>
      <c r="AG6" s="1341"/>
      <c r="AH6" s="1341"/>
      <c r="AI6" s="1341"/>
      <c r="AJ6" s="1342"/>
    </row>
    <row r="7" spans="1:39" ht="24">
      <c r="A7" s="3807" t="str">
        <f>IF(E2="商业",IF(C8="不临58条商业街","",2),"")</f>
        <v/>
      </c>
      <c r="B7" s="1349" t="s">
        <v>906</v>
      </c>
      <c r="C7" s="1012" t="e">
        <f>IF(C8="不临58条商业街",1,ROUND(1+(1.6*E8+1.2*E9+0.8*E10+0.4*E11)*C9,4))</f>
        <v>#DIV/0!</v>
      </c>
      <c r="D7" s="1350" t="s">
        <v>907</v>
      </c>
      <c r="E7" s="1013"/>
      <c r="F7" s="1351"/>
      <c r="G7" s="1352"/>
      <c r="H7" s="1352"/>
      <c r="I7" s="1352"/>
      <c r="J7" s="1353"/>
      <c r="K7" s="3197"/>
      <c r="L7" s="1771" t="s">
        <v>2209</v>
      </c>
      <c r="M7" s="1772">
        <f>SUMPRODUCT((区片价!B158:B205=I2)*(区片价!C3:F3=E2)*(区片价!C158:F205))</f>
        <v>0</v>
      </c>
      <c r="N7" s="1773">
        <f>SUMPRODUCT((因素修正幅度!B158:B205=I2)*(因素修正幅度!C3:F3=E2)*(因素修正幅度!C158:F205))</f>
        <v>0</v>
      </c>
      <c r="O7" s="3197"/>
      <c r="P7" s="3200"/>
      <c r="Q7" s="2040"/>
      <c r="R7" s="2621">
        <v>6</v>
      </c>
      <c r="S7" s="2621">
        <f>ROUND(IF(G3&gt;1,IF(R7&lt;7,SUMPRODUCT((B93:B98=R7)*(C92:N92=G2)*(C93:N98)),SUMIF(C92:N92,G2,C100:N100)),IF(R7&lt;7,SUMPRODUCT((B102:B107=R7)*(C92:N92=G2)*(C102:N107)),SUMIF(C92:N92,G2,C109:N109))),4)</f>
        <v>0.45250000000000001</v>
      </c>
      <c r="T7" s="2621">
        <f t="shared" si="0"/>
        <v>823</v>
      </c>
      <c r="U7" s="2610"/>
      <c r="V7" s="2621">
        <f t="shared" si="1"/>
        <v>0</v>
      </c>
      <c r="W7" s="3448" t="s">
        <v>2715</v>
      </c>
      <c r="X7" s="2611" t="str">
        <f>G2</f>
        <v>八级</v>
      </c>
      <c r="Y7" s="2611" t="s">
        <v>2716</v>
      </c>
      <c r="Z7" s="2612">
        <f>G3</f>
        <v>1</v>
      </c>
      <c r="AA7" s="2043"/>
      <c r="AB7" s="2043"/>
      <c r="AC7" s="2044"/>
      <c r="AD7" s="2613"/>
      <c r="AE7" s="2613"/>
      <c r="AF7" s="2613"/>
      <c r="AG7" s="2613"/>
      <c r="AH7" s="2613"/>
      <c r="AI7" s="2613"/>
      <c r="AJ7" s="2614"/>
    </row>
    <row r="8" spans="1:39" ht="15">
      <c r="A8" s="3811"/>
      <c r="B8" s="1336" t="s">
        <v>908</v>
      </c>
      <c r="C8" s="1442"/>
      <c r="D8" s="1014" t="s">
        <v>909</v>
      </c>
      <c r="E8" s="1015" t="e">
        <f>ROUND(C11/E7,4)</f>
        <v>#DIV/0!</v>
      </c>
      <c r="F8" s="1354" t="s">
        <v>910</v>
      </c>
      <c r="G8" s="1355"/>
      <c r="H8" s="1355"/>
      <c r="I8" s="1355"/>
      <c r="J8" s="1356"/>
      <c r="K8" s="3197"/>
      <c r="L8" s="1771" t="s">
        <v>2210</v>
      </c>
      <c r="M8" s="1772">
        <f>SUMPRODUCT((区片价!B206:B244=I2)*(区片价!C3:F3=E2)*(区片价!C206:F244))</f>
        <v>1020</v>
      </c>
      <c r="N8" s="1773">
        <f>SUMPRODUCT((因素修正幅度!B206:B244=I2)*(因素修正幅度!C3:F3=E2)*(因素修正幅度!C206:F244))</f>
        <v>0.15</v>
      </c>
      <c r="O8" s="3197"/>
      <c r="P8" s="2040"/>
      <c r="Q8" s="2040"/>
      <c r="R8" s="2621">
        <v>7</v>
      </c>
      <c r="S8" s="2610"/>
      <c r="T8" s="2621">
        <f t="shared" si="0"/>
        <v>0</v>
      </c>
      <c r="U8" s="2610"/>
      <c r="V8" s="2621">
        <f t="shared" si="1"/>
        <v>0</v>
      </c>
      <c r="W8" s="3812" t="s">
        <v>2733</v>
      </c>
      <c r="X8" s="3813"/>
      <c r="Y8" s="1735" t="s">
        <v>2717</v>
      </c>
      <c r="Z8" s="1735" t="s">
        <v>2718</v>
      </c>
      <c r="AA8" s="1735" t="s">
        <v>2719</v>
      </c>
      <c r="AB8" s="1735" t="s">
        <v>2720</v>
      </c>
      <c r="AC8" s="1735" t="s">
        <v>2721</v>
      </c>
      <c r="AD8" s="1735" t="s">
        <v>2722</v>
      </c>
      <c r="AE8" s="1735" t="s">
        <v>2723</v>
      </c>
      <c r="AF8" s="1735" t="s">
        <v>2724</v>
      </c>
      <c r="AG8" s="1735" t="s">
        <v>2725</v>
      </c>
      <c r="AH8" s="1735" t="s">
        <v>2726</v>
      </c>
      <c r="AI8" s="1735" t="s">
        <v>2727</v>
      </c>
      <c r="AJ8" s="1735" t="s">
        <v>2728</v>
      </c>
    </row>
    <row r="9" spans="1:39" ht="15">
      <c r="A9" s="3811"/>
      <c r="B9" s="1336" t="s">
        <v>911</v>
      </c>
      <c r="C9" s="1016">
        <f>SUMIF(修正!C59:C119,C8,修正!E59:E119)</f>
        <v>0</v>
      </c>
      <c r="D9" s="1017" t="s">
        <v>912</v>
      </c>
      <c r="E9" s="1017" t="e">
        <f>ROUND(C11/E7,4)</f>
        <v>#DIV/0!</v>
      </c>
      <c r="F9" s="1354" t="s">
        <v>913</v>
      </c>
      <c r="G9" s="1355"/>
      <c r="H9" s="1355"/>
      <c r="I9" s="1355"/>
      <c r="J9" s="1356"/>
      <c r="K9" s="3197"/>
      <c r="L9" s="1771" t="s">
        <v>2211</v>
      </c>
      <c r="M9" s="1772">
        <f>SUMPRODUCT((区片价!B245:B289=I2)*(区片价!C3:F3=E2)*(区片价!C245:F289))</f>
        <v>0</v>
      </c>
      <c r="N9" s="1773">
        <f>SUMPRODUCT((因素修正幅度!B245:B289=I2)*(因素修正幅度!C3:F3=E2)*(因素修正幅度!C245:F289))</f>
        <v>0</v>
      </c>
      <c r="O9" s="3197"/>
      <c r="P9" s="2040"/>
      <c r="Q9" s="2040"/>
      <c r="R9" s="2621">
        <v>8</v>
      </c>
      <c r="S9" s="2610"/>
      <c r="T9" s="2621">
        <f t="shared" si="0"/>
        <v>0</v>
      </c>
      <c r="U9" s="2610"/>
      <c r="V9" s="2621">
        <f t="shared" si="1"/>
        <v>0</v>
      </c>
      <c r="W9" s="3814" t="s">
        <v>2729</v>
      </c>
      <c r="X9" s="2615" t="s">
        <v>2730</v>
      </c>
      <c r="Y9" s="2750"/>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811"/>
      <c r="B10" s="1336" t="s">
        <v>914</v>
      </c>
      <c r="C10" s="1017">
        <f>SUMIF(修正!C59:C119,C8,修正!F59:F119)</f>
        <v>0</v>
      </c>
      <c r="D10" s="1017" t="s">
        <v>915</v>
      </c>
      <c r="E10" s="1017" t="e">
        <f>ROUND(C11/E7,4)</f>
        <v>#DIV/0!</v>
      </c>
      <c r="F10" s="1354" t="s">
        <v>916</v>
      </c>
      <c r="G10" s="1355"/>
      <c r="H10" s="1355"/>
      <c r="I10" s="1355"/>
      <c r="J10" s="1356"/>
      <c r="K10" s="3197"/>
      <c r="L10" s="1771" t="s">
        <v>2212</v>
      </c>
      <c r="M10" s="1772">
        <f>SUMPRODUCT((区片价!B290:B316=I2)*(区片价!C3:F3=E2)*(区片价!C290:F316))</f>
        <v>0</v>
      </c>
      <c r="N10" s="1773">
        <f>SUMPRODUCT((因素修正幅度!B290:B316=I2)*(因素修正幅度!C3:F3=E2)*(因素修正幅度!C290:F316))</f>
        <v>0</v>
      </c>
      <c r="O10" s="3197"/>
      <c r="P10" s="2040"/>
      <c r="Q10" s="2040"/>
      <c r="R10" s="2621">
        <v>9</v>
      </c>
      <c r="S10" s="2610"/>
      <c r="T10" s="2621">
        <f t="shared" si="0"/>
        <v>0</v>
      </c>
      <c r="U10" s="2610"/>
      <c r="V10" s="2621">
        <f t="shared" si="1"/>
        <v>0</v>
      </c>
      <c r="W10" s="3814"/>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811"/>
      <c r="B11" s="1357" t="s">
        <v>917</v>
      </c>
      <c r="C11" s="1018">
        <f>C10/4</f>
        <v>0</v>
      </c>
      <c r="D11" s="1018" t="s">
        <v>918</v>
      </c>
      <c r="E11" s="1018" t="e">
        <f>ROUND(C11/E7,4)</f>
        <v>#DIV/0!</v>
      </c>
      <c r="F11" s="1358" t="s">
        <v>919</v>
      </c>
      <c r="G11" s="1359"/>
      <c r="H11" s="1359"/>
      <c r="I11" s="1359"/>
      <c r="J11" s="1360"/>
      <c r="K11" s="3197"/>
      <c r="L11" s="1771" t="s">
        <v>2213</v>
      </c>
      <c r="M11" s="1772">
        <f>SUMPRODUCT((区片价!B317:B337=I2)*(区片价!C3:F3=E2)*(区片价!C317:F337))</f>
        <v>0</v>
      </c>
      <c r="N11" s="1773">
        <f>SUMPRODUCT((因素修正幅度!B317:B337=I2)*(因素修正幅度!C3:F3=E2)*(因素修正幅度!C317:F337))</f>
        <v>0</v>
      </c>
      <c r="O11" s="3197"/>
      <c r="P11" s="2040"/>
      <c r="Q11" s="2040"/>
      <c r="R11" s="2621">
        <v>10</v>
      </c>
      <c r="S11" s="2610"/>
      <c r="T11" s="2621">
        <f t="shared" si="0"/>
        <v>0</v>
      </c>
      <c r="U11" s="2610"/>
      <c r="V11" s="2621">
        <f t="shared" si="1"/>
        <v>0</v>
      </c>
      <c r="W11" s="3814" t="s">
        <v>2731</v>
      </c>
      <c r="X11" s="1017" t="s">
        <v>2716</v>
      </c>
      <c r="Y11" s="1554">
        <f>$G$3</f>
        <v>1</v>
      </c>
      <c r="Z11" s="1554">
        <f t="shared" ref="Z11:AJ11" si="3">$G$3</f>
        <v>1</v>
      </c>
      <c r="AA11" s="1554">
        <f t="shared" si="3"/>
        <v>1</v>
      </c>
      <c r="AB11" s="1554">
        <f t="shared" si="3"/>
        <v>1</v>
      </c>
      <c r="AC11" s="1554">
        <f t="shared" si="3"/>
        <v>1</v>
      </c>
      <c r="AD11" s="1554">
        <f t="shared" si="3"/>
        <v>1</v>
      </c>
      <c r="AE11" s="1554">
        <f t="shared" si="3"/>
        <v>1</v>
      </c>
      <c r="AF11" s="1554">
        <f t="shared" si="3"/>
        <v>1</v>
      </c>
      <c r="AG11" s="1554">
        <f t="shared" si="3"/>
        <v>1</v>
      </c>
      <c r="AH11" s="1554">
        <f t="shared" si="3"/>
        <v>1</v>
      </c>
      <c r="AI11" s="1554">
        <f t="shared" si="3"/>
        <v>1</v>
      </c>
      <c r="AJ11" s="1554">
        <f t="shared" si="3"/>
        <v>1</v>
      </c>
    </row>
    <row r="12" spans="1:39" ht="25.5" thickBot="1">
      <c r="A12" s="3807" t="s">
        <v>1838</v>
      </c>
      <c r="B12" s="1361" t="s">
        <v>920</v>
      </c>
      <c r="C12" s="1012">
        <f>ROUND(C15*D15*E15*F15*G15*H15*I15*J15,4)</f>
        <v>1</v>
      </c>
      <c r="D12" s="1362" t="s">
        <v>921</v>
      </c>
      <c r="E12" s="1363"/>
      <c r="F12" s="1363"/>
      <c r="G12" s="1364"/>
      <c r="H12" s="1364"/>
      <c r="I12" s="1364"/>
      <c r="J12" s="1365"/>
      <c r="K12" s="3197"/>
      <c r="L12" s="1774" t="s">
        <v>2214</v>
      </c>
      <c r="M12" s="1775">
        <f>SUMPRODUCT((区片价!B338:B344=I2)*(区片价!C3:F3=E2)*(区片价!C338:F344))</f>
        <v>0</v>
      </c>
      <c r="N12" s="1776">
        <f>SUMPRODUCT((因素修正幅度!B338:B344=I2)*(因素修正幅度!C3:F3=E2)*(因素修正幅度!C338:F344))</f>
        <v>0</v>
      </c>
      <c r="O12" s="3197"/>
      <c r="P12" s="2040"/>
      <c r="Q12" s="2040"/>
      <c r="R12" s="2621">
        <v>11</v>
      </c>
      <c r="S12" s="2610"/>
      <c r="T12" s="2621">
        <f t="shared" si="0"/>
        <v>0</v>
      </c>
      <c r="U12" s="2610"/>
      <c r="V12" s="2621">
        <f t="shared" si="1"/>
        <v>0</v>
      </c>
      <c r="W12" s="3814"/>
      <c r="X12" s="2618" t="s">
        <v>2732</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815"/>
      <c r="B13" s="1366" t="s">
        <v>1669</v>
      </c>
      <c r="C13" s="1367" t="s">
        <v>1670</v>
      </c>
      <c r="D13" s="1054" t="s">
        <v>1671</v>
      </c>
      <c r="E13" s="1054" t="s">
        <v>1672</v>
      </c>
      <c r="F13" s="1368" t="s">
        <v>922</v>
      </c>
      <c r="G13" s="1369" t="s">
        <v>1615</v>
      </c>
      <c r="H13" s="1370" t="s">
        <v>1615</v>
      </c>
      <c r="I13" s="1371" t="s">
        <v>1615</v>
      </c>
      <c r="J13" s="1372" t="s">
        <v>1615</v>
      </c>
      <c r="K13" s="2807"/>
      <c r="L13" s="2807"/>
      <c r="M13" s="2807"/>
      <c r="N13" s="2807"/>
      <c r="O13" s="2807"/>
      <c r="P13" s="2040"/>
      <c r="Q13" s="2040"/>
      <c r="R13" s="2621">
        <v>12</v>
      </c>
      <c r="S13" s="2610"/>
      <c r="T13" s="2621">
        <f t="shared" si="0"/>
        <v>0</v>
      </c>
      <c r="U13" s="2610"/>
      <c r="V13" s="2621">
        <f t="shared" si="1"/>
        <v>0</v>
      </c>
      <c r="W13" s="3814"/>
      <c r="X13" s="2618"/>
      <c r="Y13" s="2617">
        <f>(-0.163*(Y12^2)-0.59*Y12+7617)*(10^(-4))/Y11</f>
        <v>0.76170000000000004</v>
      </c>
      <c r="Z13" s="2617">
        <f t="shared" ref="Z13:AJ13" si="5">(-0.163*(Z12^2)-0.59*Z12+7617)*(10^(-4))/Z11</f>
        <v>0.76170000000000004</v>
      </c>
      <c r="AA13" s="2617">
        <f t="shared" si="5"/>
        <v>0.76170000000000004</v>
      </c>
      <c r="AB13" s="2617">
        <f t="shared" si="5"/>
        <v>0.76170000000000004</v>
      </c>
      <c r="AC13" s="2617">
        <f t="shared" si="5"/>
        <v>0.76170000000000004</v>
      </c>
      <c r="AD13" s="2617">
        <f t="shared" si="5"/>
        <v>0.76170000000000004</v>
      </c>
      <c r="AE13" s="2617">
        <f t="shared" si="5"/>
        <v>0.76170000000000004</v>
      </c>
      <c r="AF13" s="2617">
        <f t="shared" si="5"/>
        <v>0.76170000000000004</v>
      </c>
      <c r="AG13" s="2617">
        <f t="shared" si="5"/>
        <v>0.76170000000000004</v>
      </c>
      <c r="AH13" s="2617">
        <f t="shared" si="5"/>
        <v>0.76170000000000004</v>
      </c>
      <c r="AI13" s="2617">
        <f t="shared" si="5"/>
        <v>0.76170000000000004</v>
      </c>
      <c r="AJ13" s="2617">
        <f t="shared" si="5"/>
        <v>0.76170000000000004</v>
      </c>
    </row>
    <row r="14" spans="1:39" ht="12.75" customHeight="1">
      <c r="A14" s="3815"/>
      <c r="B14" s="1373"/>
      <c r="C14" s="1374"/>
      <c r="D14" s="1375"/>
      <c r="E14" s="1375"/>
      <c r="F14" s="1376"/>
      <c r="G14" s="1377" t="s">
        <v>923</v>
      </c>
      <c r="H14" s="1378"/>
      <c r="I14" s="1379"/>
      <c r="J14" s="1380"/>
      <c r="K14" s="3198"/>
      <c r="L14" s="3198"/>
      <c r="M14" s="3198"/>
      <c r="N14" s="3198"/>
      <c r="O14" s="3198"/>
      <c r="P14" s="2040"/>
      <c r="Q14" s="2040"/>
      <c r="R14" s="2621">
        <v>13</v>
      </c>
      <c r="S14" s="2610"/>
      <c r="T14" s="2621">
        <f t="shared" si="0"/>
        <v>0</v>
      </c>
      <c r="U14" s="2610"/>
      <c r="V14" s="2621">
        <f t="shared" si="1"/>
        <v>0</v>
      </c>
      <c r="W14" s="2040"/>
      <c r="X14" s="2040"/>
      <c r="Y14" s="2040"/>
      <c r="Z14" s="2040"/>
      <c r="AA14" s="2040"/>
      <c r="AB14" s="2040"/>
      <c r="AC14" s="2041"/>
    </row>
    <row r="15" spans="1:39" ht="13.5" customHeight="1" thickBot="1">
      <c r="A15" s="3816"/>
      <c r="B15" s="2812" t="s">
        <v>1673</v>
      </c>
      <c r="C15" s="1018">
        <f>IF(C14="有",1.1,1)</f>
        <v>1</v>
      </c>
      <c r="D15" s="1018">
        <f>IF(D14="有",1.1,1)</f>
        <v>1</v>
      </c>
      <c r="E15" s="1018">
        <f>IF(E14="有",1.1,1)</f>
        <v>1</v>
      </c>
      <c r="F15" s="1018">
        <f>IF(F14="500米范围内",1.2,IF(F14="500-1000米",1.1,1))</f>
        <v>1</v>
      </c>
      <c r="G15" s="2804">
        <v>1</v>
      </c>
      <c r="H15" s="2804">
        <v>1</v>
      </c>
      <c r="I15" s="2804">
        <v>1</v>
      </c>
      <c r="J15" s="2805">
        <v>1</v>
      </c>
      <c r="K15" s="2808"/>
      <c r="L15" s="2808"/>
      <c r="M15" s="2808"/>
      <c r="N15" s="2808"/>
      <c r="O15" s="2808"/>
      <c r="P15" s="2040"/>
      <c r="Q15" s="2040"/>
      <c r="R15" s="2621">
        <v>14</v>
      </c>
      <c r="S15" s="2610"/>
      <c r="T15" s="2621">
        <f t="shared" si="0"/>
        <v>0</v>
      </c>
      <c r="U15" s="2610"/>
      <c r="V15" s="2621">
        <f t="shared" si="1"/>
        <v>0</v>
      </c>
      <c r="W15" s="2040"/>
      <c r="X15" s="2040"/>
      <c r="Y15" s="2040"/>
      <c r="Z15" s="2040"/>
      <c r="AA15" s="2040"/>
      <c r="AB15" s="2040"/>
      <c r="AC15" s="2041"/>
    </row>
    <row r="16" spans="1:39" ht="24.6" customHeight="1">
      <c r="A16" s="3807" t="s">
        <v>1811</v>
      </c>
      <c r="B16" s="1349" t="s">
        <v>924</v>
      </c>
      <c r="C16" s="1021">
        <f>ROUND(IF(F17="与级别开发程度一致",0,(G17-E17)/C17),0)</f>
        <v>0</v>
      </c>
      <c r="D16" s="3809" t="s">
        <v>928</v>
      </c>
      <c r="E16" s="3810"/>
      <c r="F16" s="3809" t="s">
        <v>925</v>
      </c>
      <c r="G16" s="3810"/>
      <c r="H16" s="1381"/>
      <c r="I16" s="1381"/>
      <c r="J16" s="1381"/>
      <c r="K16" s="1381"/>
      <c r="L16" s="1381"/>
      <c r="M16" s="1381"/>
      <c r="N16" s="1381"/>
      <c r="O16" s="2817"/>
      <c r="P16" s="2040"/>
      <c r="Q16" s="2043"/>
      <c r="R16" s="2621">
        <v>15</v>
      </c>
      <c r="S16" s="2610"/>
      <c r="T16" s="2621">
        <f t="shared" si="0"/>
        <v>0</v>
      </c>
      <c r="U16" s="2610"/>
      <c r="V16" s="2621">
        <f t="shared" si="1"/>
        <v>0</v>
      </c>
      <c r="W16" s="2043"/>
      <c r="X16" s="2043"/>
      <c r="Y16" s="2043"/>
      <c r="Z16" s="2043"/>
      <c r="AA16" s="2043"/>
      <c r="AB16" s="2043"/>
      <c r="AC16" s="2044"/>
    </row>
    <row r="17" spans="1:40" ht="24.75" thickBot="1">
      <c r="A17" s="3808"/>
      <c r="B17" s="2818" t="s">
        <v>927</v>
      </c>
      <c r="C17" s="2819">
        <f>SUMPRODUCT((修正!A2:A5=E2)*(修正!B1:M1=G2)*(修正!B2:M5))</f>
        <v>1</v>
      </c>
      <c r="D17" s="2820" t="str">
        <f>IF(OR(G2="八级",G2="九级",G2="十级",G2="十一级",G2="十二级"),"五通一平","七通一平")</f>
        <v>五通一平</v>
      </c>
      <c r="E17" s="2810">
        <f>SUMPRODUCT((修正!B1:M1=G2)*(修正!B15:M15))</f>
        <v>155</v>
      </c>
      <c r="F17" s="2811" t="s">
        <v>3134</v>
      </c>
      <c r="G17" s="281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1">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1799</v>
      </c>
      <c r="B18" s="2813" t="s">
        <v>929</v>
      </c>
      <c r="C18" s="2814">
        <f>SUMIF(修正!C18:C39,E3,修正!E18:E39)</f>
        <v>1</v>
      </c>
      <c r="D18" s="2815"/>
      <c r="E18" s="2816"/>
      <c r="F18" s="2799"/>
      <c r="G18" s="2798"/>
      <c r="H18" s="2798"/>
      <c r="I18" s="2798"/>
      <c r="J18" s="2806"/>
      <c r="K18" s="3196"/>
      <c r="L18" s="2798"/>
      <c r="M18" s="2798"/>
      <c r="N18" s="2798"/>
      <c r="O18" s="2798"/>
      <c r="P18" s="3201"/>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1800</v>
      </c>
      <c r="B19" s="1384" t="s">
        <v>930</v>
      </c>
      <c r="C19" s="1022">
        <f>ROUND(IF(H19="按公示增长率计算",SUMPRODUCT((地价!A3:A37=YEAR(G19)&amp;"-"&amp;ROUNDUP(MONTH(G19)/3,0))*(地价!X2:AB2=E2)*(地价!X3:AB37)),IF(H19="地价指数",M20/M19,(1+I19)^O19)),4)</f>
        <v>1.0242</v>
      </c>
      <c r="D19" s="1388" t="s">
        <v>931</v>
      </c>
      <c r="E19" s="1023">
        <v>41640</v>
      </c>
      <c r="F19" s="1388" t="s">
        <v>932</v>
      </c>
      <c r="G19" s="1024">
        <f>'数据-取费表'!B2</f>
        <v>44623</v>
      </c>
      <c r="H19" s="1389" t="s">
        <v>3135</v>
      </c>
      <c r="I19" s="2470" t="str">
        <f>IF(H19="季度增幅（自定义）",SUMIF(N21:N24,E2,O21:O24),"")</f>
        <v/>
      </c>
      <c r="J19" s="1385"/>
      <c r="K19" s="3196"/>
      <c r="L19" s="2717" t="s">
        <v>2788</v>
      </c>
      <c r="M19" s="2718">
        <f>ROUND(SUMIF(地价!B2:F2,E2,地价!B37:F37),0)</f>
        <v>230</v>
      </c>
      <c r="N19" s="2472" t="s">
        <v>1649</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1801</v>
      </c>
      <c r="B20" s="2465" t="s">
        <v>945</v>
      </c>
      <c r="C20" s="2466">
        <f>ROUND(POWER(1+G20,J20-I20)*(POWER(1+G20,I20)-1)/(POWER(1+G20,J20)-1),4)</f>
        <v>1</v>
      </c>
      <c r="D20" s="2467" t="s">
        <v>946</v>
      </c>
      <c r="E20" s="2747">
        <f ca="1">存贷款利率!I4/100</f>
        <v>4.3499999999999997E-2</v>
      </c>
      <c r="F20" s="2467" t="s">
        <v>947</v>
      </c>
      <c r="G20" s="2468">
        <v>0.05</v>
      </c>
      <c r="H20" s="2467" t="s">
        <v>948</v>
      </c>
      <c r="I20" s="2463">
        <f>SUMIF('数据-取费表'!C6:C15,E2,'数据-取费表'!F6:F15)/COUNTIF('数据-取费表'!C6:C15,E2)</f>
        <v>50</v>
      </c>
      <c r="J20" s="2469">
        <f>IF(E2="住宅",70,IF(E2="商业",40,50))</f>
        <v>50</v>
      </c>
      <c r="K20" s="2808"/>
      <c r="L20" s="2719" t="s">
        <v>2789</v>
      </c>
      <c r="M20" s="2801">
        <f>ROUND(SUMPRODUCT((地价!A4:A37=YEAR(G19)&amp;"-"&amp;ROUNDUP(MONTH(G19)/3,0))*(地价!B2:F2=E2)*(地价!B4:F37)),0)</f>
        <v>336</v>
      </c>
      <c r="N20" s="2475" t="s">
        <v>2596</v>
      </c>
      <c r="O20" s="2473" t="s">
        <v>2595</v>
      </c>
      <c r="P20" s="2474" t="s">
        <v>2601</v>
      </c>
      <c r="Q20" s="2609"/>
      <c r="R20" s="2046"/>
      <c r="S20" s="2046"/>
      <c r="T20" s="2046"/>
      <c r="U20" s="2046"/>
      <c r="V20" s="2046"/>
      <c r="W20" s="2046"/>
      <c r="X20" s="2046"/>
      <c r="Y20" s="1386"/>
      <c r="Z20" s="1386"/>
      <c r="AA20" s="1386"/>
      <c r="AB20" s="1386"/>
      <c r="AC20" s="1386"/>
      <c r="AD20" s="1386"/>
    </row>
    <row r="21" spans="1:40" s="1343" customFormat="1" ht="14.25">
      <c r="A21" s="1543" t="s">
        <v>1810</v>
      </c>
      <c r="B21" s="1394" t="s">
        <v>3136</v>
      </c>
      <c r="C21" s="1123">
        <v>1.0583</v>
      </c>
      <c r="D21" s="1395"/>
      <c r="E21" s="1395"/>
      <c r="F21" s="1395"/>
      <c r="G21" s="1395"/>
      <c r="H21" s="1395"/>
      <c r="I21" s="1395"/>
      <c r="J21" s="1396"/>
      <c r="K21" s="3196"/>
      <c r="L21" s="1395"/>
      <c r="M21" s="1395"/>
      <c r="N21" s="1392" t="s">
        <v>949</v>
      </c>
      <c r="O21" s="1455"/>
      <c r="P21" s="2462">
        <f>SUMPRODUCT((地价!A3:A37=YEAR(G19)&amp;"-"&amp;ROUNDUP(MONTH(G19)/3,0))*(地价!AD2:AH2=N21)*(地价!AD3:AH37))</f>
        <v>1.03E-2</v>
      </c>
      <c r="Q21" s="2609"/>
      <c r="R21" s="2046"/>
      <c r="S21" s="2046"/>
      <c r="T21" s="2046"/>
      <c r="U21" s="2046"/>
      <c r="V21" s="2046"/>
      <c r="W21" s="2046"/>
      <c r="X21" s="2046"/>
      <c r="Y21" s="1325"/>
      <c r="Z21" s="1325"/>
      <c r="AA21" s="1325"/>
      <c r="AB21" s="1325"/>
      <c r="AC21" s="1386"/>
      <c r="AD21" s="1386"/>
    </row>
    <row r="22" spans="1:40" s="1343" customFormat="1" ht="14.25">
      <c r="A22" s="1544" t="s">
        <v>1837</v>
      </c>
      <c r="B22" s="1397" t="s">
        <v>950</v>
      </c>
      <c r="C22" s="1025" t="s">
        <v>1675</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951</v>
      </c>
      <c r="J22" s="1025" t="str">
        <f>IF(G3&gt;10,D113,"——")</f>
        <v>——</v>
      </c>
      <c r="K22" s="3202"/>
      <c r="L22" s="1395"/>
      <c r="M22" s="1395"/>
      <c r="N22" s="1392" t="s">
        <v>952</v>
      </c>
      <c r="O22" s="1455"/>
      <c r="P22" s="2462">
        <f>SUMPRODUCT((地价!A3:A37=YEAR(G19)&amp;"-"&amp;ROUNDUP(MONTH(G19)/3,0))*(地价!AD2:AH2=N22)*(地价!AD3:AH37))</f>
        <v>1.03E-2</v>
      </c>
      <c r="Q22" s="2609"/>
      <c r="R22" s="2046"/>
      <c r="S22" s="2046"/>
      <c r="T22" s="2046"/>
      <c r="U22" s="2046"/>
      <c r="V22" s="2046"/>
      <c r="W22" s="2046"/>
      <c r="X22" s="2046"/>
      <c r="Y22" s="1386"/>
      <c r="Z22" s="1386"/>
      <c r="AA22" s="1386"/>
      <c r="AB22" s="1386"/>
      <c r="AC22" s="1386"/>
      <c r="AD22" s="1386"/>
    </row>
    <row r="23" spans="1:40" ht="15.75" thickBot="1">
      <c r="A23" s="1544" t="s">
        <v>1838</v>
      </c>
      <c r="B23" s="1397" t="s">
        <v>953</v>
      </c>
      <c r="C23" s="1026">
        <f>ROUND(IF(G3&gt;1,IF(I3&lt;7,SUMPRODUCT((B93:B98=I3)*(C92:N92=G2)*(C93:N98)),SUMIF(C92:N92,G2,C100:N100)),IF(I3&lt;7,SUMPRODUCT((B102:B107=I3)*(C92:N92=G2)*(C102:N107)),SUMIF(C92:N92,G2,C109:N109))),4)</f>
        <v>0</v>
      </c>
      <c r="D23" s="1443"/>
      <c r="E23" s="1443"/>
      <c r="F23" s="1444"/>
      <c r="G23" s="1445"/>
      <c r="H23" s="1446"/>
      <c r="I23" s="1447"/>
      <c r="J23" s="1447"/>
      <c r="K23" s="3203"/>
      <c r="L23" s="1323"/>
      <c r="M23" s="1323"/>
      <c r="N23" s="1392" t="s">
        <v>897</v>
      </c>
      <c r="O23" s="1455"/>
      <c r="P23" s="2462">
        <f>SUMPRODUCT((地价!A3:A37=YEAR(G19)&amp;"-"&amp;ROUNDUP(MONTH(G19)/3,0))*(地价!AD2:AH2=N23)*(地价!AD3:AH37))</f>
        <v>1.8100000000000002E-2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1839</v>
      </c>
      <c r="B24" s="1337" t="s">
        <v>954</v>
      </c>
      <c r="C24" s="1027">
        <f>SUMIF(A44:A87,E2,B44:B87)</f>
        <v>1.0261</v>
      </c>
      <c r="D24" s="1448"/>
      <c r="E24" s="1449"/>
      <c r="F24" s="1449"/>
      <c r="G24" s="1449"/>
      <c r="H24" s="1449"/>
      <c r="I24" s="1449"/>
      <c r="J24" s="1449"/>
      <c r="K24" s="3203"/>
      <c r="L24" s="1395"/>
      <c r="M24" s="1395"/>
      <c r="N24" s="1392" t="s">
        <v>955</v>
      </c>
      <c r="O24" s="2800"/>
      <c r="P24" s="2462">
        <f>SUMPRODUCT((地价!A3:A37=YEAR(G19)&amp;"-"&amp;ROUNDUP(MONTH(G19)/3,0))*(地价!AD2:AH2=N24)*(地价!AD3:AH37))</f>
        <v>1.2E-2</v>
      </c>
      <c r="Q24" s="2609"/>
      <c r="R24" s="2046"/>
      <c r="S24" s="2046"/>
      <c r="T24" s="2046"/>
      <c r="U24" s="2046"/>
      <c r="V24" s="2046"/>
      <c r="W24" s="2046"/>
      <c r="X24" s="2046"/>
      <c r="Y24" s="1386"/>
      <c r="Z24" s="1386"/>
      <c r="AA24" s="1386"/>
      <c r="AB24" s="1386"/>
      <c r="AC24" s="1386"/>
      <c r="AD24" s="1386"/>
    </row>
    <row r="25" spans="1:40" ht="15" thickBot="1">
      <c r="A25" s="1542" t="s">
        <v>1840</v>
      </c>
      <c r="B25" s="1399" t="s">
        <v>956</v>
      </c>
      <c r="C25" s="1400"/>
      <c r="D25" s="1352"/>
      <c r="E25" s="1352"/>
      <c r="F25" s="1401"/>
      <c r="G25" s="1352"/>
      <c r="H25" s="1352"/>
      <c r="I25" s="1352"/>
      <c r="J25" s="1353"/>
      <c r="K25" s="3197"/>
      <c r="L25" s="2046"/>
      <c r="M25" s="2046"/>
      <c r="N25" s="2802" t="s">
        <v>2599</v>
      </c>
      <c r="O25" s="2803"/>
      <c r="P25" s="2272">
        <f>SUMPRODUCT((地价!A3:A37=YEAR(G19)&amp;"-"&amp;ROUNDUP(MONTH(G19)/3,0))*(地价!AD2:AH2=N25)*(地价!AD3:AH37))</f>
        <v>1.6400000000000001E-2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960</v>
      </c>
      <c r="C26" s="2980">
        <f>IF(B21="容积率修正",E29+SUM(E33:E39),SUM(V2:V16)+SUM(E33:E39))</f>
        <v>19719</v>
      </c>
      <c r="D26" s="1403"/>
      <c r="E26" s="1378"/>
      <c r="F26" s="1404"/>
      <c r="G26" s="1378"/>
      <c r="H26" s="1378"/>
      <c r="I26" s="1378"/>
      <c r="J26" s="1405"/>
      <c r="K26" s="3197"/>
      <c r="L26" s="1502" t="s">
        <v>872</v>
      </c>
      <c r="M26" s="1350" t="s">
        <v>949</v>
      </c>
      <c r="N26" s="1350" t="s">
        <v>952</v>
      </c>
      <c r="O26" s="1350" t="s">
        <v>876</v>
      </c>
      <c r="P26" s="1390" t="s">
        <v>959</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962</v>
      </c>
      <c r="C27" s="1029">
        <f>E30+SUM(I33:I39)</f>
        <v>0</v>
      </c>
      <c r="D27" s="1407"/>
      <c r="E27" s="1408"/>
      <c r="F27" s="1409"/>
      <c r="G27" s="1408"/>
      <c r="H27" s="1408"/>
      <c r="I27" s="1408"/>
      <c r="J27" s="1410"/>
      <c r="K27" s="3197"/>
      <c r="L27" s="1382" t="s">
        <v>961</v>
      </c>
      <c r="M27" s="1016">
        <v>0.25</v>
      </c>
      <c r="N27" s="1016">
        <v>0.2</v>
      </c>
      <c r="O27" s="1016">
        <v>0.15</v>
      </c>
      <c r="P27" s="1452">
        <v>0.1</v>
      </c>
      <c r="Q27" s="2046"/>
      <c r="R27" s="2609"/>
      <c r="S27" s="2609"/>
      <c r="T27" s="2609"/>
      <c r="U27" s="2609"/>
      <c r="V27" s="2609"/>
      <c r="W27" s="2046"/>
      <c r="X27" s="2046"/>
      <c r="Y27" s="2046"/>
      <c r="Z27" s="2046"/>
      <c r="AA27" s="2046"/>
      <c r="AB27" s="2046"/>
      <c r="AC27" s="2046"/>
    </row>
    <row r="28" spans="1:40" ht="15" thickBot="1">
      <c r="A28" s="1398"/>
      <c r="B28" s="1411" t="s">
        <v>963</v>
      </c>
      <c r="C28" s="1412" t="s">
        <v>964</v>
      </c>
      <c r="D28" s="1412" t="s">
        <v>965</v>
      </c>
      <c r="E28" s="1413" t="s">
        <v>966</v>
      </c>
      <c r="F28" s="1414"/>
      <c r="G28" s="1364"/>
      <c r="H28" s="1364"/>
      <c r="I28" s="1364"/>
      <c r="J28" s="1365"/>
      <c r="K28" s="3197"/>
      <c r="L28" s="1383" t="s">
        <v>947</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967</v>
      </c>
      <c r="C29" s="1028">
        <f>ROUND(C5*C18*C19*C20*C21*C24,0)</f>
        <v>1924</v>
      </c>
      <c r="D29" s="1417">
        <f>剩余法工业!C9</f>
        <v>102489.97</v>
      </c>
      <c r="E29" s="1735">
        <f>ROUND(C29*D29/10000,0)</f>
        <v>19719</v>
      </c>
      <c r="F29" s="1418" t="s">
        <v>1674</v>
      </c>
      <c r="G29" s="1419"/>
      <c r="H29" s="1419"/>
      <c r="I29" s="1419"/>
      <c r="J29" s="1420"/>
      <c r="K29" s="3204"/>
      <c r="L29" s="3204"/>
      <c r="M29" s="3204"/>
      <c r="N29" s="3204"/>
      <c r="O29" s="3204"/>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968</v>
      </c>
      <c r="C30" s="1020">
        <f>ROUND(IF(E2="工业",C29*M39,C29*M38),0)</f>
        <v>289</v>
      </c>
      <c r="D30" s="1423"/>
      <c r="E30" s="1735">
        <f>ROUND(C30*D30/10000,0)</f>
        <v>0</v>
      </c>
      <c r="F30" s="1424" t="s">
        <v>969</v>
      </c>
      <c r="G30" s="1425"/>
      <c r="H30" s="1425"/>
      <c r="I30" s="1425"/>
      <c r="J30" s="1426"/>
      <c r="K30" s="3197"/>
      <c r="L30" s="3197"/>
      <c r="M30" s="3197"/>
      <c r="N30" s="3197"/>
      <c r="O30" s="3197"/>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970</v>
      </c>
      <c r="C31" s="1429" t="s">
        <v>971</v>
      </c>
      <c r="D31" s="1364"/>
      <c r="E31" s="1429"/>
      <c r="F31" s="1429"/>
      <c r="G31" s="1362" t="s">
        <v>969</v>
      </c>
      <c r="H31" s="1364"/>
      <c r="I31" s="1430"/>
      <c r="J31" s="1365"/>
      <c r="K31" s="3197"/>
      <c r="L31" s="3197"/>
      <c r="M31" s="3197"/>
      <c r="N31" s="3197"/>
      <c r="O31" s="3197"/>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964</v>
      </c>
      <c r="D32" s="1433" t="s">
        <v>965</v>
      </c>
      <c r="E32" s="1433" t="s">
        <v>966</v>
      </c>
      <c r="F32" s="1434" t="s">
        <v>972</v>
      </c>
      <c r="G32" s="1393" t="s">
        <v>964</v>
      </c>
      <c r="H32" s="1393" t="s">
        <v>965</v>
      </c>
      <c r="I32" s="1393" t="s">
        <v>966</v>
      </c>
      <c r="J32" s="1435"/>
      <c r="K32" s="3205"/>
      <c r="L32" s="3205"/>
      <c r="M32" s="3205"/>
      <c r="N32" s="3205"/>
      <c r="O32" s="3205"/>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802"/>
      <c r="B33" s="1437" t="s">
        <v>973</v>
      </c>
      <c r="C33" s="1028">
        <f>ROUND(D5*C19*C20*C24*F33,0)</f>
        <v>1091</v>
      </c>
      <c r="D33" s="1450"/>
      <c r="E33" s="1017">
        <f>ROUND(C33*D33/10000,0)</f>
        <v>0</v>
      </c>
      <c r="F33" s="1017">
        <f>SUMIF(修正!A45:A56,G2,修正!B45:B56)</f>
        <v>0.6</v>
      </c>
      <c r="G33" s="1017">
        <f t="shared" ref="G33" si="6">ROUND(IF(E2="工业",C33*$M$39,C33*$M$38),0)</f>
        <v>164</v>
      </c>
      <c r="H33" s="1017">
        <f>D33</f>
        <v>0</v>
      </c>
      <c r="I33" s="1017">
        <f>ROUND(G33*H33/10000,0)</f>
        <v>0</v>
      </c>
      <c r="J33" s="3802" t="s">
        <v>2958</v>
      </c>
      <c r="K33" s="2807"/>
      <c r="L33" s="2807"/>
      <c r="M33" s="2807"/>
      <c r="N33" s="2807"/>
      <c r="O33" s="2807"/>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803"/>
      <c r="B34" s="1367" t="s">
        <v>974</v>
      </c>
      <c r="C34" s="1028">
        <f>ROUND(D5*C19*C20*C24*F34,0)</f>
        <v>545</v>
      </c>
      <c r="D34" s="1450"/>
      <c r="E34" s="1017">
        <f t="shared" ref="E34:E39" si="7">ROUND(C34*D34/10000,0)</f>
        <v>0</v>
      </c>
      <c r="F34" s="1017">
        <f>SUMIF(修正!A45:A56,G2,修正!C45:C56)</f>
        <v>0.3</v>
      </c>
      <c r="G34" s="1017">
        <f>ROUND(IF(E2="工业",C34*$M$39,C34*$M$38),0)</f>
        <v>82</v>
      </c>
      <c r="H34" s="1017">
        <f t="shared" ref="H34:H39" si="8">D34</f>
        <v>0</v>
      </c>
      <c r="I34" s="1017">
        <f t="shared" ref="I34:I39" si="9">ROUND(G34*H34/10000,0)</f>
        <v>0</v>
      </c>
      <c r="J34" s="3803"/>
      <c r="K34" s="2807"/>
      <c r="L34" s="2807"/>
      <c r="M34" s="2807"/>
      <c r="N34" s="2807"/>
      <c r="O34" s="2807"/>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803"/>
      <c r="B35" s="1367" t="s">
        <v>975</v>
      </c>
      <c r="C35" s="1028">
        <f>ROUND(D5*C19*C20*C24*F35,0)</f>
        <v>364</v>
      </c>
      <c r="D35" s="1450"/>
      <c r="E35" s="1017">
        <f t="shared" si="7"/>
        <v>0</v>
      </c>
      <c r="F35" s="1017">
        <f>SUMIF(修正!A45:A56,G2,修正!D45:D56)</f>
        <v>0.2</v>
      </c>
      <c r="G35" s="1017">
        <f>ROUND(IF(E2="工业",C35*$M$39,C35*$M$38),0)</f>
        <v>55</v>
      </c>
      <c r="H35" s="1017">
        <f t="shared" si="8"/>
        <v>0</v>
      </c>
      <c r="I35" s="1017">
        <f t="shared" si="9"/>
        <v>0</v>
      </c>
      <c r="J35" s="3803"/>
      <c r="K35" s="2807"/>
      <c r="L35" s="2807"/>
      <c r="M35" s="2807"/>
      <c r="N35" s="2807"/>
      <c r="O35" s="2807"/>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804"/>
      <c r="B36" s="1367" t="s">
        <v>976</v>
      </c>
      <c r="C36" s="1028">
        <f>ROUND(D5*C19*C20*C24*F36,0)</f>
        <v>364</v>
      </c>
      <c r="D36" s="1450"/>
      <c r="E36" s="1017">
        <f t="shared" si="7"/>
        <v>0</v>
      </c>
      <c r="F36" s="1017">
        <f>SUMIF(修正!A45:A56,G2,修正!E45:E56)</f>
        <v>0.2</v>
      </c>
      <c r="G36" s="1017">
        <f>ROUND(IF(E2="工业",C36*$M$39,C36*$M$38),0)</f>
        <v>55</v>
      </c>
      <c r="H36" s="1017">
        <f t="shared" si="8"/>
        <v>0</v>
      </c>
      <c r="I36" s="1017">
        <f t="shared" si="9"/>
        <v>0</v>
      </c>
      <c r="J36" s="3804"/>
      <c r="K36" s="2807"/>
      <c r="L36" s="2807"/>
      <c r="M36" s="2807"/>
      <c r="N36" s="2807"/>
      <c r="O36" s="2807"/>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977</v>
      </c>
      <c r="C37" s="1017">
        <f>ROUND(D5*C19*C20*C24*F37,0)</f>
        <v>364</v>
      </c>
      <c r="D37" s="1450"/>
      <c r="E37" s="1017">
        <f t="shared" si="7"/>
        <v>0</v>
      </c>
      <c r="F37" s="1028">
        <f>SUMIF(修正!A45:A56,G2,修正!F45:F56)</f>
        <v>0.2</v>
      </c>
      <c r="G37" s="1017">
        <f>ROUND(IF(E2="工业",C37*$M$39,C37*$M$38),0)</f>
        <v>55</v>
      </c>
      <c r="H37" s="1017">
        <f t="shared" si="8"/>
        <v>0</v>
      </c>
      <c r="I37" s="1017">
        <f t="shared" si="9"/>
        <v>0</v>
      </c>
      <c r="J37" s="1438"/>
      <c r="K37" s="2040"/>
      <c r="L37" s="1456" t="s">
        <v>1676</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978</v>
      </c>
      <c r="C38" s="1017">
        <f>ROUND(D5*C19*C41*C24*F38,0)</f>
        <v>0</v>
      </c>
      <c r="D38" s="1450"/>
      <c r="E38" s="1017">
        <f t="shared" si="7"/>
        <v>0</v>
      </c>
      <c r="F38" s="1028">
        <f>SUMIF(修正!A45:A56,G2,修正!G45:G56)</f>
        <v>0.2</v>
      </c>
      <c r="G38" s="1017">
        <f>ROUND(IF(E2="工业",C38*$M$39,C38*$M$38),0)</f>
        <v>0</v>
      </c>
      <c r="H38" s="1017">
        <f t="shared" si="8"/>
        <v>0</v>
      </c>
      <c r="I38" s="1017">
        <f t="shared" si="9"/>
        <v>0</v>
      </c>
      <c r="J38" s="1438"/>
      <c r="K38" s="2040"/>
      <c r="L38" s="1458" t="s">
        <v>1678</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979</v>
      </c>
      <c r="C39" s="1020">
        <f>ROUND(D5*C19*C41*C24*F39,0)</f>
        <v>0</v>
      </c>
      <c r="D39" s="1451"/>
      <c r="E39" s="1020">
        <f t="shared" si="7"/>
        <v>0</v>
      </c>
      <c r="F39" s="1030">
        <f>SUMIF(修正!A45:A56,G2,修正!H45:H56)</f>
        <v>0.15</v>
      </c>
      <c r="G39" s="1020">
        <f>ROUND(IF(E2="工业",C39*$M$39,C39*$M$38),0)</f>
        <v>0</v>
      </c>
      <c r="H39" s="1020">
        <f t="shared" si="8"/>
        <v>0</v>
      </c>
      <c r="I39" s="1020">
        <f t="shared" si="9"/>
        <v>0</v>
      </c>
      <c r="J39" s="1440"/>
      <c r="K39" s="2040"/>
      <c r="L39" s="1460" t="s">
        <v>1677</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7" t="s">
        <v>2916</v>
      </c>
      <c r="C41" s="810">
        <f>ROUND(POWER(1+E41,H41-G41)*(POWER(1+E41,G41)-1)/(POWER(1+E41,H41)-1),4)</f>
        <v>0</v>
      </c>
      <c r="D41" s="372" t="s">
        <v>2914</v>
      </c>
      <c r="E41" s="2796">
        <f>G20</f>
        <v>0.05</v>
      </c>
      <c r="F41" s="372" t="s">
        <v>2915</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980</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hidden="1">
      <c r="A45" s="2249" t="s">
        <v>949</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hidden="1">
      <c r="A46" s="1032" t="s">
        <v>982</v>
      </c>
      <c r="B46" s="2233" t="s">
        <v>983</v>
      </c>
      <c r="C46" s="2255" t="s">
        <v>984</v>
      </c>
      <c r="D46" s="2256" t="s">
        <v>985</v>
      </c>
      <c r="E46" s="2257" t="s">
        <v>987</v>
      </c>
      <c r="F46" s="2258" t="s">
        <v>2215</v>
      </c>
      <c r="G46" s="2256" t="s">
        <v>988</v>
      </c>
      <c r="H46" s="2239" t="s">
        <v>2378</v>
      </c>
      <c r="I46" s="2256" t="s">
        <v>986</v>
      </c>
      <c r="J46" s="2259" t="s">
        <v>989</v>
      </c>
      <c r="K46" s="2259" t="s">
        <v>990</v>
      </c>
      <c r="L46" s="2259" t="s">
        <v>991</v>
      </c>
      <c r="M46" s="2259" t="s">
        <v>992</v>
      </c>
      <c r="N46" s="2259" t="s">
        <v>993</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hidden="1">
      <c r="A47" s="1032" t="s">
        <v>994</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hidden="1">
      <c r="A48" s="1032" t="s">
        <v>995</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hidden="1">
      <c r="A49" s="1032" t="s">
        <v>996</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hidden="1">
      <c r="A50" s="1032" t="s">
        <v>997</v>
      </c>
      <c r="B50" s="2749" t="s">
        <v>2873</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hidden="1">
      <c r="A51" s="1032" t="s">
        <v>998</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hidden="1">
      <c r="A52" s="1032" t="s">
        <v>999</v>
      </c>
      <c r="B52" s="2748" t="s">
        <v>2872</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hidden="1">
      <c r="A53" s="2265" t="s">
        <v>1000</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hidden="1">
      <c r="A54" s="2265" t="s">
        <v>1001</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hidden="1" thickBot="1">
      <c r="A55" s="2266" t="s">
        <v>1002</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hidden="1">
      <c r="A56" s="2249" t="s">
        <v>952</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hidden="1">
      <c r="A57" s="1032" t="s">
        <v>982</v>
      </c>
      <c r="B57" s="2233"/>
      <c r="C57" s="2255" t="s">
        <v>984</v>
      </c>
      <c r="D57" s="2256" t="s">
        <v>985</v>
      </c>
      <c r="E57" s="2257" t="s">
        <v>987</v>
      </c>
      <c r="F57" s="2258" t="s">
        <v>2215</v>
      </c>
      <c r="G57" s="2256" t="s">
        <v>988</v>
      </c>
      <c r="H57" s="2239" t="s">
        <v>2378</v>
      </c>
      <c r="I57" s="2256" t="s">
        <v>986</v>
      </c>
      <c r="J57" s="2259" t="s">
        <v>989</v>
      </c>
      <c r="K57" s="2259" t="s">
        <v>990</v>
      </c>
      <c r="L57" s="2259" t="s">
        <v>991</v>
      </c>
      <c r="M57" s="2259" t="s">
        <v>992</v>
      </c>
      <c r="N57" s="2259" t="s">
        <v>993</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hidden="1">
      <c r="A58" s="1032" t="s">
        <v>1004</v>
      </c>
      <c r="B58" s="2236" t="str">
        <f>估价对象房地状况!C17</f>
        <v>估价对象位于XX商圈，周边办公楼项目较多，入驻率高，办公集聚程度较好</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hidden="1">
      <c r="A59" s="1032" t="s">
        <v>995</v>
      </c>
      <c r="B59" s="2233" t="str">
        <f>估价对象房地状况!C18</f>
        <v>估价对象周边道路状况、公共交通通达情况、停车便捷程度，综合评价交通便捷度较好</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hidden="1">
      <c r="A60" s="1032" t="s">
        <v>996</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hidden="1">
      <c r="A61" s="1032" t="s">
        <v>997</v>
      </c>
      <c r="B61" s="2749" t="s">
        <v>2873</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hidden="1">
      <c r="A62" s="1032" t="s">
        <v>998</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hidden="1">
      <c r="A63" s="1032" t="s">
        <v>999</v>
      </c>
      <c r="B63" s="2748" t="s">
        <v>2872</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hidden="1">
      <c r="A64" s="1032" t="s">
        <v>1000</v>
      </c>
      <c r="B64" s="2234" t="str">
        <f>估价对象房地状况!C21</f>
        <v>估价对象所在区域公共配套设施齐备情况</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hidden="1">
      <c r="A65" s="1032" t="s">
        <v>1001</v>
      </c>
      <c r="B65" s="2234" t="str">
        <f>估价对象房地状况!C22</f>
        <v>估价对象所在区域基础设施水平</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hidden="1" thickBot="1">
      <c r="A66" s="2266" t="s">
        <v>1002</v>
      </c>
      <c r="B66" s="2238" t="str">
        <f>估价对象房地状况!C20</f>
        <v>区域自然环境：；人文环境；综合评价环境状况一般</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hidden="1">
      <c r="A67" s="2249" t="s">
        <v>876</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hidden="1">
      <c r="A68" s="1032" t="s">
        <v>982</v>
      </c>
      <c r="B68" s="2233"/>
      <c r="C68" s="2255" t="s">
        <v>984</v>
      </c>
      <c r="D68" s="2256" t="s">
        <v>985</v>
      </c>
      <c r="E68" s="2257" t="s">
        <v>987</v>
      </c>
      <c r="F68" s="2258" t="s">
        <v>2215</v>
      </c>
      <c r="G68" s="2256" t="s">
        <v>988</v>
      </c>
      <c r="H68" s="2239" t="s">
        <v>2378</v>
      </c>
      <c r="I68" s="2256" t="s">
        <v>986</v>
      </c>
      <c r="J68" s="2259" t="s">
        <v>989</v>
      </c>
      <c r="K68" s="2259" t="s">
        <v>990</v>
      </c>
      <c r="L68" s="2259" t="s">
        <v>991</v>
      </c>
      <c r="M68" s="2259" t="s">
        <v>992</v>
      </c>
      <c r="N68" s="2259" t="s">
        <v>993</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hidden="1">
      <c r="A69" s="1032" t="s">
        <v>1006</v>
      </c>
      <c r="B69" s="2236" t="str">
        <f>估价对象房地状况!C15</f>
        <v>估价对象周边居住用地比例、居住小区规模和社区发展完善程度，综合评价居住社区成熟度一般</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hidden="1">
      <c r="A70" s="1032" t="s">
        <v>995</v>
      </c>
      <c r="B70" s="2233" t="str">
        <f>估价对象房地状况!C18</f>
        <v>估价对象周边道路状况、公共交通通达情况、停车便捷程度，综合评价交通便捷度较好</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hidden="1">
      <c r="A71" s="1032" t="s">
        <v>996</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hidden="1">
      <c r="A72" s="1032" t="s">
        <v>1008</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hidden="1">
      <c r="A73" s="1032" t="s">
        <v>1000</v>
      </c>
      <c r="B73" s="2234" t="str">
        <f>估价对象房地状况!C21</f>
        <v>估价对象所在区域公共配套设施齐备情况</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hidden="1">
      <c r="A74" s="1032" t="s">
        <v>1001</v>
      </c>
      <c r="B74" s="2234" t="str">
        <f>估价对象房地状况!C22</f>
        <v>估价对象所在区域基础设施水平</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hidden="1">
      <c r="A75" s="1032" t="s">
        <v>999</v>
      </c>
      <c r="B75" s="2748" t="s">
        <v>2872</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hidden="1">
      <c r="A76" s="1032" t="s">
        <v>1002</v>
      </c>
      <c r="B76" s="2236" t="str">
        <f>估价对象房地状况!C20</f>
        <v>区域自然环境：；人文环境；综合评价环境状况一般</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hidden="1" thickBot="1">
      <c r="A77" s="2266" t="s">
        <v>1009</v>
      </c>
      <c r="B77" s="1736"/>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959</v>
      </c>
      <c r="B78" s="2250">
        <f>1+E80</f>
        <v>1.0261</v>
      </c>
      <c r="C78" s="2269"/>
      <c r="D78" s="2252"/>
      <c r="E78" s="2253"/>
      <c r="F78" s="2254"/>
      <c r="G78" s="2248"/>
      <c r="H78" s="2248"/>
      <c r="I78" s="2248"/>
      <c r="J78" s="1031"/>
      <c r="K78" s="1031"/>
      <c r="L78" s="1031"/>
      <c r="M78" s="1031"/>
      <c r="N78" s="1031"/>
      <c r="AC78" s="1327"/>
      <c r="AD78" s="1326"/>
      <c r="AJ78" s="1325"/>
      <c r="AN78" s="1326"/>
    </row>
    <row r="79" spans="1:40" ht="24">
      <c r="A79" s="1032" t="s">
        <v>982</v>
      </c>
      <c r="B79" s="2233"/>
      <c r="C79" s="2255" t="s">
        <v>984</v>
      </c>
      <c r="D79" s="2256" t="s">
        <v>985</v>
      </c>
      <c r="E79" s="2257" t="s">
        <v>987</v>
      </c>
      <c r="F79" s="2258" t="s">
        <v>2215</v>
      </c>
      <c r="G79" s="2256" t="s">
        <v>988</v>
      </c>
      <c r="H79" s="2239" t="s">
        <v>2378</v>
      </c>
      <c r="I79" s="2256" t="s">
        <v>986</v>
      </c>
      <c r="J79" s="2259" t="s">
        <v>989</v>
      </c>
      <c r="K79" s="2259" t="s">
        <v>990</v>
      </c>
      <c r="L79" s="2259" t="s">
        <v>991</v>
      </c>
      <c r="M79" s="2259" t="s">
        <v>992</v>
      </c>
      <c r="N79" s="2259" t="s">
        <v>993</v>
      </c>
      <c r="AC79" s="1327"/>
      <c r="AD79" s="1326"/>
      <c r="AJ79" s="1325"/>
      <c r="AN79" s="1326"/>
    </row>
    <row r="80" spans="1:40" ht="36">
      <c r="A80" s="1032" t="s">
        <v>1011</v>
      </c>
      <c r="B80" s="2233" t="str">
        <f>估价对象房地状况!G15</f>
        <v>估价对象位于XX开发区，园区建设成熟度XX，产业集聚程度XX</v>
      </c>
      <c r="C80" s="1019" t="s">
        <v>3185</v>
      </c>
      <c r="D80" s="2242">
        <f t="shared" ref="D80:D87" si="25">SUMIF($J$79:$N$79,C80,J80:N80)</f>
        <v>0</v>
      </c>
      <c r="E80" s="2261">
        <f>ROUND(SUM(D80:D87),4)</f>
        <v>2.6100000000000002E-2</v>
      </c>
      <c r="F80" s="2262">
        <f>IF(E2="工业",SUMIF(L1:L12,G2,N1:N12),"——")</f>
        <v>0.15</v>
      </c>
      <c r="G80" s="2240">
        <f>H80</f>
        <v>1.95E-2</v>
      </c>
      <c r="H80" s="2285">
        <f t="shared" ref="H80:H87" si="26">IFERROR(ROUNDDOWN($F$80*I80/2,4),"——")</f>
        <v>1.95E-2</v>
      </c>
      <c r="I80" s="2260">
        <v>0.26</v>
      </c>
      <c r="J80" s="2263">
        <f t="shared" ref="J80:J87" si="27">K80+$G80</f>
        <v>3.9E-2</v>
      </c>
      <c r="K80" s="2263">
        <f t="shared" ref="K80:K87" si="28">$L80+$G80</f>
        <v>1.95E-2</v>
      </c>
      <c r="L80" s="2263">
        <v>0</v>
      </c>
      <c r="M80" s="2263">
        <f t="shared" ref="M80:N87" si="29">L80-$G80</f>
        <v>-1.95E-2</v>
      </c>
      <c r="N80" s="2263">
        <f t="shared" si="29"/>
        <v>-3.9E-2</v>
      </c>
      <c r="AC80" s="1327"/>
      <c r="AD80" s="1326"/>
      <c r="AJ80" s="1325"/>
      <c r="AN80" s="1326"/>
    </row>
    <row r="81" spans="1:40" ht="48">
      <c r="A81" s="1032" t="s">
        <v>995</v>
      </c>
      <c r="B81" s="2233" t="str">
        <f>估价对象房地状况!G16</f>
        <v>估价对象周边道路状况、公共交通通达情况、停车便捷程度，综合评价交通便捷度较好</v>
      </c>
      <c r="C81" s="1019" t="s">
        <v>3185</v>
      </c>
      <c r="D81" s="2242">
        <f t="shared" si="25"/>
        <v>0</v>
      </c>
      <c r="E81" s="2270"/>
      <c r="F81" s="2271"/>
      <c r="G81" s="2240">
        <f t="shared" ref="G81:G87" si="30">H81</f>
        <v>2.47E-2</v>
      </c>
      <c r="H81" s="2285">
        <f t="shared" si="26"/>
        <v>2.47E-2</v>
      </c>
      <c r="I81" s="2260">
        <v>0.33</v>
      </c>
      <c r="J81" s="2263">
        <f t="shared" si="27"/>
        <v>4.9399999999999999E-2</v>
      </c>
      <c r="K81" s="2263">
        <f t="shared" si="28"/>
        <v>2.47E-2</v>
      </c>
      <c r="L81" s="2263">
        <v>0</v>
      </c>
      <c r="M81" s="2263">
        <f t="shared" si="29"/>
        <v>-2.47E-2</v>
      </c>
      <c r="N81" s="2263">
        <f t="shared" si="29"/>
        <v>-4.9399999999999999E-2</v>
      </c>
      <c r="AC81" s="1327"/>
      <c r="AD81" s="1326"/>
      <c r="AJ81" s="1325"/>
      <c r="AN81" s="1326"/>
    </row>
    <row r="82" spans="1:40" ht="24">
      <c r="A82" s="1032" t="s">
        <v>996</v>
      </c>
      <c r="B82" s="2233">
        <f>估价对象房地状况!G17</f>
        <v>0</v>
      </c>
      <c r="C82" s="1019" t="s">
        <v>3185</v>
      </c>
      <c r="D82" s="2242">
        <f t="shared" si="25"/>
        <v>0</v>
      </c>
      <c r="E82" s="2270"/>
      <c r="F82" s="2271"/>
      <c r="G82" s="2240">
        <f t="shared" si="30"/>
        <v>3.7000000000000002E-3</v>
      </c>
      <c r="H82" s="2285">
        <f t="shared" si="26"/>
        <v>3.7000000000000002E-3</v>
      </c>
      <c r="I82" s="2260">
        <v>0.05</v>
      </c>
      <c r="J82" s="2263">
        <f t="shared" si="27"/>
        <v>7.4000000000000003E-3</v>
      </c>
      <c r="K82" s="2263">
        <f t="shared" si="28"/>
        <v>3.7000000000000002E-3</v>
      </c>
      <c r="L82" s="2263">
        <v>0</v>
      </c>
      <c r="M82" s="2263">
        <f t="shared" si="29"/>
        <v>-3.7000000000000002E-3</v>
      </c>
      <c r="N82" s="2263">
        <f t="shared" si="29"/>
        <v>-7.4000000000000003E-3</v>
      </c>
      <c r="AC82" s="1327"/>
      <c r="AD82" s="1326"/>
      <c r="AJ82" s="1325"/>
      <c r="AN82" s="1326"/>
    </row>
    <row r="83" spans="1:40" ht="14.25">
      <c r="A83" s="1032" t="s">
        <v>1008</v>
      </c>
      <c r="B83" s="2233">
        <f>估价对象房地状况!G22</f>
        <v>0</v>
      </c>
      <c r="C83" s="1019" t="s">
        <v>3185</v>
      </c>
      <c r="D83" s="2242">
        <f t="shared" si="25"/>
        <v>0</v>
      </c>
      <c r="E83" s="2270"/>
      <c r="F83" s="2271"/>
      <c r="G83" s="2240">
        <f t="shared" si="30"/>
        <v>3.0000000000000001E-3</v>
      </c>
      <c r="H83" s="2285">
        <f t="shared" si="26"/>
        <v>3.0000000000000001E-3</v>
      </c>
      <c r="I83" s="2260">
        <v>0.04</v>
      </c>
      <c r="J83" s="2263">
        <f t="shared" si="27"/>
        <v>6.0000000000000001E-3</v>
      </c>
      <c r="K83" s="2263">
        <f t="shared" si="28"/>
        <v>3.0000000000000001E-3</v>
      </c>
      <c r="L83" s="2263">
        <v>0</v>
      </c>
      <c r="M83" s="2263">
        <f t="shared" si="29"/>
        <v>-3.0000000000000001E-3</v>
      </c>
      <c r="N83" s="2263">
        <f t="shared" si="29"/>
        <v>-6.0000000000000001E-3</v>
      </c>
      <c r="AC83" s="1327"/>
      <c r="AD83" s="1326"/>
      <c r="AJ83" s="1325"/>
      <c r="AN83" s="1326"/>
    </row>
    <row r="84" spans="1:40" ht="24">
      <c r="A84" s="1032" t="s">
        <v>1000</v>
      </c>
      <c r="B84" s="2234" t="str">
        <f>估价对象房地状况!G19</f>
        <v>估价对象所在区域公共配套设施齐备情况</v>
      </c>
      <c r="C84" s="1019" t="s">
        <v>3185</v>
      </c>
      <c r="D84" s="2242">
        <f t="shared" si="25"/>
        <v>0</v>
      </c>
      <c r="E84" s="2270"/>
      <c r="F84" s="2271"/>
      <c r="G84" s="2240">
        <f t="shared" si="30"/>
        <v>4.4999999999999997E-3</v>
      </c>
      <c r="H84" s="2285">
        <f t="shared" si="26"/>
        <v>4.4999999999999997E-3</v>
      </c>
      <c r="I84" s="2260">
        <v>0.06</v>
      </c>
      <c r="J84" s="2263">
        <f t="shared" si="27"/>
        <v>8.9999999999999993E-3</v>
      </c>
      <c r="K84" s="2263">
        <f t="shared" si="28"/>
        <v>4.4999999999999997E-3</v>
      </c>
      <c r="L84" s="2263">
        <v>0</v>
      </c>
      <c r="M84" s="2263">
        <f t="shared" si="29"/>
        <v>-4.4999999999999997E-3</v>
      </c>
      <c r="N84" s="2263">
        <f t="shared" si="29"/>
        <v>-8.9999999999999993E-3</v>
      </c>
      <c r="AC84" s="1327"/>
      <c r="AD84" s="1326"/>
      <c r="AJ84" s="1325"/>
      <c r="AN84" s="1326"/>
    </row>
    <row r="85" spans="1:40" ht="24">
      <c r="A85" s="1032" t="s">
        <v>1001</v>
      </c>
      <c r="B85" s="2234" t="str">
        <f>估价对象房地状况!G20</f>
        <v>估价对象所在区域基础设施水平</v>
      </c>
      <c r="C85" s="1019" t="s">
        <v>3362</v>
      </c>
      <c r="D85" s="2242">
        <f t="shared" si="25"/>
        <v>2.24E-2</v>
      </c>
      <c r="E85" s="2270"/>
      <c r="F85" s="2271"/>
      <c r="G85" s="2240">
        <f t="shared" si="30"/>
        <v>1.12E-2</v>
      </c>
      <c r="H85" s="2285">
        <f t="shared" si="26"/>
        <v>1.12E-2</v>
      </c>
      <c r="I85" s="2260">
        <v>0.15</v>
      </c>
      <c r="J85" s="2263">
        <f t="shared" si="27"/>
        <v>2.24E-2</v>
      </c>
      <c r="K85" s="2263">
        <f t="shared" si="28"/>
        <v>1.12E-2</v>
      </c>
      <c r="L85" s="2263">
        <v>0</v>
      </c>
      <c r="M85" s="2263">
        <f t="shared" si="29"/>
        <v>-1.12E-2</v>
      </c>
      <c r="N85" s="2263">
        <f t="shared" si="29"/>
        <v>-2.24E-2</v>
      </c>
      <c r="AC85" s="1327"/>
      <c r="AD85" s="1326"/>
      <c r="AJ85" s="1325"/>
      <c r="AN85" s="1326"/>
    </row>
    <row r="86" spans="1:40" ht="24">
      <c r="A86" s="1032" t="s">
        <v>999</v>
      </c>
      <c r="B86" s="2748" t="s">
        <v>2872</v>
      </c>
      <c r="C86" s="1019" t="s">
        <v>3186</v>
      </c>
      <c r="D86" s="2242">
        <f t="shared" si="25"/>
        <v>3.7000000000000002E-3</v>
      </c>
      <c r="E86" s="2270"/>
      <c r="F86" s="2271"/>
      <c r="G86" s="2240">
        <f t="shared" si="30"/>
        <v>3.7000000000000002E-3</v>
      </c>
      <c r="H86" s="2285">
        <f t="shared" si="26"/>
        <v>3.7000000000000002E-3</v>
      </c>
      <c r="I86" s="2260">
        <v>0.05</v>
      </c>
      <c r="J86" s="2263">
        <f t="shared" si="27"/>
        <v>7.4000000000000003E-3</v>
      </c>
      <c r="K86" s="2263">
        <f t="shared" si="28"/>
        <v>3.7000000000000002E-3</v>
      </c>
      <c r="L86" s="2263">
        <v>0</v>
      </c>
      <c r="M86" s="2263">
        <f t="shared" si="29"/>
        <v>-3.7000000000000002E-3</v>
      </c>
      <c r="N86" s="2263">
        <f t="shared" si="29"/>
        <v>-7.4000000000000003E-3</v>
      </c>
      <c r="AC86" s="1327"/>
      <c r="AD86" s="1326"/>
      <c r="AJ86" s="1325"/>
      <c r="AN86" s="1326"/>
    </row>
    <row r="87" spans="1:40" ht="36.75" thickBot="1">
      <c r="A87" s="2266" t="s">
        <v>1012</v>
      </c>
      <c r="B87" s="2235" t="str">
        <f>估价对象房地状况!G18</f>
        <v>该园区内是否有污染型企业，绿化情况，卫生条件，整体环境状况判断</v>
      </c>
      <c r="C87" s="1019" t="s">
        <v>3185</v>
      </c>
      <c r="D87" s="2242">
        <f t="shared" si="25"/>
        <v>0</v>
      </c>
      <c r="E87" s="2272"/>
      <c r="F87" s="2271"/>
      <c r="G87" s="2240">
        <f t="shared" si="30"/>
        <v>4.4999999999999997E-3</v>
      </c>
      <c r="H87" s="2285">
        <f t="shared" si="26"/>
        <v>4.4999999999999997E-3</v>
      </c>
      <c r="I87" s="2267">
        <v>0.06</v>
      </c>
      <c r="J87" s="2263">
        <f t="shared" si="27"/>
        <v>8.9999999999999993E-3</v>
      </c>
      <c r="K87" s="2263">
        <f t="shared" si="28"/>
        <v>4.4999999999999997E-3</v>
      </c>
      <c r="L87" s="2263">
        <v>0</v>
      </c>
      <c r="M87" s="2263">
        <f t="shared" si="29"/>
        <v>-4.4999999999999997E-3</v>
      </c>
      <c r="N87" s="2263">
        <f t="shared" si="29"/>
        <v>-8.9999999999999993E-3</v>
      </c>
      <c r="AC87" s="1327"/>
      <c r="AD87" s="1326"/>
      <c r="AJ87" s="1325"/>
      <c r="AN87" s="1326"/>
    </row>
    <row r="90" spans="1:40">
      <c r="A90" s="3805" t="s">
        <v>1607</v>
      </c>
      <c r="B90" s="3805"/>
      <c r="C90" s="3805"/>
      <c r="D90" s="3805"/>
      <c r="E90" s="3805"/>
      <c r="F90" s="3805"/>
      <c r="G90" s="3805"/>
      <c r="H90" s="3805"/>
      <c r="I90" s="3805"/>
      <c r="J90" s="3805"/>
      <c r="K90" s="3446"/>
      <c r="L90" s="3446"/>
      <c r="M90" s="3446"/>
      <c r="N90" s="3446"/>
    </row>
    <row r="91" spans="1:40">
      <c r="A91" s="3806" t="s">
        <v>872</v>
      </c>
      <c r="B91" s="3806" t="s">
        <v>1608</v>
      </c>
      <c r="C91" s="1105" t="s">
        <v>1609</v>
      </c>
      <c r="D91" s="1106"/>
      <c r="E91" s="1106"/>
      <c r="F91" s="1106"/>
      <c r="G91" s="1106"/>
      <c r="H91" s="1106"/>
      <c r="I91" s="1106"/>
      <c r="J91" s="1107"/>
      <c r="K91" s="1099"/>
      <c r="L91" s="1099"/>
      <c r="M91" s="1099"/>
      <c r="N91" s="1099"/>
    </row>
    <row r="92" spans="1:40">
      <c r="A92" s="3806"/>
      <c r="B92" s="3806"/>
      <c r="C92" s="3447" t="s">
        <v>858</v>
      </c>
      <c r="D92" s="3447" t="s">
        <v>859</v>
      </c>
      <c r="E92" s="3447" t="s">
        <v>860</v>
      </c>
      <c r="F92" s="3447" t="s">
        <v>861</v>
      </c>
      <c r="G92" s="3447" t="s">
        <v>862</v>
      </c>
      <c r="H92" s="3447" t="s">
        <v>863</v>
      </c>
      <c r="I92" s="3447" t="s">
        <v>864</v>
      </c>
      <c r="J92" s="3447" t="s">
        <v>865</v>
      </c>
      <c r="K92" s="3447" t="s">
        <v>866</v>
      </c>
      <c r="L92" s="3447" t="s">
        <v>867</v>
      </c>
      <c r="M92" s="3447" t="s">
        <v>868</v>
      </c>
      <c r="N92" s="3447" t="s">
        <v>869</v>
      </c>
    </row>
    <row r="93" spans="1:40">
      <c r="A93" s="3796"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9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9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9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9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9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97"/>
      <c r="B99" s="1108" t="s">
        <v>1610</v>
      </c>
      <c r="C99" s="1110">
        <f>$I$3</f>
        <v>0</v>
      </c>
      <c r="D99" s="1110">
        <f t="shared" ref="D99:N99" si="31">$I$3</f>
        <v>0</v>
      </c>
      <c r="E99" s="1110">
        <f t="shared" si="31"/>
        <v>0</v>
      </c>
      <c r="F99" s="1110">
        <f t="shared" si="31"/>
        <v>0</v>
      </c>
      <c r="G99" s="1110">
        <f t="shared" si="31"/>
        <v>0</v>
      </c>
      <c r="H99" s="1110">
        <f t="shared" si="31"/>
        <v>0</v>
      </c>
      <c r="I99" s="1110">
        <f t="shared" si="31"/>
        <v>0</v>
      </c>
      <c r="J99" s="1110">
        <f t="shared" si="31"/>
        <v>0</v>
      </c>
      <c r="K99" s="1110">
        <f t="shared" si="31"/>
        <v>0</v>
      </c>
      <c r="L99" s="1110">
        <f t="shared" si="31"/>
        <v>0</v>
      </c>
      <c r="M99" s="1110">
        <f t="shared" si="31"/>
        <v>0</v>
      </c>
      <c r="N99" s="1110">
        <f t="shared" si="31"/>
        <v>0</v>
      </c>
    </row>
    <row r="100" spans="1:14">
      <c r="A100" s="379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96" t="s">
        <v>1611</v>
      </c>
      <c r="B101" s="1112" t="s">
        <v>857</v>
      </c>
      <c r="C101" s="1113">
        <f>$G$3</f>
        <v>1</v>
      </c>
      <c r="D101" s="1113">
        <f t="shared" ref="D101:N101" si="32">$G$3</f>
        <v>1</v>
      </c>
      <c r="E101" s="1113">
        <f t="shared" si="32"/>
        <v>1</v>
      </c>
      <c r="F101" s="1113">
        <f t="shared" si="32"/>
        <v>1</v>
      </c>
      <c r="G101" s="1113">
        <f t="shared" si="32"/>
        <v>1</v>
      </c>
      <c r="H101" s="1113">
        <f t="shared" si="32"/>
        <v>1</v>
      </c>
      <c r="I101" s="1113">
        <f t="shared" si="32"/>
        <v>1</v>
      </c>
      <c r="J101" s="1113">
        <f t="shared" si="32"/>
        <v>1</v>
      </c>
      <c r="K101" s="1113">
        <f t="shared" si="32"/>
        <v>1</v>
      </c>
      <c r="L101" s="1113">
        <f t="shared" si="32"/>
        <v>1</v>
      </c>
      <c r="M101" s="1113">
        <f t="shared" si="32"/>
        <v>1</v>
      </c>
      <c r="N101" s="1113">
        <f t="shared" si="32"/>
        <v>1</v>
      </c>
    </row>
    <row r="102" spans="1:14">
      <c r="A102" s="3797"/>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97"/>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97"/>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97"/>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97"/>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97"/>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97"/>
      <c r="B108" s="3799" t="s">
        <v>1612</v>
      </c>
      <c r="C108" s="1110">
        <f>C99</f>
        <v>0</v>
      </c>
      <c r="D108" s="1110">
        <f t="shared" ref="D108:N108" si="33">D99</f>
        <v>0</v>
      </c>
      <c r="E108" s="1110">
        <f t="shared" si="33"/>
        <v>0</v>
      </c>
      <c r="F108" s="1110">
        <f t="shared" si="33"/>
        <v>0</v>
      </c>
      <c r="G108" s="1110">
        <f t="shared" si="33"/>
        <v>0</v>
      </c>
      <c r="H108" s="1110">
        <f t="shared" si="33"/>
        <v>0</v>
      </c>
      <c r="I108" s="1110">
        <f t="shared" si="33"/>
        <v>0</v>
      </c>
      <c r="J108" s="1110">
        <f t="shared" si="33"/>
        <v>0</v>
      </c>
      <c r="K108" s="1110">
        <f t="shared" si="33"/>
        <v>0</v>
      </c>
      <c r="L108" s="1110">
        <f t="shared" si="33"/>
        <v>0</v>
      </c>
      <c r="M108" s="1110">
        <f t="shared" si="33"/>
        <v>0</v>
      </c>
      <c r="N108" s="1110">
        <f t="shared" si="33"/>
        <v>0</v>
      </c>
    </row>
    <row r="109" spans="1:14">
      <c r="A109" s="3798"/>
      <c r="B109" s="3800"/>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801" t="s">
        <v>1613</v>
      </c>
      <c r="B110" s="3801"/>
      <c r="C110" s="3801"/>
      <c r="D110" s="3801"/>
      <c r="E110" s="3801"/>
      <c r="F110" s="3801"/>
      <c r="G110" s="3801"/>
      <c r="H110" s="3801"/>
      <c r="I110" s="3801"/>
      <c r="J110" s="3801"/>
      <c r="K110" s="3445"/>
      <c r="L110" s="3445"/>
      <c r="M110" s="3445"/>
      <c r="N110" s="3445"/>
    </row>
    <row r="112" spans="1:14" ht="12.75" thickBot="1"/>
    <row r="113" spans="1:13" ht="25.5" thickBot="1">
      <c r="A113" s="985" t="s">
        <v>870</v>
      </c>
      <c r="B113" s="2276">
        <f>G3</f>
        <v>1</v>
      </c>
      <c r="C113" s="986" t="s">
        <v>871</v>
      </c>
      <c r="D113" s="987">
        <f>SUMPRODUCT((A115:A118=F113)*(B114:M114=H113)*B115:M118)</f>
        <v>0.55310000000000004</v>
      </c>
      <c r="E113" s="988" t="s">
        <v>872</v>
      </c>
      <c r="F113" s="989" t="str">
        <f>E2</f>
        <v>工业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4">I115</f>
        <v>0.67349999999999999</v>
      </c>
      <c r="K115" s="999">
        <f t="shared" si="34"/>
        <v>0.67349999999999999</v>
      </c>
      <c r="L115" s="999">
        <f t="shared" si="34"/>
        <v>0.67349999999999999</v>
      </c>
      <c r="M115" s="1000">
        <f t="shared" si="34"/>
        <v>0.67349999999999999</v>
      </c>
    </row>
    <row r="116" spans="1:13" ht="12.75">
      <c r="A116" s="998" t="s">
        <v>875</v>
      </c>
      <c r="B116" s="999">
        <f>ROUND(0.949-0.012*B113,4)</f>
        <v>0.93700000000000006</v>
      </c>
      <c r="C116" s="999">
        <f>B116</f>
        <v>0.93700000000000006</v>
      </c>
      <c r="D116" s="999">
        <f>ROUND(0.8567-0.013*B113,4)</f>
        <v>0.84370000000000001</v>
      </c>
      <c r="E116" s="999">
        <f t="shared" ref="E116:H117" si="35">D116</f>
        <v>0.84370000000000001</v>
      </c>
      <c r="F116" s="999">
        <f t="shared" si="35"/>
        <v>0.84370000000000001</v>
      </c>
      <c r="G116" s="999">
        <f t="shared" si="35"/>
        <v>0.84370000000000001</v>
      </c>
      <c r="H116" s="999">
        <f t="shared" si="35"/>
        <v>0.84370000000000001</v>
      </c>
      <c r="I116" s="999">
        <f>ROUND(0.7694-0.014*B113,4)</f>
        <v>0.75539999999999996</v>
      </c>
      <c r="J116" s="999">
        <f t="shared" si="34"/>
        <v>0.75539999999999996</v>
      </c>
      <c r="K116" s="999">
        <f t="shared" si="34"/>
        <v>0.75539999999999996</v>
      </c>
      <c r="L116" s="999">
        <f t="shared" si="34"/>
        <v>0.75539999999999996</v>
      </c>
      <c r="M116" s="1000">
        <f t="shared" si="34"/>
        <v>0.75539999999999996</v>
      </c>
    </row>
    <row r="117" spans="1:13" ht="12.75">
      <c r="A117" s="1001" t="s">
        <v>876</v>
      </c>
      <c r="B117" s="999">
        <f>ROUND(0.8808-0.006*B113,4)</f>
        <v>0.87480000000000002</v>
      </c>
      <c r="C117" s="999">
        <f>B117</f>
        <v>0.87480000000000002</v>
      </c>
      <c r="D117" s="999">
        <f>ROUND(0.8748-0.008*B113,4)</f>
        <v>0.86680000000000001</v>
      </c>
      <c r="E117" s="999">
        <f t="shared" si="35"/>
        <v>0.86680000000000001</v>
      </c>
      <c r="F117" s="999">
        <f t="shared" si="35"/>
        <v>0.86680000000000001</v>
      </c>
      <c r="G117" s="999">
        <f t="shared" si="35"/>
        <v>0.86680000000000001</v>
      </c>
      <c r="H117" s="999">
        <f t="shared" si="35"/>
        <v>0.86680000000000001</v>
      </c>
      <c r="I117" s="999">
        <f>ROUND(0.7412-0.0095*B113,4)</f>
        <v>0.73170000000000002</v>
      </c>
      <c r="J117" s="999">
        <f t="shared" si="34"/>
        <v>0.73170000000000002</v>
      </c>
      <c r="K117" s="999">
        <f t="shared" si="34"/>
        <v>0.73170000000000002</v>
      </c>
      <c r="L117" s="999">
        <f t="shared" si="34"/>
        <v>0.73170000000000002</v>
      </c>
      <c r="M117" s="1000">
        <f t="shared" si="34"/>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4"/>
        <v>0.55310000000000004</v>
      </c>
      <c r="K118" s="1003">
        <f t="shared" si="34"/>
        <v>0.55310000000000004</v>
      </c>
      <c r="L118" s="1003">
        <f t="shared" si="34"/>
        <v>0.55310000000000004</v>
      </c>
      <c r="M118" s="1004">
        <f t="shared" si="34"/>
        <v>0.55310000000000004</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AB9"/>
    </sheetView>
  </sheetViews>
  <sheetFormatPr defaultColWidth="9" defaultRowHeight="12.75"/>
  <cols>
    <col min="1" max="1" width="9" style="2850"/>
    <col min="2" max="6" width="9" style="2850" customWidth="1"/>
    <col min="7" max="7" width="9" style="2887" customWidth="1"/>
    <col min="8" max="12" width="9" style="2850" customWidth="1"/>
    <col min="13" max="13" width="2.25" style="2850" customWidth="1"/>
    <col min="14" max="14" width="9" style="2887" customWidth="1"/>
    <col min="15" max="17" width="9" style="2850" customWidth="1"/>
    <col min="18" max="18" width="2.375" style="2850" customWidth="1"/>
    <col min="19" max="19" width="7.125" style="2887"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3824" t="s">
        <v>2527</v>
      </c>
      <c r="C1" s="3824"/>
      <c r="D1" s="3824"/>
      <c r="E1" s="3824"/>
      <c r="F1" s="3824"/>
      <c r="G1" s="3823" t="s">
        <v>2528</v>
      </c>
      <c r="H1" s="3823"/>
      <c r="I1" s="3823"/>
      <c r="J1" s="3823"/>
      <c r="K1" s="3823"/>
      <c r="L1" s="3823"/>
      <c r="N1" s="3823" t="s">
        <v>2529</v>
      </c>
      <c r="O1" s="3823"/>
      <c r="P1" s="3823"/>
      <c r="Q1" s="3823"/>
      <c r="S1" s="3823" t="s">
        <v>2530</v>
      </c>
      <c r="T1" s="3823"/>
      <c r="U1" s="3823"/>
      <c r="V1" s="3823"/>
      <c r="X1" s="3822" t="s">
        <v>2590</v>
      </c>
      <c r="Y1" s="3823"/>
      <c r="Z1" s="3823"/>
      <c r="AA1" s="3823"/>
      <c r="AB1" s="3823"/>
      <c r="AD1" s="3822" t="s">
        <v>2594</v>
      </c>
      <c r="AE1" s="3823"/>
      <c r="AF1" s="3823"/>
      <c r="AG1" s="3823"/>
      <c r="AH1" s="3823"/>
    </row>
    <row r="2" spans="1:34" s="2829" customFormat="1" ht="14.25" thickBot="1">
      <c r="B2" s="2830" t="s">
        <v>2531</v>
      </c>
      <c r="C2" s="2830" t="s">
        <v>2592</v>
      </c>
      <c r="D2" s="2831" t="s">
        <v>1617</v>
      </c>
      <c r="E2" s="2831" t="s">
        <v>1914</v>
      </c>
      <c r="F2" s="2830" t="s">
        <v>2593</v>
      </c>
      <c r="G2" s="2832"/>
      <c r="I2" s="2830" t="s">
        <v>2890</v>
      </c>
      <c r="J2" s="2831" t="s">
        <v>2892</v>
      </c>
      <c r="K2" s="2831" t="s">
        <v>2893</v>
      </c>
      <c r="L2" s="2830" t="s">
        <v>2894</v>
      </c>
      <c r="N2" s="2830" t="s">
        <v>2531</v>
      </c>
      <c r="O2" s="2831" t="s">
        <v>2891</v>
      </c>
      <c r="P2" s="2831" t="s">
        <v>1914</v>
      </c>
      <c r="Q2" s="2830" t="s">
        <v>2593</v>
      </c>
      <c r="S2" s="2830" t="s">
        <v>2531</v>
      </c>
      <c r="T2" s="2831" t="s">
        <v>2891</v>
      </c>
      <c r="U2" s="2831" t="s">
        <v>1914</v>
      </c>
      <c r="V2" s="2830" t="s">
        <v>2593</v>
      </c>
      <c r="X2" s="2830" t="s">
        <v>2531</v>
      </c>
      <c r="Y2" s="2830" t="s">
        <v>2592</v>
      </c>
      <c r="Z2" s="2831" t="s">
        <v>1617</v>
      </c>
      <c r="AA2" s="2831" t="s">
        <v>1914</v>
      </c>
      <c r="AB2" s="2830" t="s">
        <v>2593</v>
      </c>
      <c r="AD2" s="2830" t="s">
        <v>2531</v>
      </c>
      <c r="AE2" s="2830" t="s">
        <v>2592</v>
      </c>
      <c r="AF2" s="2831" t="s">
        <v>1617</v>
      </c>
      <c r="AG2" s="2831" t="s">
        <v>1914</v>
      </c>
      <c r="AH2" s="2830" t="s">
        <v>2593</v>
      </c>
    </row>
    <row r="3" spans="1:34" s="2839" customFormat="1" ht="14.25">
      <c r="A3" s="2833" t="s">
        <v>2901</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3121</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2902</v>
      </c>
      <c r="X5" s="3525">
        <f>ROUND(SUMPRODUCT(PRODUCT(1+N5:N$9)),4)</f>
        <v>1.0343</v>
      </c>
      <c r="Y5" s="3525">
        <f>ROUND(SUMPRODUCT(PRODUCT(1+O5:O$9)),4)</f>
        <v>1.0154000000000001</v>
      </c>
      <c r="Z5" s="3525">
        <f t="shared" ref="Z5:Z8" si="11">Y5</f>
        <v>1.0154000000000001</v>
      </c>
      <c r="AA5" s="3525">
        <f>ROUND(SUMPRODUCT(PRODUCT(1+P5:P$9)),4)</f>
        <v>1.0376000000000001</v>
      </c>
      <c r="AB5" s="3525">
        <f>ROUND(SUMPRODUCT(PRODUCT(1+Q5:Q$9)),4)</f>
        <v>1.0242</v>
      </c>
      <c r="AD5" s="2860">
        <f>ROUND(AVERAGE(I5:I$37)/100,4)</f>
        <v>1.6400000000000001E-2</v>
      </c>
      <c r="AE5" s="2860">
        <f>ROUND(AVERAGE(J5:J$37)/100,4)</f>
        <v>1.03E-2</v>
      </c>
      <c r="AF5" s="2860">
        <f t="shared" ref="AF5" si="12">AE5</f>
        <v>1.03E-2</v>
      </c>
      <c r="AG5" s="2860">
        <f>ROUND(AVERAGE(K5:K$37)/100,4)</f>
        <v>1.8100000000000002E-2</v>
      </c>
      <c r="AH5" s="2860">
        <f>ROUND(AVERAGE(L5:L$37)/100,4)</f>
        <v>1.2E-2</v>
      </c>
    </row>
    <row r="6" spans="1:34" s="2868" customFormat="1">
      <c r="A6" s="2861" t="s">
        <v>3120</v>
      </c>
      <c r="B6" s="2862">
        <f t="shared" ref="B6" si="13">B7*(1+N6)</f>
        <v>510.07089659554606</v>
      </c>
      <c r="C6" s="2862">
        <f t="shared" ref="C6" si="14">C7*(1+O6)</f>
        <v>352.55593185737411</v>
      </c>
      <c r="D6" s="2862">
        <f t="shared" ref="D6" si="15">C6</f>
        <v>352.55593185737411</v>
      </c>
      <c r="E6" s="2862">
        <f t="shared" ref="E6" si="16">E7*(1+P6)</f>
        <v>737.27992463403655</v>
      </c>
      <c r="F6" s="2862">
        <f t="shared" ref="F6" si="17">F7*(1+Q6)</f>
        <v>335.88319198297864</v>
      </c>
      <c r="G6" s="2846">
        <v>2021</v>
      </c>
      <c r="H6" s="2863">
        <v>4</v>
      </c>
      <c r="I6" s="2826">
        <v>1.03</v>
      </c>
      <c r="J6" s="2826">
        <v>0.24</v>
      </c>
      <c r="K6" s="2826">
        <v>1.17</v>
      </c>
      <c r="L6" s="2827">
        <v>0.55000000000000004</v>
      </c>
      <c r="M6" s="2850"/>
      <c r="N6" s="2864">
        <f t="shared" ref="N6" si="18">I6/100</f>
        <v>1.03E-2</v>
      </c>
      <c r="O6" s="2851">
        <f t="shared" ref="O6" si="19">J6/100</f>
        <v>2.3999999999999998E-3</v>
      </c>
      <c r="P6" s="2851">
        <f t="shared" ref="P6" si="20">K6/100</f>
        <v>1.1699999999999999E-2</v>
      </c>
      <c r="Q6" s="2851">
        <f t="shared" ref="Q6" si="21">L6/100</f>
        <v>5.5000000000000005E-3</v>
      </c>
      <c r="R6" s="2865"/>
      <c r="S6" s="2866"/>
      <c r="T6" s="2867"/>
      <c r="U6" s="2867"/>
      <c r="V6" s="2867"/>
      <c r="W6" s="2850"/>
      <c r="X6" s="3526">
        <f>ROUND(SUMPRODUCT(PRODUCT(1+N6:N$9)),4)</f>
        <v>1.0343</v>
      </c>
      <c r="Y6" s="3526">
        <f>ROUND(SUMPRODUCT(PRODUCT(1+O6:O$9)),4)</f>
        <v>1.0154000000000001</v>
      </c>
      <c r="Z6" s="3526">
        <f t="shared" si="11"/>
        <v>1.0154000000000001</v>
      </c>
      <c r="AA6" s="3526">
        <f>ROUND(SUMPRODUCT(PRODUCT(1+P6:P$9)),4)</f>
        <v>1.0376000000000001</v>
      </c>
      <c r="AB6" s="3526">
        <f>ROUND(SUMPRODUCT(PRODUCT(1+Q6:Q$9)),4)</f>
        <v>1.0242</v>
      </c>
      <c r="AC6" s="2850"/>
      <c r="AD6" s="2851">
        <f>ROUND(AVERAGE(I6:I$37)/100,4)</f>
        <v>1.6899999999999998E-2</v>
      </c>
      <c r="AE6" s="2851">
        <f>ROUND(AVERAGE(J6:J$37)/100,4)</f>
        <v>1.06E-2</v>
      </c>
      <c r="AF6" s="2851">
        <f t="shared" ref="AF6" si="22">AE6</f>
        <v>1.06E-2</v>
      </c>
      <c r="AG6" s="2851">
        <f>ROUND(AVERAGE(K6:K$37)/100,4)</f>
        <v>1.8700000000000001E-2</v>
      </c>
      <c r="AH6" s="2851">
        <f>ROUND(AVERAGE(L6:L$37)/100,4)</f>
        <v>1.24E-2</v>
      </c>
    </row>
    <row r="7" spans="1:34" s="2868" customFormat="1">
      <c r="A7" s="2861" t="s">
        <v>2968</v>
      </c>
      <c r="B7" s="2862">
        <f t="shared" ref="B7" si="23">B8*(1+N7)</f>
        <v>504.87072809615569</v>
      </c>
      <c r="C7" s="2862">
        <f t="shared" ref="C7" si="24">C8*(1+O7)</f>
        <v>351.71182348101968</v>
      </c>
      <c r="D7" s="2862">
        <f t="shared" ref="D7" si="25">C7</f>
        <v>351.71182348101968</v>
      </c>
      <c r="E7" s="2862">
        <f t="shared" ref="E7" si="26">E8*(1+P7)</f>
        <v>728.75350858360832</v>
      </c>
      <c r="F7" s="2862">
        <f t="shared" ref="F7" si="27">F8*(1+Q7)</f>
        <v>334.04593931673656</v>
      </c>
      <c r="G7" s="2846">
        <v>2021</v>
      </c>
      <c r="H7" s="2863">
        <v>3</v>
      </c>
      <c r="I7" s="2826">
        <v>0.47</v>
      </c>
      <c r="J7" s="2826">
        <v>0.41</v>
      </c>
      <c r="K7" s="2826">
        <v>0.48</v>
      </c>
      <c r="L7" s="2827">
        <v>0.48</v>
      </c>
      <c r="M7" s="2850"/>
      <c r="N7" s="2864">
        <f t="shared" ref="N7" si="28">I7/100</f>
        <v>4.6999999999999993E-3</v>
      </c>
      <c r="O7" s="2851">
        <f t="shared" ref="O7" si="29">J7/100</f>
        <v>4.0999999999999995E-3</v>
      </c>
      <c r="P7" s="2851">
        <f t="shared" ref="P7" si="30">K7/100</f>
        <v>4.7999999999999996E-3</v>
      </c>
      <c r="Q7" s="2851">
        <f t="shared" ref="Q7" si="31">L7/100</f>
        <v>4.7999999999999996E-3</v>
      </c>
      <c r="R7" s="2865"/>
      <c r="S7" s="2866"/>
      <c r="T7" s="2867"/>
      <c r="U7" s="2867"/>
      <c r="V7" s="2867"/>
      <c r="W7" s="2850"/>
      <c r="X7" s="3526">
        <f>ROUND(SUMPRODUCT(PRODUCT(1+N7:N$9)),4)</f>
        <v>1.0238</v>
      </c>
      <c r="Y7" s="3526">
        <f>ROUND(SUMPRODUCT(PRODUCT(1+O7:O$9)),4)</f>
        <v>1.0128999999999999</v>
      </c>
      <c r="Z7" s="3526">
        <f t="shared" si="11"/>
        <v>1.0128999999999999</v>
      </c>
      <c r="AA7" s="3526">
        <f>ROUND(SUMPRODUCT(PRODUCT(1+P7:P$9)),4)</f>
        <v>1.0256000000000001</v>
      </c>
      <c r="AB7" s="3526">
        <f>ROUND(SUMPRODUCT(PRODUCT(1+Q7:Q$9)),4)</f>
        <v>1.0185999999999999</v>
      </c>
      <c r="AC7" s="2850"/>
      <c r="AD7" s="2851">
        <f>ROUND(AVERAGE(I7:I$37)/100,4)</f>
        <v>1.72E-2</v>
      </c>
      <c r="AE7" s="2851">
        <f>ROUND(AVERAGE(J7:J$37)/100,4)</f>
        <v>1.09E-2</v>
      </c>
      <c r="AF7" s="2851">
        <f t="shared" ref="AF7" si="32">AE7</f>
        <v>1.09E-2</v>
      </c>
      <c r="AG7" s="2851">
        <f>ROUND(AVERAGE(K7:K$37)/100,4)</f>
        <v>1.89E-2</v>
      </c>
      <c r="AH7" s="2851">
        <f>ROUND(AVERAGE(L7:L$37)/100,4)</f>
        <v>1.26E-2</v>
      </c>
    </row>
    <row r="8" spans="1:34" s="2868" customFormat="1">
      <c r="A8" s="2861" t="s">
        <v>2967</v>
      </c>
      <c r="B8" s="2862">
        <f t="shared" ref="B8" si="33">B9*(1+N8)</f>
        <v>502.50893609650217</v>
      </c>
      <c r="C8" s="2862">
        <f t="shared" ref="C8" si="34">C9*(1+O8)</f>
        <v>350.27569313914915</v>
      </c>
      <c r="D8" s="2862">
        <f t="shared" ref="D8" si="35">C8</f>
        <v>350.27569313914915</v>
      </c>
      <c r="E8" s="2862">
        <f t="shared" ref="E8" si="36">E9*(1+P8)</f>
        <v>725.27220201394141</v>
      </c>
      <c r="F8" s="2862">
        <f t="shared" ref="F8" si="37">F9*(1+Q8)</f>
        <v>332.45017846012797</v>
      </c>
      <c r="G8" s="2846">
        <v>2021</v>
      </c>
      <c r="H8" s="2863">
        <v>2</v>
      </c>
      <c r="I8" s="2826">
        <v>0.92</v>
      </c>
      <c r="J8" s="2826">
        <v>0.72</v>
      </c>
      <c r="K8" s="2826">
        <v>0.95</v>
      </c>
      <c r="L8" s="2827">
        <v>1.01</v>
      </c>
      <c r="M8" s="2850"/>
      <c r="N8" s="2864">
        <f t="shared" ref="N8" si="38">I8/100</f>
        <v>9.1999999999999998E-3</v>
      </c>
      <c r="O8" s="2851">
        <f t="shared" ref="O8" si="39">J8/100</f>
        <v>7.1999999999999998E-3</v>
      </c>
      <c r="P8" s="2851">
        <f t="shared" ref="P8" si="40">K8/100</f>
        <v>9.4999999999999998E-3</v>
      </c>
      <c r="Q8" s="2851">
        <f t="shared" ref="Q8" si="41">L8/100</f>
        <v>1.01E-2</v>
      </c>
      <c r="R8" s="2865"/>
      <c r="S8" s="2866"/>
      <c r="T8" s="2867"/>
      <c r="U8" s="2867"/>
      <c r="V8" s="2867"/>
      <c r="W8" s="2850"/>
      <c r="X8" s="3526">
        <f>ROUND(SUMPRODUCT(PRODUCT(1+N8:N$9)),4)</f>
        <v>1.0189999999999999</v>
      </c>
      <c r="Y8" s="3526">
        <f>ROUND(SUMPRODUCT(PRODUCT(1+O8:O$9)),4)</f>
        <v>1.0087999999999999</v>
      </c>
      <c r="Z8" s="3526">
        <f t="shared" si="11"/>
        <v>1.0087999999999999</v>
      </c>
      <c r="AA8" s="3526">
        <f>ROUND(SUMPRODUCT(PRODUCT(1+P8:P$9)),4)</f>
        <v>1.0206999999999999</v>
      </c>
      <c r="AB8" s="3526">
        <f>ROUND(SUMPRODUCT(PRODUCT(1+Q8:Q$9)),4)</f>
        <v>1.0137</v>
      </c>
      <c r="AC8" s="2850"/>
      <c r="AD8" s="2851">
        <f>ROUND(AVERAGE(I8:I$37)/100,4)</f>
        <v>1.7600000000000001E-2</v>
      </c>
      <c r="AE8" s="2851">
        <f>ROUND(AVERAGE(J8:J$37)/100,4)</f>
        <v>1.11E-2</v>
      </c>
      <c r="AF8" s="2851">
        <f t="shared" ref="AF8" si="42">AE8</f>
        <v>1.11E-2</v>
      </c>
      <c r="AG8" s="2851">
        <f>ROUND(AVERAGE(K8:K$37)/100,4)</f>
        <v>1.9400000000000001E-2</v>
      </c>
      <c r="AH8" s="2851">
        <f>ROUND(AVERAGE(L8:L$37)/100,4)</f>
        <v>1.2800000000000001E-2</v>
      </c>
    </row>
    <row r="9" spans="1:34" s="2868" customFormat="1">
      <c r="A9" s="2861" t="s">
        <v>2966</v>
      </c>
      <c r="B9" s="2862">
        <f t="shared" ref="B9" si="43">B10*(1+N9)</f>
        <v>497.92799851020823</v>
      </c>
      <c r="C9" s="2862">
        <f t="shared" ref="C9" si="44">C10*(1+O9)</f>
        <v>347.77173663537445</v>
      </c>
      <c r="D9" s="2862">
        <f t="shared" ref="D9" si="45">C9</f>
        <v>347.77173663537445</v>
      </c>
      <c r="E9" s="2862">
        <f t="shared" ref="E9" si="46">E10*(1+P9)</f>
        <v>718.44695593258189</v>
      </c>
      <c r="F9" s="2862">
        <f t="shared" ref="F9" si="47">F10*(1+Q9)</f>
        <v>329.12600580153247</v>
      </c>
      <c r="G9" s="2846">
        <v>2021</v>
      </c>
      <c r="H9" s="2863">
        <v>1</v>
      </c>
      <c r="I9" s="2826">
        <v>0.97</v>
      </c>
      <c r="J9" s="2826">
        <v>0.16</v>
      </c>
      <c r="K9" s="2826">
        <v>1.1100000000000001</v>
      </c>
      <c r="L9" s="2827">
        <v>0.36</v>
      </c>
      <c r="M9" s="2850"/>
      <c r="N9" s="2864">
        <f t="shared" ref="N9" si="48">I9/100</f>
        <v>9.7000000000000003E-3</v>
      </c>
      <c r="O9" s="2851">
        <f t="shared" ref="O9" si="49">J9/100</f>
        <v>1.6000000000000001E-3</v>
      </c>
      <c r="P9" s="2851">
        <f t="shared" ref="P9" si="50">K9/100</f>
        <v>1.11E-2</v>
      </c>
      <c r="Q9" s="2851">
        <f t="shared" ref="Q9" si="51">L9/100</f>
        <v>3.5999999999999999E-3</v>
      </c>
      <c r="R9" s="2865"/>
      <c r="S9" s="2866">
        <f>B9/B10-1</f>
        <v>9.7000000000000419E-3</v>
      </c>
      <c r="T9" s="2867">
        <f>C9/C10-1</f>
        <v>1.6000000000000458E-3</v>
      </c>
      <c r="U9" s="2867">
        <f>E9/E10-1</f>
        <v>1.110000000000011E-2</v>
      </c>
      <c r="V9" s="2867">
        <f>F9/F10-1</f>
        <v>3.6000000000000476E-3</v>
      </c>
      <c r="W9" s="2850"/>
      <c r="X9" s="3526">
        <v>1</v>
      </c>
      <c r="Y9" s="3526">
        <v>1</v>
      </c>
      <c r="Z9" s="3526">
        <v>1</v>
      </c>
      <c r="AA9" s="3526">
        <v>1</v>
      </c>
      <c r="AB9" s="3526">
        <v>1</v>
      </c>
      <c r="AC9" s="2850"/>
      <c r="AD9" s="2851">
        <f>ROUND(AVERAGE(I9:I$37)/100,4)</f>
        <v>1.7899999999999999E-2</v>
      </c>
      <c r="AE9" s="2851">
        <f>ROUND(AVERAGE(J9:J$37)/100,4)</f>
        <v>1.12E-2</v>
      </c>
      <c r="AF9" s="2851">
        <f t="shared" ref="AF9" si="52">AE9</f>
        <v>1.12E-2</v>
      </c>
      <c r="AG9" s="2851">
        <f>ROUND(AVERAGE(K9:K$37)/100,4)</f>
        <v>1.9699999999999999E-2</v>
      </c>
      <c r="AH9" s="2851">
        <f>ROUND(AVERAGE(L9:L$37)/100,4)</f>
        <v>1.29E-2</v>
      </c>
    </row>
    <row r="10" spans="1:34" s="2868" customFormat="1">
      <c r="A10" s="2861" t="s">
        <v>2965</v>
      </c>
      <c r="B10" s="2862">
        <f t="shared" ref="B10" si="53">B11*(1+N10)</f>
        <v>493.14449689037161</v>
      </c>
      <c r="C10" s="2862">
        <f t="shared" ref="C10" si="54">C11*(1+O10)</f>
        <v>347.21619073020611</v>
      </c>
      <c r="D10" s="2862">
        <f t="shared" ref="D10" si="55">C10</f>
        <v>347.21619073020611</v>
      </c>
      <c r="E10" s="2862">
        <f t="shared" ref="E10" si="56">E11*(1+P10)</f>
        <v>710.55974278763904</v>
      </c>
      <c r="F10" s="2862">
        <f t="shared" ref="F10" si="57">F11*(1+Q10)</f>
        <v>327.94540235306141</v>
      </c>
      <c r="G10" s="2846">
        <v>2020</v>
      </c>
      <c r="H10" s="2863">
        <v>4</v>
      </c>
      <c r="I10" s="2826">
        <v>2.0699999999999998</v>
      </c>
      <c r="J10" s="2826">
        <v>0.37</v>
      </c>
      <c r="K10" s="2826">
        <v>2.35</v>
      </c>
      <c r="L10" s="2827">
        <v>2.69</v>
      </c>
      <c r="M10" s="2850"/>
      <c r="N10" s="2864">
        <f t="shared" ref="N10" si="58">I10/100</f>
        <v>2.07E-2</v>
      </c>
      <c r="O10" s="2851">
        <f t="shared" ref="O10" si="59">J10/100</f>
        <v>3.7000000000000002E-3</v>
      </c>
      <c r="P10" s="2851">
        <f t="shared" ref="P10" si="60">K10/100</f>
        <v>2.35E-2</v>
      </c>
      <c r="Q10" s="2851">
        <f t="shared" ref="Q10" si="61">L10/100</f>
        <v>2.69E-2</v>
      </c>
      <c r="R10" s="2865"/>
      <c r="S10" s="2866"/>
      <c r="T10" s="2867"/>
      <c r="U10" s="2867"/>
      <c r="V10" s="2867"/>
      <c r="W10" s="2850"/>
      <c r="X10" s="2850">
        <f>ROUND(SUMPRODUCT(PRODUCT(1+N10:N$37)),4)</f>
        <v>1.6511</v>
      </c>
      <c r="Y10" s="2850">
        <f>ROUND(SUMPRODUCT(PRODUCT(1+O10:O$37)),4)</f>
        <v>1.3785000000000001</v>
      </c>
      <c r="Z10" s="2850">
        <f t="shared" ref="Z10" si="62">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3">AE10</f>
        <v>1.1599999999999999E-2</v>
      </c>
      <c r="AG10" s="2851">
        <f>ROUND(AVERAGE(K10:K$37)/100,4)</f>
        <v>0.02</v>
      </c>
      <c r="AH10" s="2851">
        <f>ROUND(AVERAGE(L10:L$37)/100,4)</f>
        <v>1.3299999999999999E-2</v>
      </c>
    </row>
    <row r="11" spans="1:34" s="2868" customFormat="1">
      <c r="A11" s="2861" t="s">
        <v>2964</v>
      </c>
      <c r="B11" s="2862">
        <f t="shared" ref="B11" si="64">B12*(1+N11)</f>
        <v>483.1434279321756</v>
      </c>
      <c r="C11" s="2862">
        <f t="shared" ref="C11" si="65">C12*(1+O11)</f>
        <v>345.93622669144776</v>
      </c>
      <c r="D11" s="2862">
        <f t="shared" ref="D11" si="66">C11</f>
        <v>345.93622669144776</v>
      </c>
      <c r="E11" s="2862">
        <f t="shared" ref="E11" si="67">E12*(1+P11)</f>
        <v>694.24498562544113</v>
      </c>
      <c r="F11" s="2862">
        <f t="shared" ref="F11" si="68">F12*(1+Q11)</f>
        <v>319.35475932716082</v>
      </c>
      <c r="G11" s="2846">
        <v>2020</v>
      </c>
      <c r="H11" s="2863">
        <v>3</v>
      </c>
      <c r="I11" s="2826">
        <v>0.36</v>
      </c>
      <c r="J11" s="2826">
        <v>-0.39</v>
      </c>
      <c r="K11" s="2826">
        <v>0.49</v>
      </c>
      <c r="L11" s="2827">
        <v>7.0000000000000007E-2</v>
      </c>
      <c r="M11" s="2850"/>
      <c r="N11" s="2864">
        <f t="shared" ref="N11" si="69">I11/100</f>
        <v>3.5999999999999999E-3</v>
      </c>
      <c r="O11" s="2851">
        <f t="shared" ref="O11" si="70">J11/100</f>
        <v>-3.9000000000000003E-3</v>
      </c>
      <c r="P11" s="2851">
        <f t="shared" ref="P11" si="71">K11/100</f>
        <v>4.8999999999999998E-3</v>
      </c>
      <c r="Q11" s="2851">
        <f t="shared" ref="Q11" si="72">L11/100</f>
        <v>7.000000000000001E-4</v>
      </c>
      <c r="R11" s="2865"/>
      <c r="S11" s="2866"/>
      <c r="T11" s="2867"/>
      <c r="U11" s="2867"/>
      <c r="V11" s="2867"/>
      <c r="W11" s="2850"/>
      <c r="X11" s="2850">
        <f>ROUND(SUMPRODUCT(PRODUCT(1+N11:N$37)),4)</f>
        <v>1.6175999999999999</v>
      </c>
      <c r="Y11" s="2850">
        <f>ROUND(SUMPRODUCT(PRODUCT(1+O11:O$37)),4)</f>
        <v>1.3734</v>
      </c>
      <c r="Z11" s="2850">
        <f t="shared" ref="Z11" si="73">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4">AE11</f>
        <v>1.1900000000000001E-2</v>
      </c>
      <c r="AG11" s="2851">
        <f>ROUND(AVERAGE(K11:K$37)/100,4)</f>
        <v>1.9900000000000001E-2</v>
      </c>
      <c r="AH11" s="2851">
        <f>ROUND(AVERAGE(L11:L$37)/100,4)</f>
        <v>1.2800000000000001E-2</v>
      </c>
    </row>
    <row r="12" spans="1:34" s="2868" customFormat="1">
      <c r="A12" s="2861" t="s">
        <v>2927</v>
      </c>
      <c r="B12" s="2862">
        <f t="shared" ref="B12" si="75">B13*(1+N12)</f>
        <v>481.4103506697644</v>
      </c>
      <c r="C12" s="2862">
        <f t="shared" ref="C12" si="76">C13*(1+O12)</f>
        <v>347.29066026648707</v>
      </c>
      <c r="D12" s="2862">
        <f t="shared" ref="D12" si="77">C12</f>
        <v>347.29066026648707</v>
      </c>
      <c r="E12" s="2862">
        <f t="shared" ref="E12" si="78">E13*(1+P12)</f>
        <v>690.85977273901995</v>
      </c>
      <c r="F12" s="2862">
        <f t="shared" ref="F12" si="79">F13*(1+Q12)</f>
        <v>319.13136737000184</v>
      </c>
      <c r="G12" s="2846">
        <v>2020</v>
      </c>
      <c r="H12" s="2863">
        <v>2</v>
      </c>
      <c r="I12" s="2826">
        <v>0.31</v>
      </c>
      <c r="J12" s="2826">
        <v>-0.78</v>
      </c>
      <c r="K12" s="2826">
        <v>0.5</v>
      </c>
      <c r="L12" s="2827">
        <v>0.47</v>
      </c>
      <c r="M12" s="2850"/>
      <c r="N12" s="2864">
        <f t="shared" ref="N12" si="80">I12/100</f>
        <v>3.0999999999999999E-3</v>
      </c>
      <c r="O12" s="2851">
        <f t="shared" ref="O12" si="81">J12/100</f>
        <v>-7.8000000000000005E-3</v>
      </c>
      <c r="P12" s="2851">
        <f t="shared" ref="P12" si="82">K12/100</f>
        <v>5.0000000000000001E-3</v>
      </c>
      <c r="Q12" s="2851">
        <f t="shared" ref="Q12" si="83">L12/100</f>
        <v>4.6999999999999993E-3</v>
      </c>
      <c r="R12" s="2865"/>
      <c r="S12" s="2866"/>
      <c r="T12" s="2867"/>
      <c r="U12" s="2867"/>
      <c r="V12" s="2867"/>
      <c r="W12" s="2850"/>
      <c r="X12" s="2850">
        <f>ROUND(SUMPRODUCT(PRODUCT(1+N12:N$37)),4)</f>
        <v>1.6117999999999999</v>
      </c>
      <c r="Y12" s="2850">
        <f>ROUND(SUMPRODUCT(PRODUCT(1+O12:O$37)),4)</f>
        <v>1.3788</v>
      </c>
      <c r="Z12" s="2850">
        <f t="shared" ref="Z12" si="84">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5">AE12</f>
        <v>1.2500000000000001E-2</v>
      </c>
      <c r="AG12" s="2851">
        <f>ROUND(AVERAGE(K12:K$37)/100,4)</f>
        <v>2.0400000000000001E-2</v>
      </c>
      <c r="AH12" s="2851">
        <f>ROUND(AVERAGE(L12:L$37)/100,4)</f>
        <v>1.32E-2</v>
      </c>
    </row>
    <row r="13" spans="1:34" s="2868" customFormat="1">
      <c r="A13" s="2861" t="s">
        <v>2925</v>
      </c>
      <c r="B13" s="2862">
        <f t="shared" ref="B13" si="86">B14*(1+N13)</f>
        <v>479.92259063878413</v>
      </c>
      <c r="C13" s="2862">
        <f t="shared" ref="C13" si="87">C14*(1+O13)</f>
        <v>350.02082268341775</v>
      </c>
      <c r="D13" s="2862">
        <f t="shared" ref="D13" si="88">C13</f>
        <v>350.02082268341775</v>
      </c>
      <c r="E13" s="2862">
        <f t="shared" ref="E13" si="89">E14*(1+P13)</f>
        <v>687.42265944181099</v>
      </c>
      <c r="F13" s="2862">
        <f t="shared" ref="F13" si="90">F14*(1+Q13)</f>
        <v>317.63846657708956</v>
      </c>
      <c r="G13" s="2846">
        <v>2020</v>
      </c>
      <c r="H13" s="2863">
        <v>1</v>
      </c>
      <c r="I13" s="2826">
        <v>0.12</v>
      </c>
      <c r="J13" s="2826">
        <v>-0.4</v>
      </c>
      <c r="K13" s="2826">
        <v>0.21</v>
      </c>
      <c r="L13" s="2827">
        <v>0.27</v>
      </c>
      <c r="M13" s="2850"/>
      <c r="N13" s="2864">
        <f t="shared" ref="N13" si="91">I13/100</f>
        <v>1.1999999999999999E-3</v>
      </c>
      <c r="O13" s="2851">
        <f t="shared" ref="O13" si="92">J13/100</f>
        <v>-4.0000000000000001E-3</v>
      </c>
      <c r="P13" s="2851">
        <f t="shared" ref="P13" si="93">K13/100</f>
        <v>2.0999999999999999E-3</v>
      </c>
      <c r="Q13" s="2851">
        <f t="shared" ref="Q13" si="94">L13/100</f>
        <v>2.7000000000000001E-3</v>
      </c>
      <c r="R13" s="2865"/>
      <c r="S13" s="2866">
        <f>B13/B14-1</f>
        <v>1.2000000000000899E-3</v>
      </c>
      <c r="T13" s="2867">
        <f>C13/C14-1</f>
        <v>-4.0000000000000036E-3</v>
      </c>
      <c r="U13" s="2867">
        <f>E13/E14-1</f>
        <v>2.0999999999999908E-3</v>
      </c>
      <c r="V13" s="2867">
        <f>F13/F14-1</f>
        <v>2.6999999999999247E-3</v>
      </c>
      <c r="W13" s="2850"/>
      <c r="X13" s="2850">
        <f>ROUND(SUMPRODUCT(PRODUCT(1+N13:N$37)),4)</f>
        <v>1.6068</v>
      </c>
      <c r="Y13" s="2850">
        <f>ROUND(SUMPRODUCT(PRODUCT(1+O13:O$37)),4)</f>
        <v>1.3895999999999999</v>
      </c>
      <c r="Z13" s="2850">
        <f t="shared" ref="Z13:Z36" si="95">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96">AE13</f>
        <v>1.3299999999999999E-2</v>
      </c>
      <c r="AG13" s="2851">
        <f>ROUND(AVERAGE(K13:K$37)/100,4)</f>
        <v>2.1100000000000001E-2</v>
      </c>
      <c r="AH13" s="2851">
        <f>ROUND(AVERAGE(L13:L$37)/100,4)</f>
        <v>1.3599999999999999E-2</v>
      </c>
    </row>
    <row r="14" spans="1:34" s="2868" customFormat="1">
      <c r="A14" s="2861" t="s">
        <v>2922</v>
      </c>
      <c r="B14" s="2862">
        <f t="shared" ref="B14" si="97">B15*(1+N14)</f>
        <v>479.34737379023579</v>
      </c>
      <c r="C14" s="2862">
        <f t="shared" ref="C14" si="98">C15*(1+O14)</f>
        <v>351.4265287986122</v>
      </c>
      <c r="D14" s="2862">
        <f t="shared" ref="D14" si="99">C14</f>
        <v>351.4265287986122</v>
      </c>
      <c r="E14" s="2862">
        <f t="shared" ref="E14" si="100">E15*(1+P14)</f>
        <v>685.98209703803116</v>
      </c>
      <c r="F14" s="2862">
        <f t="shared" ref="F14" si="101">F15*(1+Q14)</f>
        <v>316.78315206651001</v>
      </c>
      <c r="G14" s="2846">
        <v>2019</v>
      </c>
      <c r="H14" s="2863">
        <v>4</v>
      </c>
      <c r="I14" s="2863">
        <v>0.45</v>
      </c>
      <c r="J14" s="2863">
        <v>-0.12</v>
      </c>
      <c r="K14" s="2863">
        <v>0.54</v>
      </c>
      <c r="L14" s="2869">
        <v>0.48</v>
      </c>
      <c r="M14" s="2850"/>
      <c r="N14" s="2864">
        <f t="shared" ref="N14" si="102">I14/100</f>
        <v>4.5000000000000005E-3</v>
      </c>
      <c r="O14" s="2851">
        <f t="shared" ref="O14" si="103">J14/100</f>
        <v>-1.1999999999999999E-3</v>
      </c>
      <c r="P14" s="2851">
        <f t="shared" ref="P14" si="104">K14/100</f>
        <v>5.4000000000000003E-3</v>
      </c>
      <c r="Q14" s="2851">
        <f t="shared" ref="Q14" si="105">L14/100</f>
        <v>4.7999999999999996E-3</v>
      </c>
      <c r="R14" s="2865"/>
      <c r="S14" s="2866"/>
      <c r="T14" s="2867"/>
      <c r="U14" s="2867"/>
      <c r="V14" s="2867"/>
      <c r="W14" s="2850"/>
      <c r="X14" s="2850">
        <f>ROUND(SUMPRODUCT(PRODUCT(1+N14:N$37)),4)</f>
        <v>1.6049</v>
      </c>
      <c r="Y14" s="2850">
        <f>ROUND(SUMPRODUCT(PRODUCT(1+O14:O$37)),4)</f>
        <v>1.3952</v>
      </c>
      <c r="Z14" s="2850">
        <f t="shared" si="95"/>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06">AE14</f>
        <v>1.4E-2</v>
      </c>
      <c r="AG14" s="2851">
        <f>ROUND(AVERAGE(K14:K$37)/100,4)</f>
        <v>2.1899999999999999E-2</v>
      </c>
      <c r="AH14" s="2851">
        <f>ROUND(AVERAGE(L14:L$37)/100,4)</f>
        <v>1.4E-2</v>
      </c>
    </row>
    <row r="15" spans="1:34" s="2868" customFormat="1" ht="13.5" thickBot="1">
      <c r="A15" s="2861" t="s">
        <v>2921</v>
      </c>
      <c r="B15" s="2862">
        <f t="shared" ref="B15" si="107">B16*(1+N15)</f>
        <v>477.19997390765138</v>
      </c>
      <c r="C15" s="2862">
        <f t="shared" ref="C15" si="108">C16*(1+O15)</f>
        <v>351.84874729536665</v>
      </c>
      <c r="D15" s="2862">
        <f t="shared" ref="D15" si="109">C15</f>
        <v>351.84874729536665</v>
      </c>
      <c r="E15" s="2862">
        <f t="shared" ref="E15" si="110">E16*(1+P15)</f>
        <v>682.29768951465201</v>
      </c>
      <c r="F15" s="2862">
        <f t="shared" ref="F15" si="111">F16*(1+Q15)</f>
        <v>315.26985675409043</v>
      </c>
      <c r="G15" s="2846">
        <v>2019</v>
      </c>
      <c r="H15" s="2863">
        <v>3</v>
      </c>
      <c r="I15" s="2863">
        <v>0.61</v>
      </c>
      <c r="J15" s="2863">
        <v>0.67</v>
      </c>
      <c r="K15" s="2863">
        <v>0.6</v>
      </c>
      <c r="L15" s="2869">
        <v>1.03</v>
      </c>
      <c r="M15" s="2850"/>
      <c r="N15" s="2864">
        <f t="shared" ref="N15" si="112">I15/100</f>
        <v>6.0999999999999995E-3</v>
      </c>
      <c r="O15" s="2851">
        <f t="shared" ref="O15" si="113">J15/100</f>
        <v>6.7000000000000002E-3</v>
      </c>
      <c r="P15" s="2851">
        <f t="shared" ref="P15" si="114">K15/100</f>
        <v>6.0000000000000001E-3</v>
      </c>
      <c r="Q15" s="2851">
        <f t="shared" ref="Q15" si="115">L15/100</f>
        <v>1.03E-2</v>
      </c>
      <c r="R15" s="2865"/>
      <c r="S15" s="2866"/>
      <c r="T15" s="2867"/>
      <c r="U15" s="2867"/>
      <c r="V15" s="2867"/>
      <c r="W15" s="2850"/>
      <c r="X15" s="2850">
        <f>ROUND(SUMPRODUCT(PRODUCT(1+N15:N$37)),4)</f>
        <v>1.5976999999999999</v>
      </c>
      <c r="Y15" s="2850">
        <f>ROUND(SUMPRODUCT(PRODUCT(1+O15:O$37)),4)</f>
        <v>1.3969</v>
      </c>
      <c r="Z15" s="2850">
        <f t="shared" si="95"/>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16">AE15</f>
        <v>1.47E-2</v>
      </c>
      <c r="AG15" s="2851">
        <f>ROUND(AVERAGE(K15:K$37)/100,4)</f>
        <v>2.2599999999999999E-2</v>
      </c>
      <c r="AH15" s="2851">
        <f>ROUND(AVERAGE(L15:L$37)/100,4)</f>
        <v>1.44E-2</v>
      </c>
    </row>
    <row r="16" spans="1:34" s="2868" customFormat="1">
      <c r="A16" s="2861" t="s">
        <v>2920</v>
      </c>
      <c r="B16" s="2862">
        <f t="shared" ref="B16:B21" si="117">B17*(1+N16)</f>
        <v>474.30670301923408</v>
      </c>
      <c r="C16" s="2862">
        <f t="shared" ref="C16" si="118">C17*(1+O16)</f>
        <v>349.50705005996491</v>
      </c>
      <c r="D16" s="2862">
        <f t="shared" ref="D16" si="119">C16</f>
        <v>349.50705005996491</v>
      </c>
      <c r="E16" s="2862">
        <f t="shared" ref="E16" si="120">E17*(1+P16)</f>
        <v>678.22831959706957</v>
      </c>
      <c r="F16" s="2862">
        <f t="shared" ref="F16" si="121">F17*(1+Q16)</f>
        <v>312.0556832169558</v>
      </c>
      <c r="G16" s="2846">
        <v>2019</v>
      </c>
      <c r="H16" s="2870">
        <v>2</v>
      </c>
      <c r="I16" s="2870">
        <v>1.53</v>
      </c>
      <c r="J16" s="2870">
        <v>1.01</v>
      </c>
      <c r="K16" s="2870">
        <v>1.62</v>
      </c>
      <c r="L16" s="2871">
        <v>1.25</v>
      </c>
      <c r="M16" s="2850"/>
      <c r="N16" s="2864">
        <f t="shared" ref="N16" si="122">I16/100</f>
        <v>1.5300000000000001E-2</v>
      </c>
      <c r="O16" s="2851">
        <f t="shared" ref="O16" si="123">J16/100</f>
        <v>1.01E-2</v>
      </c>
      <c r="P16" s="2851">
        <f t="shared" ref="P16" si="124">K16/100</f>
        <v>1.6200000000000003E-2</v>
      </c>
      <c r="Q16" s="2851">
        <f t="shared" ref="Q16" si="125">L16/100</f>
        <v>1.2500000000000001E-2</v>
      </c>
      <c r="R16" s="2865"/>
      <c r="S16" s="2866"/>
      <c r="T16" s="2867"/>
      <c r="U16" s="2867"/>
      <c r="V16" s="2867"/>
      <c r="W16" s="2850"/>
      <c r="X16" s="2850">
        <f>ROUND(SUMPRODUCT(PRODUCT(1+N16:N$37)),4)</f>
        <v>1.5880000000000001</v>
      </c>
      <c r="Y16" s="2850">
        <f>ROUND(SUMPRODUCT(PRODUCT(1+O16:O$37)),4)</f>
        <v>1.3875999999999999</v>
      </c>
      <c r="Z16" s="2850">
        <f t="shared" si="95"/>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26">AE16</f>
        <v>1.4999999999999999E-2</v>
      </c>
      <c r="AG16" s="2851">
        <f>ROUND(AVERAGE(K16:K$37)/100,4)</f>
        <v>2.3300000000000001E-2</v>
      </c>
      <c r="AH16" s="2851">
        <f>ROUND(AVERAGE(L16:L$37)/100,4)</f>
        <v>1.46E-2</v>
      </c>
    </row>
    <row r="17" spans="1:34" s="2868" customFormat="1" ht="13.5" thickBot="1">
      <c r="A17" s="2861" t="s">
        <v>2919</v>
      </c>
      <c r="B17" s="2862">
        <f t="shared" si="117"/>
        <v>467.15916775261894</v>
      </c>
      <c r="C17" s="2862">
        <f t="shared" ref="C17" si="127">C18*(1+O17)</f>
        <v>346.01232557169084</v>
      </c>
      <c r="D17" s="2862">
        <f t="shared" ref="D17" si="128">C17</f>
        <v>346.01232557169084</v>
      </c>
      <c r="E17" s="2862">
        <f t="shared" ref="E17" si="129">E18*(1+P17)</f>
        <v>667.41617752122568</v>
      </c>
      <c r="F17" s="2862">
        <f t="shared" ref="F17" si="130">F18*(1+Q17)</f>
        <v>308.20314391798104</v>
      </c>
      <c r="G17" s="2846">
        <v>2019</v>
      </c>
      <c r="H17" s="2863">
        <v>1</v>
      </c>
      <c r="I17" s="2863">
        <v>0.6</v>
      </c>
      <c r="J17" s="2863">
        <v>0.37</v>
      </c>
      <c r="K17" s="2863">
        <v>0.63</v>
      </c>
      <c r="L17" s="2869">
        <v>1.1299999999999999</v>
      </c>
      <c r="M17" s="2850"/>
      <c r="N17" s="2864">
        <f t="shared" ref="N17" si="131">I17/100</f>
        <v>6.0000000000000001E-3</v>
      </c>
      <c r="O17" s="2851">
        <f t="shared" ref="O17" si="132">J17/100</f>
        <v>3.7000000000000002E-3</v>
      </c>
      <c r="P17" s="2851">
        <f t="shared" ref="P17" si="133">K17/100</f>
        <v>6.3E-3</v>
      </c>
      <c r="Q17" s="2851">
        <f t="shared" ref="Q17" si="134">L17/100</f>
        <v>1.1299999999999999E-2</v>
      </c>
      <c r="R17" s="2865"/>
      <c r="S17" s="2866">
        <f>B17/B18-1</f>
        <v>6.0000000000000053E-3</v>
      </c>
      <c r="T17" s="2867">
        <f>C17/C18-1</f>
        <v>3.7000000000000366E-3</v>
      </c>
      <c r="U17" s="2867">
        <f>E17/E18-1</f>
        <v>6.2999999999999723E-3</v>
      </c>
      <c r="V17" s="2867">
        <f>F17/F18-1</f>
        <v>1.1300000000000088E-2</v>
      </c>
      <c r="W17" s="2850"/>
      <c r="X17" s="2850">
        <f>ROUND(SUMPRODUCT(PRODUCT(1+N17:N$37)),4)</f>
        <v>1.5641</v>
      </c>
      <c r="Y17" s="2850">
        <f>ROUND(SUMPRODUCT(PRODUCT(1+O17:O$37)),4)</f>
        <v>1.3736999999999999</v>
      </c>
      <c r="Z17" s="2850">
        <f t="shared" si="95"/>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5">AE17</f>
        <v>1.5299999999999999E-2</v>
      </c>
      <c r="AG17" s="2851">
        <f>ROUND(AVERAGE(K17:K$37)/100,4)</f>
        <v>2.3699999999999999E-2</v>
      </c>
      <c r="AH17" s="2851">
        <f>ROUND(AVERAGE(L17:L$37)/100,4)</f>
        <v>1.47E-2</v>
      </c>
    </row>
    <row r="18" spans="1:34" s="2868" customFormat="1">
      <c r="A18" s="2861" t="s">
        <v>2917</v>
      </c>
      <c r="B18" s="2872">
        <f t="shared" si="117"/>
        <v>464.37293017158942</v>
      </c>
      <c r="C18" s="2872">
        <f t="shared" ref="C18" si="136">C19*(1+O18)</f>
        <v>344.73679941385956</v>
      </c>
      <c r="D18" s="2872">
        <f t="shared" ref="D18" si="137">C18</f>
        <v>344.73679941385956</v>
      </c>
      <c r="E18" s="2872">
        <f t="shared" ref="E18" si="138">E19*(1+P18)</f>
        <v>663.2377795103107</v>
      </c>
      <c r="F18" s="2873">
        <f t="shared" ref="F18" si="139">F19*(1+Q18)</f>
        <v>304.75936311478398</v>
      </c>
      <c r="G18" s="3826">
        <v>2018</v>
      </c>
      <c r="H18" s="2870">
        <v>4</v>
      </c>
      <c r="I18" s="2870">
        <v>0.96</v>
      </c>
      <c r="J18" s="2870">
        <v>1.03</v>
      </c>
      <c r="K18" s="2870">
        <v>0.92</v>
      </c>
      <c r="L18" s="2871">
        <v>1.29</v>
      </c>
      <c r="M18" s="2850"/>
      <c r="N18" s="2864">
        <f t="shared" ref="N18" si="140">I18/100</f>
        <v>9.5999999999999992E-3</v>
      </c>
      <c r="O18" s="2851">
        <f t="shared" ref="O18" si="141">J18/100</f>
        <v>1.03E-2</v>
      </c>
      <c r="P18" s="2851">
        <f t="shared" ref="P18" si="142">K18/100</f>
        <v>9.1999999999999998E-3</v>
      </c>
      <c r="Q18" s="2851">
        <f t="shared" ref="Q18" si="143">L18/100</f>
        <v>1.29E-2</v>
      </c>
      <c r="R18" s="2865"/>
      <c r="S18" s="2874"/>
      <c r="T18" s="2875"/>
      <c r="U18" s="2875"/>
      <c r="V18" s="2875"/>
      <c r="W18" s="2850"/>
      <c r="X18" s="2850">
        <f>ROUND(SUMPRODUCT(PRODUCT(1+N18:N$37)),4)</f>
        <v>1.5548</v>
      </c>
      <c r="Y18" s="2850">
        <f>ROUND(SUMPRODUCT(PRODUCT(1+O18:O$37)),4)</f>
        <v>1.3686</v>
      </c>
      <c r="Z18" s="2850">
        <f t="shared" si="95"/>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4">AE18</f>
        <v>1.5800000000000002E-2</v>
      </c>
      <c r="AG18" s="2851">
        <f>ROUND(AVERAGE(K18:K$37)/100,4)</f>
        <v>2.4500000000000001E-2</v>
      </c>
      <c r="AH18" s="2851">
        <f>ROUND(AVERAGE(L18:L$37)/100,4)</f>
        <v>1.49E-2</v>
      </c>
    </row>
    <row r="19" spans="1:34" s="2868" customFormat="1" ht="14.45" customHeight="1">
      <c r="A19" s="2861" t="s">
        <v>2910</v>
      </c>
      <c r="B19" s="2862">
        <f t="shared" si="117"/>
        <v>459.95733971036987</v>
      </c>
      <c r="C19" s="2862">
        <f t="shared" ref="C19" si="145">C20*(1+O19)</f>
        <v>341.22221064422405</v>
      </c>
      <c r="D19" s="2862">
        <f t="shared" ref="D19" si="146">C19</f>
        <v>341.22221064422405</v>
      </c>
      <c r="E19" s="2862">
        <f t="shared" ref="E19" si="147">E20*(1+P19)</f>
        <v>657.19161663724799</v>
      </c>
      <c r="F19" s="2862">
        <f t="shared" ref="F19" si="148">F20*(1+Q19)</f>
        <v>300.87803644464805</v>
      </c>
      <c r="G19" s="3826"/>
      <c r="H19" s="2863">
        <v>3</v>
      </c>
      <c r="I19" s="2863">
        <v>1.51</v>
      </c>
      <c r="J19" s="2863">
        <v>1.41</v>
      </c>
      <c r="K19" s="2863">
        <v>1.52</v>
      </c>
      <c r="L19" s="2869">
        <v>1.74</v>
      </c>
      <c r="M19" s="2850"/>
      <c r="N19" s="2864">
        <f t="shared" ref="N19" si="149">I19/100</f>
        <v>1.5100000000000001E-2</v>
      </c>
      <c r="O19" s="2851">
        <f t="shared" ref="O19" si="150">J19/100</f>
        <v>1.41E-2</v>
      </c>
      <c r="P19" s="2851">
        <f t="shared" ref="P19" si="151">K19/100</f>
        <v>1.52E-2</v>
      </c>
      <c r="Q19" s="2851">
        <f t="shared" ref="Q19" si="152">L19/100</f>
        <v>1.7399999999999999E-2</v>
      </c>
      <c r="R19" s="2865"/>
      <c r="S19" s="2864"/>
      <c r="T19" s="2851"/>
      <c r="U19" s="2851"/>
      <c r="V19" s="2851"/>
      <c r="W19" s="2850"/>
      <c r="X19" s="2850">
        <f>ROUND(SUMPRODUCT(PRODUCT(1+N19:N$37)),4)</f>
        <v>1.54</v>
      </c>
      <c r="Y19" s="2850">
        <f>ROUND(SUMPRODUCT(PRODUCT(1+O19:O$37)),4)</f>
        <v>1.3547</v>
      </c>
      <c r="Z19" s="2850">
        <f t="shared" si="95"/>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3">AE19</f>
        <v>1.61E-2</v>
      </c>
      <c r="AG19" s="2851">
        <f>ROUND(AVERAGE(K19:K$37)/100,4)</f>
        <v>2.53E-2</v>
      </c>
      <c r="AH19" s="2851">
        <f>ROUND(AVERAGE(L19:L$37)/100,4)</f>
        <v>1.4999999999999999E-2</v>
      </c>
    </row>
    <row r="20" spans="1:34" s="2868" customFormat="1" ht="14.45" customHeight="1">
      <c r="A20" s="2861" t="s">
        <v>2911</v>
      </c>
      <c r="B20" s="2862">
        <f t="shared" si="117"/>
        <v>453.11529869999993</v>
      </c>
      <c r="C20" s="2862">
        <f t="shared" ref="C20" si="154">C21*(1+O20)</f>
        <v>336.47787264000004</v>
      </c>
      <c r="D20" s="2862">
        <f t="shared" ref="D20" si="155">C20</f>
        <v>336.47787264000004</v>
      </c>
      <c r="E20" s="2862">
        <f t="shared" ref="E20" si="156">E21*(1+P20)</f>
        <v>647.35186823999993</v>
      </c>
      <c r="F20" s="2862">
        <f t="shared" ref="F20" si="157">F21*(1+Q20)</f>
        <v>295.73229452000004</v>
      </c>
      <c r="G20" s="3826"/>
      <c r="H20" s="2876">
        <v>2</v>
      </c>
      <c r="I20" s="2876">
        <v>1.49</v>
      </c>
      <c r="J20" s="2876">
        <v>0.96</v>
      </c>
      <c r="K20" s="2876">
        <v>1.58</v>
      </c>
      <c r="L20" s="2877">
        <v>2.44</v>
      </c>
      <c r="M20" s="2850"/>
      <c r="N20" s="2864">
        <f t="shared" ref="N20" si="158">I20/100</f>
        <v>1.49E-2</v>
      </c>
      <c r="O20" s="2851">
        <f t="shared" ref="O20" si="159">J20/100</f>
        <v>9.5999999999999992E-3</v>
      </c>
      <c r="P20" s="2851">
        <f t="shared" ref="P20" si="160">K20/100</f>
        <v>1.5800000000000002E-2</v>
      </c>
      <c r="Q20" s="2851">
        <f t="shared" ref="Q20" si="161">L20/100</f>
        <v>2.4399999999999998E-2</v>
      </c>
      <c r="R20" s="2865"/>
      <c r="S20" s="2864"/>
      <c r="T20" s="2851"/>
      <c r="U20" s="2851"/>
      <c r="V20" s="2851"/>
      <c r="W20" s="2850"/>
      <c r="X20" s="2850">
        <f>ROUND(SUMPRODUCT(PRODUCT(1+N20:N$37)),4)</f>
        <v>1.5170999999999999</v>
      </c>
      <c r="Y20" s="2850">
        <f>ROUND(SUMPRODUCT(PRODUCT(1+O20:O$37)),4)</f>
        <v>1.3358000000000001</v>
      </c>
      <c r="Z20" s="2850">
        <f t="shared" si="95"/>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2">AE20</f>
        <v>1.6199999999999999E-2</v>
      </c>
      <c r="AG20" s="2851">
        <f>ROUND(AVERAGE(K20:K$37)/100,4)</f>
        <v>2.5899999999999999E-2</v>
      </c>
      <c r="AH20" s="2851">
        <f>ROUND(AVERAGE(L20:L$37)/100,4)</f>
        <v>1.49E-2</v>
      </c>
    </row>
    <row r="21" spans="1:34" s="2868" customFormat="1" ht="15" customHeight="1" thickBot="1">
      <c r="A21" s="2861" t="s">
        <v>2907</v>
      </c>
      <c r="B21" s="2862">
        <f t="shared" si="117"/>
        <v>446.46299999999997</v>
      </c>
      <c r="C21" s="2862">
        <f t="shared" ref="C21" si="163">C22*(1+O21)</f>
        <v>333.27840000000003</v>
      </c>
      <c r="D21" s="2862">
        <f t="shared" ref="D21:D26" si="164">C21</f>
        <v>333.27840000000003</v>
      </c>
      <c r="E21" s="2862">
        <f t="shared" ref="E21" si="165">E22*(1+P21)</f>
        <v>637.28279999999995</v>
      </c>
      <c r="F21" s="2862">
        <f t="shared" ref="F21" si="166">F22*(1+Q21)</f>
        <v>288.68830000000003</v>
      </c>
      <c r="G21" s="3832"/>
      <c r="H21" s="2863">
        <v>1</v>
      </c>
      <c r="I21" s="2863">
        <v>1.7</v>
      </c>
      <c r="J21" s="2863">
        <v>1.92</v>
      </c>
      <c r="K21" s="2863">
        <v>1.64</v>
      </c>
      <c r="L21" s="2869">
        <v>2.0099999999999998</v>
      </c>
      <c r="M21" s="2850"/>
      <c r="N21" s="2864">
        <f t="shared" ref="N21:N26" si="167">I21/100</f>
        <v>1.7000000000000001E-2</v>
      </c>
      <c r="O21" s="2851">
        <f t="shared" ref="O21" si="168">J21/100</f>
        <v>1.9199999999999998E-2</v>
      </c>
      <c r="P21" s="2851">
        <f t="shared" ref="P21" si="169">K21/100</f>
        <v>1.6399999999999998E-2</v>
      </c>
      <c r="Q21" s="2851">
        <f t="shared" ref="Q21" si="170">L21/100</f>
        <v>2.0099999999999996E-2</v>
      </c>
      <c r="R21" s="2865"/>
      <c r="S21" s="2866">
        <f>B21/B22-1</f>
        <v>1.6999999999999904E-2</v>
      </c>
      <c r="T21" s="2867">
        <f>C21/C22-1</f>
        <v>1.9200000000000106E-2</v>
      </c>
      <c r="U21" s="2867">
        <f>E21/E22-1</f>
        <v>1.639999999999997E-2</v>
      </c>
      <c r="V21" s="2867">
        <f>F21/F22-1</f>
        <v>2.0100000000000007E-2</v>
      </c>
      <c r="W21" s="2850"/>
      <c r="X21" s="2850">
        <f>ROUND(SUMPRODUCT(PRODUCT(1+N21:N$37)),4)</f>
        <v>1.4947999999999999</v>
      </c>
      <c r="Y21" s="2850">
        <f>ROUND(SUMPRODUCT(PRODUCT(1+O21:O$37)),4)</f>
        <v>1.3230999999999999</v>
      </c>
      <c r="Z21" s="2850">
        <f t="shared" si="95"/>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1">AE21</f>
        <v>1.66E-2</v>
      </c>
      <c r="AG21" s="2851">
        <f>ROUND(AVERAGE(K21:K$37)/100,4)</f>
        <v>2.6499999999999999E-2</v>
      </c>
      <c r="AH21" s="2851">
        <f>ROUND(AVERAGE(L21:L$37)/100,4)</f>
        <v>1.43E-2</v>
      </c>
    </row>
    <row r="22" spans="1:34">
      <c r="A22" s="2861" t="s">
        <v>2900</v>
      </c>
      <c r="B22" s="2878">
        <v>439</v>
      </c>
      <c r="C22" s="2878">
        <v>327</v>
      </c>
      <c r="D22" s="2878">
        <f t="shared" si="164"/>
        <v>327</v>
      </c>
      <c r="E22" s="2878">
        <v>627</v>
      </c>
      <c r="F22" s="2879">
        <v>283</v>
      </c>
      <c r="G22" s="3831">
        <v>2017</v>
      </c>
      <c r="H22" s="2870">
        <v>4</v>
      </c>
      <c r="I22" s="2870">
        <v>1.71</v>
      </c>
      <c r="J22" s="2870">
        <v>1.78</v>
      </c>
      <c r="K22" s="2870">
        <v>1.71</v>
      </c>
      <c r="L22" s="2871">
        <v>1.43</v>
      </c>
      <c r="N22" s="2880">
        <f t="shared" si="167"/>
        <v>1.7100000000000001E-2</v>
      </c>
      <c r="O22" s="2881">
        <f t="shared" ref="O22" si="172">J22/100</f>
        <v>1.78E-2</v>
      </c>
      <c r="P22" s="2881">
        <f t="shared" ref="P22" si="173">K22/100</f>
        <v>1.7100000000000001E-2</v>
      </c>
      <c r="Q22" s="2881">
        <f t="shared" ref="Q22" si="174">L22/100</f>
        <v>1.43E-2</v>
      </c>
      <c r="R22" s="2865"/>
      <c r="S22" s="2874"/>
      <c r="T22" s="2875"/>
      <c r="U22" s="2875"/>
      <c r="V22" s="2875"/>
      <c r="X22" s="2850">
        <f>ROUND(SUMPRODUCT(PRODUCT(1+N22:N$37)),4)</f>
        <v>1.4698</v>
      </c>
      <c r="Y22" s="2850">
        <f>ROUND(SUMPRODUCT(PRODUCT(1+O22:O$37)),4)</f>
        <v>1.2982</v>
      </c>
      <c r="Z22" s="2850">
        <f t="shared" si="95"/>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8" customFormat="1" ht="14.45" customHeight="1">
      <c r="A23" s="2861" t="s">
        <v>2903</v>
      </c>
      <c r="B23" s="2862">
        <f t="shared" ref="B23:C25" si="175">B24*(1+N23)</f>
        <v>431.80730811680002</v>
      </c>
      <c r="C23" s="2862">
        <f t="shared" si="175"/>
        <v>320.57880516480003</v>
      </c>
      <c r="D23" s="2862">
        <f t="shared" si="164"/>
        <v>320.57880516480003</v>
      </c>
      <c r="E23" s="2862">
        <f t="shared" ref="E23:F25" si="176">E24*(1+P23)</f>
        <v>615.96110553196797</v>
      </c>
      <c r="F23" s="2862">
        <f t="shared" si="176"/>
        <v>279.46777300108801</v>
      </c>
      <c r="G23" s="3826"/>
      <c r="H23" s="2863">
        <v>3</v>
      </c>
      <c r="I23" s="2863">
        <v>2.98</v>
      </c>
      <c r="J23" s="2863">
        <v>2.11</v>
      </c>
      <c r="K23" s="2863">
        <v>3.24</v>
      </c>
      <c r="L23" s="2869">
        <v>1.72</v>
      </c>
      <c r="M23" s="2850"/>
      <c r="N23" s="2864">
        <f t="shared" si="167"/>
        <v>2.98E-2</v>
      </c>
      <c r="O23" s="2882">
        <f t="shared" ref="O23:O24" si="177">J23/100</f>
        <v>2.1099999999999997E-2</v>
      </c>
      <c r="P23" s="2882">
        <f t="shared" ref="P23:P24" si="178">K23/100</f>
        <v>3.2400000000000005E-2</v>
      </c>
      <c r="Q23" s="2882">
        <f t="shared" ref="Q23:Q24" si="179">L23/100</f>
        <v>1.72E-2</v>
      </c>
      <c r="R23" s="2865"/>
      <c r="S23" s="2864"/>
      <c r="T23" s="2851"/>
      <c r="U23" s="2851"/>
      <c r="V23" s="2851"/>
      <c r="W23" s="2850"/>
      <c r="X23" s="2850">
        <f>ROUND(SUMPRODUCT(PRODUCT(1+N23:N$37)),4)</f>
        <v>1.4451000000000001</v>
      </c>
      <c r="Y23" s="2850">
        <f>ROUND(SUMPRODUCT(PRODUCT(1+O23:O$37)),4)</f>
        <v>1.2755000000000001</v>
      </c>
      <c r="Z23" s="2850">
        <f t="shared" si="95"/>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1" t="s">
        <v>2532</v>
      </c>
      <c r="B24" s="2862">
        <f t="shared" si="175"/>
        <v>419.31181600000002</v>
      </c>
      <c r="C24" s="2862">
        <f t="shared" si="175"/>
        <v>313.95436800000004</v>
      </c>
      <c r="D24" s="2862">
        <f t="shared" si="164"/>
        <v>313.95436800000004</v>
      </c>
      <c r="E24" s="2862">
        <f t="shared" si="176"/>
        <v>596.63028431999999</v>
      </c>
      <c r="F24" s="2862">
        <f t="shared" si="176"/>
        <v>274.74220703999998</v>
      </c>
      <c r="G24" s="3826"/>
      <c r="H24" s="2876">
        <v>2</v>
      </c>
      <c r="I24" s="2876">
        <v>3.4</v>
      </c>
      <c r="J24" s="2876">
        <v>2</v>
      </c>
      <c r="K24" s="2876">
        <v>3.82</v>
      </c>
      <c r="L24" s="2877">
        <v>1.68</v>
      </c>
      <c r="N24" s="2864">
        <f t="shared" si="167"/>
        <v>3.4000000000000002E-2</v>
      </c>
      <c r="O24" s="2882">
        <f t="shared" si="177"/>
        <v>0.02</v>
      </c>
      <c r="P24" s="2882">
        <f t="shared" si="178"/>
        <v>3.8199999999999998E-2</v>
      </c>
      <c r="Q24" s="2882">
        <f t="shared" si="179"/>
        <v>1.6799999999999999E-2</v>
      </c>
      <c r="S24" s="2864"/>
      <c r="T24" s="2851"/>
      <c r="U24" s="2851"/>
      <c r="V24" s="2851"/>
      <c r="X24" s="2850">
        <f>ROUND(SUMPRODUCT(PRODUCT(1+N24:N$37)),4)</f>
        <v>1.4033</v>
      </c>
      <c r="Y24" s="2850">
        <f>ROUND(SUMPRODUCT(PRODUCT(1+O24:O$37)),4)</f>
        <v>1.2491000000000001</v>
      </c>
      <c r="Z24" s="2850">
        <f t="shared" si="95"/>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8" customFormat="1" ht="15" customHeight="1" thickBot="1">
      <c r="A25" s="2861" t="s">
        <v>2533</v>
      </c>
      <c r="B25" s="2862">
        <f t="shared" si="175"/>
        <v>405.524</v>
      </c>
      <c r="C25" s="2862">
        <f t="shared" si="175"/>
        <v>307.79840000000002</v>
      </c>
      <c r="D25" s="2862">
        <f t="shared" si="164"/>
        <v>307.79840000000002</v>
      </c>
      <c r="E25" s="2862">
        <f t="shared" si="176"/>
        <v>574.67759999999998</v>
      </c>
      <c r="F25" s="2862">
        <f t="shared" si="176"/>
        <v>270.20280000000002</v>
      </c>
      <c r="G25" s="3832"/>
      <c r="H25" s="2863">
        <v>1</v>
      </c>
      <c r="I25" s="2863">
        <v>3.45</v>
      </c>
      <c r="J25" s="2863">
        <v>1.92</v>
      </c>
      <c r="K25" s="2863">
        <v>3.92</v>
      </c>
      <c r="L25" s="2869">
        <v>1.58</v>
      </c>
      <c r="M25" s="2850"/>
      <c r="N25" s="2866">
        <f t="shared" si="167"/>
        <v>3.4500000000000003E-2</v>
      </c>
      <c r="O25" s="2867">
        <f t="shared" ref="O25" si="180">J25/100</f>
        <v>1.9199999999999998E-2</v>
      </c>
      <c r="P25" s="2867">
        <f t="shared" ref="P25" si="181">K25/100</f>
        <v>3.9199999999999999E-2</v>
      </c>
      <c r="Q25" s="2867">
        <f t="shared" ref="Q25" si="182">L25/100</f>
        <v>1.5800000000000002E-2</v>
      </c>
      <c r="R25" s="2865"/>
      <c r="S25" s="2866">
        <f>B25/B26-1</f>
        <v>3.4499999999999975E-2</v>
      </c>
      <c r="T25" s="2867">
        <f>C25/C26-1</f>
        <v>1.9200000000000106E-2</v>
      </c>
      <c r="U25" s="2867">
        <f>E25/E26-1</f>
        <v>3.9199999999999902E-2</v>
      </c>
      <c r="V25" s="2867">
        <f>F25/F26-1</f>
        <v>1.5800000000000036E-2</v>
      </c>
      <c r="W25" s="2850"/>
      <c r="X25" s="2850">
        <f>ROUND(SUMPRODUCT(PRODUCT(1+N25:N$37)),4)</f>
        <v>1.3571</v>
      </c>
      <c r="Y25" s="2850">
        <f>ROUND(SUMPRODUCT(PRODUCT(1+O25:O$37)),4)</f>
        <v>1.2245999999999999</v>
      </c>
      <c r="Z25" s="2850">
        <f t="shared" si="95"/>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1" t="s">
        <v>944</v>
      </c>
      <c r="B26" s="2883">
        <v>392</v>
      </c>
      <c r="C26" s="2883">
        <v>302</v>
      </c>
      <c r="D26" s="2883">
        <f t="shared" si="164"/>
        <v>302</v>
      </c>
      <c r="E26" s="2883">
        <v>553</v>
      </c>
      <c r="F26" s="2884">
        <v>266</v>
      </c>
      <c r="G26" s="3831">
        <v>2016</v>
      </c>
      <c r="H26" s="2870">
        <v>4</v>
      </c>
      <c r="I26" s="2870">
        <v>4.5599999999999996</v>
      </c>
      <c r="J26" s="2870">
        <v>2.15</v>
      </c>
      <c r="K26" s="2870">
        <v>5.32</v>
      </c>
      <c r="L26" s="2871">
        <v>1.57</v>
      </c>
      <c r="N26" s="2864">
        <f t="shared" si="167"/>
        <v>4.5599999999999995E-2</v>
      </c>
      <c r="O26" s="2851">
        <f t="shared" ref="O26:Q41" si="183">J26/100</f>
        <v>2.1499999999999998E-2</v>
      </c>
      <c r="P26" s="2851">
        <f t="shared" si="183"/>
        <v>5.3200000000000004E-2</v>
      </c>
      <c r="Q26" s="2851">
        <f t="shared" si="183"/>
        <v>1.5700000000000002E-2</v>
      </c>
      <c r="R26" s="2865"/>
      <c r="S26" s="2874"/>
      <c r="T26" s="2875"/>
      <c r="U26" s="2875"/>
      <c r="V26" s="2875"/>
      <c r="X26" s="2850">
        <f>ROUND(SUMPRODUCT(PRODUCT(1+N26:N$37)),4)</f>
        <v>1.3119000000000001</v>
      </c>
      <c r="Y26" s="2850">
        <f>ROUND(SUMPRODUCT(PRODUCT(1+O26:O$37)),4)</f>
        <v>1.2016</v>
      </c>
      <c r="Z26" s="2850">
        <f t="shared" si="95"/>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1" t="s">
        <v>943</v>
      </c>
      <c r="B27" s="2862">
        <f t="shared" ref="B27:C29" si="184">B26/(1+N26)</f>
        <v>374.90436113236416</v>
      </c>
      <c r="C27" s="2862">
        <f t="shared" si="184"/>
        <v>295.64366128242779</v>
      </c>
      <c r="D27" s="2862">
        <f t="shared" ref="D27:D86" si="185">C27</f>
        <v>295.64366128242779</v>
      </c>
      <c r="E27" s="2862">
        <f t="shared" ref="E27:F29" si="186">E26/(1+P26)</f>
        <v>525.06646410938095</v>
      </c>
      <c r="F27" s="2862">
        <f t="shared" si="186"/>
        <v>261.88835286009646</v>
      </c>
      <c r="G27" s="3826"/>
      <c r="H27" s="2863">
        <v>3</v>
      </c>
      <c r="I27" s="2863">
        <v>4.12</v>
      </c>
      <c r="J27" s="2863">
        <v>2</v>
      </c>
      <c r="K27" s="2863">
        <v>4.79</v>
      </c>
      <c r="L27" s="2869">
        <v>1.97</v>
      </c>
      <c r="N27" s="2864">
        <f t="shared" ref="N27:Q61" si="187">I27/100</f>
        <v>4.1200000000000001E-2</v>
      </c>
      <c r="O27" s="2851">
        <f t="shared" si="183"/>
        <v>0.02</v>
      </c>
      <c r="P27" s="2851">
        <f t="shared" si="183"/>
        <v>4.7899999999999998E-2</v>
      </c>
      <c r="Q27" s="2851">
        <f t="shared" si="183"/>
        <v>1.9699999999999999E-2</v>
      </c>
      <c r="R27" s="2865"/>
      <c r="S27" s="2864"/>
      <c r="T27" s="2851"/>
      <c r="U27" s="2851"/>
      <c r="V27" s="2851"/>
      <c r="X27" s="2850">
        <f>ROUND(SUMPRODUCT(PRODUCT(1+N27:N$37)),4)</f>
        <v>1.2546999999999999</v>
      </c>
      <c r="Y27" s="2850">
        <f>ROUND(SUMPRODUCT(PRODUCT(1+O27:O$37)),4)</f>
        <v>1.1762999999999999</v>
      </c>
      <c r="Z27" s="2850">
        <f t="shared" si="95"/>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1" t="s">
        <v>933</v>
      </c>
      <c r="B28" s="2862">
        <f t="shared" si="184"/>
        <v>360.06949782209392</v>
      </c>
      <c r="C28" s="2862">
        <f t="shared" si="184"/>
        <v>289.84672674747821</v>
      </c>
      <c r="D28" s="2862">
        <f t="shared" si="185"/>
        <v>289.84672674747821</v>
      </c>
      <c r="E28" s="2862">
        <f t="shared" si="186"/>
        <v>501.06543001181495</v>
      </c>
      <c r="F28" s="2862">
        <f t="shared" si="186"/>
        <v>256.82882500744967</v>
      </c>
      <c r="G28" s="3826"/>
      <c r="H28" s="2876">
        <v>2</v>
      </c>
      <c r="I28" s="2876">
        <v>3.85</v>
      </c>
      <c r="J28" s="2876">
        <v>1.95</v>
      </c>
      <c r="K28" s="2876">
        <v>4.4800000000000004</v>
      </c>
      <c r="L28" s="2877">
        <v>1.41</v>
      </c>
      <c r="N28" s="2864">
        <f t="shared" si="187"/>
        <v>3.85E-2</v>
      </c>
      <c r="O28" s="2851">
        <f t="shared" si="183"/>
        <v>1.95E-2</v>
      </c>
      <c r="P28" s="2851">
        <f t="shared" si="183"/>
        <v>4.4800000000000006E-2</v>
      </c>
      <c r="Q28" s="2851">
        <f t="shared" si="183"/>
        <v>1.41E-2</v>
      </c>
      <c r="R28" s="2865"/>
      <c r="S28" s="2864"/>
      <c r="T28" s="2851"/>
      <c r="U28" s="2851"/>
      <c r="V28" s="2851"/>
      <c r="X28" s="2850">
        <f>ROUND(SUMPRODUCT(PRODUCT(1+N28:N$37)),4)</f>
        <v>1.2050000000000001</v>
      </c>
      <c r="Y28" s="2850">
        <f>ROUND(SUMPRODUCT(PRODUCT(1+O28:O$37)),4)</f>
        <v>1.1532</v>
      </c>
      <c r="Z28" s="2850">
        <f t="shared" si="95"/>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1" t="s">
        <v>942</v>
      </c>
      <c r="B29" s="2862">
        <f t="shared" si="184"/>
        <v>346.720748986128</v>
      </c>
      <c r="C29" s="2862">
        <f t="shared" si="184"/>
        <v>284.30282172386285</v>
      </c>
      <c r="D29" s="2862">
        <f t="shared" si="185"/>
        <v>284.30282172386285</v>
      </c>
      <c r="E29" s="2862">
        <f t="shared" si="186"/>
        <v>479.58023546306947</v>
      </c>
      <c r="F29" s="2862">
        <f t="shared" si="186"/>
        <v>253.25788877571213</v>
      </c>
      <c r="G29" s="3827"/>
      <c r="H29" s="2863">
        <v>1</v>
      </c>
      <c r="I29" s="2863">
        <v>4.09</v>
      </c>
      <c r="J29" s="2863">
        <v>2.93</v>
      </c>
      <c r="K29" s="2863">
        <v>4.54</v>
      </c>
      <c r="L29" s="2869">
        <v>1.48</v>
      </c>
      <c r="N29" s="2864">
        <f t="shared" si="187"/>
        <v>4.0899999999999999E-2</v>
      </c>
      <c r="O29" s="2851">
        <f t="shared" si="183"/>
        <v>2.9300000000000003E-2</v>
      </c>
      <c r="P29" s="2851">
        <f t="shared" si="183"/>
        <v>4.5400000000000003E-2</v>
      </c>
      <c r="Q29" s="2851">
        <f t="shared" si="183"/>
        <v>1.4800000000000001E-2</v>
      </c>
      <c r="R29" s="2865"/>
      <c r="S29" s="2866">
        <f>B29/B30-1</f>
        <v>4.1203450408792808E-2</v>
      </c>
      <c r="T29" s="2867">
        <f>C29/C30-1</f>
        <v>2.6363977342465095E-2</v>
      </c>
      <c r="U29" s="2867">
        <f>E29/E30-1</f>
        <v>4.4837114298626357E-2</v>
      </c>
      <c r="V29" s="2867">
        <f>F29/F30-1</f>
        <v>1.7099954922538574E-2</v>
      </c>
      <c r="X29" s="2850">
        <f>ROUND(SUMPRODUCT(PRODUCT(1+N29:N$37)),4)</f>
        <v>1.1604000000000001</v>
      </c>
      <c r="Y29" s="2850">
        <f>ROUND(SUMPRODUCT(PRODUCT(1+O29:O$37)),4)</f>
        <v>1.1312</v>
      </c>
      <c r="Z29" s="2850">
        <f t="shared" si="95"/>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1" t="s">
        <v>941</v>
      </c>
      <c r="B30" s="2883">
        <v>333</v>
      </c>
      <c r="C30" s="2883">
        <v>277</v>
      </c>
      <c r="D30" s="2883">
        <f t="shared" si="185"/>
        <v>277</v>
      </c>
      <c r="E30" s="2883">
        <v>459</v>
      </c>
      <c r="F30" s="2884">
        <v>249</v>
      </c>
      <c r="G30" s="3825">
        <v>2015</v>
      </c>
      <c r="H30" s="2885">
        <v>4</v>
      </c>
      <c r="I30" s="2885">
        <v>1.63</v>
      </c>
      <c r="J30" s="2885">
        <v>1.1100000000000001</v>
      </c>
      <c r="K30" s="2885">
        <v>1.77</v>
      </c>
      <c r="L30" s="2886">
        <v>1.89</v>
      </c>
      <c r="N30" s="2880">
        <f t="shared" si="187"/>
        <v>1.6299999999999999E-2</v>
      </c>
      <c r="O30" s="2881">
        <f t="shared" si="183"/>
        <v>1.11E-2</v>
      </c>
      <c r="P30" s="2881">
        <f t="shared" si="183"/>
        <v>1.77E-2</v>
      </c>
      <c r="Q30" s="2881">
        <f t="shared" si="183"/>
        <v>1.89E-2</v>
      </c>
      <c r="R30" s="2865"/>
      <c r="X30" s="2850">
        <f>ROUND(SUMPRODUCT(PRODUCT(1+N30:N$37)),4)</f>
        <v>1.1148</v>
      </c>
      <c r="Y30" s="2850">
        <f>ROUND(SUMPRODUCT(PRODUCT(1+O30:O$37)),4)</f>
        <v>1.099</v>
      </c>
      <c r="Z30" s="2850">
        <f t="shared" si="95"/>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1" t="s">
        <v>940</v>
      </c>
      <c r="B31" s="2862">
        <f t="shared" ref="B31:C33" si="188">B30/(1+N30)</f>
        <v>327.65915576109415</v>
      </c>
      <c r="C31" s="2862">
        <f t="shared" si="188"/>
        <v>273.95905449510434</v>
      </c>
      <c r="D31" s="2862">
        <f t="shared" si="185"/>
        <v>273.95905449510434</v>
      </c>
      <c r="E31" s="2862">
        <f t="shared" ref="E31:F33" si="189">E30/(1+P30)</f>
        <v>451.01699911565294</v>
      </c>
      <c r="F31" s="2862">
        <f t="shared" si="189"/>
        <v>244.38119540681129</v>
      </c>
      <c r="G31" s="3826"/>
      <c r="H31" s="2888">
        <v>3</v>
      </c>
      <c r="I31" s="2888">
        <v>1.65</v>
      </c>
      <c r="J31" s="2888">
        <v>0.92</v>
      </c>
      <c r="K31" s="2888">
        <v>1.88</v>
      </c>
      <c r="L31" s="2889">
        <v>1.26</v>
      </c>
      <c r="N31" s="2864">
        <f t="shared" si="187"/>
        <v>1.6500000000000001E-2</v>
      </c>
      <c r="O31" s="2882">
        <f t="shared" si="183"/>
        <v>9.1999999999999998E-3</v>
      </c>
      <c r="P31" s="2882">
        <f t="shared" si="183"/>
        <v>1.8799999999999997E-2</v>
      </c>
      <c r="Q31" s="2882">
        <f t="shared" si="183"/>
        <v>1.26E-2</v>
      </c>
      <c r="R31" s="2865"/>
      <c r="S31" s="2864"/>
      <c r="T31" s="2851"/>
      <c r="U31" s="2851"/>
      <c r="V31" s="2851"/>
      <c r="X31" s="2850">
        <f>ROUND(SUMPRODUCT(PRODUCT(1+N31:N$37)),4)</f>
        <v>1.0969</v>
      </c>
      <c r="Y31" s="2850">
        <f>ROUND(SUMPRODUCT(PRODUCT(1+O31:O$37)),4)</f>
        <v>1.0869</v>
      </c>
      <c r="Z31" s="2850">
        <f t="shared" si="95"/>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1" t="s">
        <v>939</v>
      </c>
      <c r="B32" s="2862">
        <f t="shared" si="188"/>
        <v>322.34053690220776</v>
      </c>
      <c r="C32" s="2862">
        <f t="shared" si="188"/>
        <v>271.46160770422546</v>
      </c>
      <c r="D32" s="2862">
        <f t="shared" si="185"/>
        <v>271.46160770422546</v>
      </c>
      <c r="E32" s="2862">
        <f t="shared" si="189"/>
        <v>442.69434542172456</v>
      </c>
      <c r="F32" s="2862">
        <f t="shared" si="189"/>
        <v>241.34030753190925</v>
      </c>
      <c r="G32" s="3826"/>
      <c r="H32" s="2876">
        <v>2</v>
      </c>
      <c r="I32" s="2876">
        <v>0.77</v>
      </c>
      <c r="J32" s="2876">
        <v>0.69</v>
      </c>
      <c r="K32" s="2876">
        <v>0.8</v>
      </c>
      <c r="L32" s="2877">
        <v>0.88</v>
      </c>
      <c r="N32" s="2864">
        <f t="shared" si="187"/>
        <v>7.7000000000000002E-3</v>
      </c>
      <c r="O32" s="2882">
        <f t="shared" si="183"/>
        <v>6.8999999999999999E-3</v>
      </c>
      <c r="P32" s="2882">
        <f t="shared" si="183"/>
        <v>8.0000000000000002E-3</v>
      </c>
      <c r="Q32" s="2882">
        <f t="shared" si="183"/>
        <v>8.8000000000000005E-3</v>
      </c>
      <c r="R32" s="2865"/>
      <c r="S32" s="2864"/>
      <c r="T32" s="2851"/>
      <c r="U32" s="2851"/>
      <c r="V32" s="2851"/>
      <c r="X32" s="2850">
        <f>ROUND(SUMPRODUCT(PRODUCT(1+N32:N$37)),4)</f>
        <v>1.0790999999999999</v>
      </c>
      <c r="Y32" s="2850">
        <f>ROUND(SUMPRODUCT(PRODUCT(1+O32:O$37)),4)</f>
        <v>1.077</v>
      </c>
      <c r="Z32" s="2850">
        <f t="shared" si="95"/>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1" t="s">
        <v>938</v>
      </c>
      <c r="B33" s="2862">
        <f t="shared" si="188"/>
        <v>319.87748030386797</v>
      </c>
      <c r="C33" s="2862">
        <f t="shared" si="188"/>
        <v>269.60135833173649</v>
      </c>
      <c r="D33" s="2862">
        <f t="shared" si="185"/>
        <v>269.60135833173649</v>
      </c>
      <c r="E33" s="2862">
        <f t="shared" si="189"/>
        <v>439.18089823583784</v>
      </c>
      <c r="F33" s="2862">
        <f t="shared" si="189"/>
        <v>239.23503918706311</v>
      </c>
      <c r="G33" s="3827"/>
      <c r="H33" s="2863">
        <v>1</v>
      </c>
      <c r="I33" s="2863">
        <v>0.51</v>
      </c>
      <c r="J33" s="2863">
        <v>0.54</v>
      </c>
      <c r="K33" s="2863">
        <v>0.48</v>
      </c>
      <c r="L33" s="2869">
        <v>0.93</v>
      </c>
      <c r="N33" s="2866">
        <f t="shared" si="187"/>
        <v>5.1000000000000004E-3</v>
      </c>
      <c r="O33" s="2867">
        <f t="shared" si="183"/>
        <v>5.4000000000000003E-3</v>
      </c>
      <c r="P33" s="2867">
        <f t="shared" si="183"/>
        <v>4.7999999999999996E-3</v>
      </c>
      <c r="Q33" s="2867">
        <f t="shared" si="183"/>
        <v>9.300000000000001E-3</v>
      </c>
      <c r="R33" s="2865"/>
      <c r="S33" s="2866">
        <f>B33/B34-1</f>
        <v>5.9040261127922822E-3</v>
      </c>
      <c r="T33" s="2867">
        <f>C33/C34-1</f>
        <v>5.9752176557332781E-3</v>
      </c>
      <c r="U33" s="2867">
        <f>E33/E34-1</f>
        <v>4.9906138119859556E-3</v>
      </c>
      <c r="V33" s="2867">
        <f>F33/F34-1</f>
        <v>9.4305450930933787E-3</v>
      </c>
      <c r="X33" s="2850">
        <f>ROUND(SUMPRODUCT(PRODUCT(1+N33:N$37)),4)</f>
        <v>1.0708</v>
      </c>
      <c r="Y33" s="2850">
        <f>ROUND(SUMPRODUCT(PRODUCT(1+O33:O$37)),4)</f>
        <v>1.0696000000000001</v>
      </c>
      <c r="Z33" s="2850">
        <f t="shared" si="95"/>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1" t="s">
        <v>937</v>
      </c>
      <c r="B34" s="2890">
        <v>318</v>
      </c>
      <c r="C34" s="2890">
        <v>268</v>
      </c>
      <c r="D34" s="2890">
        <f t="shared" si="185"/>
        <v>268</v>
      </c>
      <c r="E34" s="2890">
        <v>437</v>
      </c>
      <c r="F34" s="2891">
        <v>237</v>
      </c>
      <c r="G34" s="3825">
        <v>2014</v>
      </c>
      <c r="H34" s="2885">
        <v>4</v>
      </c>
      <c r="I34" s="2885">
        <v>0.21</v>
      </c>
      <c r="J34" s="2885">
        <v>0.41</v>
      </c>
      <c r="K34" s="2885">
        <v>0.12</v>
      </c>
      <c r="L34" s="2886">
        <v>0.89</v>
      </c>
      <c r="N34" s="2864">
        <f t="shared" si="187"/>
        <v>2.0999999999999999E-3</v>
      </c>
      <c r="O34" s="2851">
        <f t="shared" si="183"/>
        <v>4.0999999999999995E-3</v>
      </c>
      <c r="P34" s="2851">
        <f t="shared" si="183"/>
        <v>1.1999999999999999E-3</v>
      </c>
      <c r="Q34" s="2851">
        <f t="shared" si="183"/>
        <v>8.8999999999999999E-3</v>
      </c>
      <c r="R34" s="2865"/>
      <c r="S34" s="2874"/>
      <c r="T34" s="2875"/>
      <c r="U34" s="2875"/>
      <c r="V34" s="2875"/>
      <c r="X34" s="2850">
        <f>ROUND(SUMPRODUCT(PRODUCT(1+N34:N$37)),4)</f>
        <v>1.0653999999999999</v>
      </c>
      <c r="Y34" s="2850">
        <f>ROUND(SUMPRODUCT(PRODUCT(1+O34:O$37)),4)</f>
        <v>1.0639000000000001</v>
      </c>
      <c r="Z34" s="2850">
        <f t="shared" si="95"/>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1" t="s">
        <v>936</v>
      </c>
      <c r="B35" s="2862">
        <f t="shared" ref="B35:C37" si="190">B34/(1+N34)</f>
        <v>317.33359944117353</v>
      </c>
      <c r="C35" s="2862">
        <f t="shared" si="190"/>
        <v>266.90568668459315</v>
      </c>
      <c r="D35" s="2862">
        <f t="shared" si="185"/>
        <v>266.90568668459315</v>
      </c>
      <c r="E35" s="2862">
        <f t="shared" ref="E35:F37" si="191">E34/(1+P34)</f>
        <v>436.47622852576905</v>
      </c>
      <c r="F35" s="2862">
        <f t="shared" si="191"/>
        <v>234.90930716622066</v>
      </c>
      <c r="G35" s="3826"/>
      <c r="H35" s="2892">
        <v>3</v>
      </c>
      <c r="I35" s="2892">
        <v>0.83</v>
      </c>
      <c r="J35" s="2892">
        <v>1.47</v>
      </c>
      <c r="K35" s="2892">
        <v>0.65</v>
      </c>
      <c r="L35" s="2893">
        <v>0.72</v>
      </c>
      <c r="N35" s="2864">
        <f t="shared" si="187"/>
        <v>8.3000000000000001E-3</v>
      </c>
      <c r="O35" s="2851">
        <f t="shared" si="183"/>
        <v>1.47E-2</v>
      </c>
      <c r="P35" s="2851">
        <f t="shared" si="183"/>
        <v>6.5000000000000006E-3</v>
      </c>
      <c r="Q35" s="2851">
        <f t="shared" si="183"/>
        <v>7.1999999999999998E-3</v>
      </c>
      <c r="R35" s="2865"/>
      <c r="S35" s="2864"/>
      <c r="T35" s="2851"/>
      <c r="U35" s="2851"/>
      <c r="V35" s="2851"/>
      <c r="X35" s="2850">
        <f>ROUND(SUMPRODUCT(PRODUCT(1+N35:N$37)),4)</f>
        <v>1.0631999999999999</v>
      </c>
      <c r="Y35" s="2850">
        <f>ROUND(SUMPRODUCT(PRODUCT(1+O35:O$37)),4)</f>
        <v>1.0595000000000001</v>
      </c>
      <c r="Z35" s="2850">
        <f t="shared" si="95"/>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1" t="s">
        <v>935</v>
      </c>
      <c r="B36" s="2862">
        <f t="shared" si="190"/>
        <v>314.72141172386546</v>
      </c>
      <c r="C36" s="2862">
        <f t="shared" si="190"/>
        <v>263.03901319069001</v>
      </c>
      <c r="D36" s="2862">
        <f t="shared" si="185"/>
        <v>263.03901319069001</v>
      </c>
      <c r="E36" s="2862">
        <f t="shared" si="191"/>
        <v>433.65745506782821</v>
      </c>
      <c r="F36" s="2862">
        <f t="shared" si="191"/>
        <v>233.23005080045735</v>
      </c>
      <c r="G36" s="3826"/>
      <c r="H36" s="2885">
        <v>2</v>
      </c>
      <c r="I36" s="2885">
        <v>2.4</v>
      </c>
      <c r="J36" s="2885">
        <v>2.0299999999999998</v>
      </c>
      <c r="K36" s="2885">
        <v>2.59</v>
      </c>
      <c r="L36" s="2886">
        <v>1.52</v>
      </c>
      <c r="N36" s="2864">
        <f t="shared" si="187"/>
        <v>2.4E-2</v>
      </c>
      <c r="O36" s="2851">
        <f t="shared" si="183"/>
        <v>2.0299999999999999E-2</v>
      </c>
      <c r="P36" s="2851">
        <f t="shared" si="183"/>
        <v>2.5899999999999999E-2</v>
      </c>
      <c r="Q36" s="2851">
        <f t="shared" si="183"/>
        <v>1.52E-2</v>
      </c>
      <c r="R36" s="2865"/>
      <c r="S36" s="2864"/>
      <c r="T36" s="2851"/>
      <c r="U36" s="2851"/>
      <c r="V36" s="2851"/>
      <c r="X36" s="2850">
        <f>ROUND(SUMPRODUCT(PRODUCT(1+N36:N$37)),4)</f>
        <v>1.0544</v>
      </c>
      <c r="Y36" s="2850">
        <f>ROUND(SUMPRODUCT(PRODUCT(1+O36:O$37)),4)</f>
        <v>1.0442</v>
      </c>
      <c r="Z36" s="2850">
        <f t="shared" si="95"/>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2">AE36</f>
        <v>2.1899999999999999E-2</v>
      </c>
      <c r="AG36" s="2851">
        <f>ROUND(AVERAGE(K36:K$37)/100,4)</f>
        <v>2.9399999999999999E-2</v>
      </c>
      <c r="AH36" s="2851">
        <f>ROUND(AVERAGE(L36:L$37)/100,4)</f>
        <v>1.44E-2</v>
      </c>
    </row>
    <row r="37" spans="1:34" s="2898" customFormat="1" ht="13.5" thickBot="1">
      <c r="A37" s="2894" t="s">
        <v>934</v>
      </c>
      <c r="B37" s="2895">
        <f t="shared" si="190"/>
        <v>307.34512863658733</v>
      </c>
      <c r="C37" s="2895">
        <f t="shared" si="190"/>
        <v>257.80556031626975</v>
      </c>
      <c r="D37" s="2895">
        <f t="shared" si="185"/>
        <v>257.80556031626975</v>
      </c>
      <c r="E37" s="2895">
        <f t="shared" si="191"/>
        <v>422.70928459677179</v>
      </c>
      <c r="F37" s="2895">
        <f t="shared" si="191"/>
        <v>229.73803270336617</v>
      </c>
      <c r="G37" s="3827"/>
      <c r="H37" s="2896">
        <v>1</v>
      </c>
      <c r="I37" s="2896">
        <v>2.97</v>
      </c>
      <c r="J37" s="2896">
        <v>2.34</v>
      </c>
      <c r="K37" s="2896">
        <v>3.28</v>
      </c>
      <c r="L37" s="2897">
        <v>1.36</v>
      </c>
      <c r="N37" s="2899">
        <f t="shared" si="187"/>
        <v>2.9700000000000001E-2</v>
      </c>
      <c r="O37" s="2900">
        <f t="shared" si="183"/>
        <v>2.3399999999999997E-2</v>
      </c>
      <c r="P37" s="2900">
        <f t="shared" si="183"/>
        <v>3.2799999999999996E-2</v>
      </c>
      <c r="Q37" s="2900">
        <f t="shared" si="183"/>
        <v>1.3600000000000001E-2</v>
      </c>
      <c r="R37" s="2901"/>
      <c r="S37" s="2902">
        <f>B37/B38-1</f>
        <v>2.7910129219355539E-2</v>
      </c>
      <c r="T37" s="2903">
        <f>C37/C38-1</f>
        <v>2.3037937762975247E-2</v>
      </c>
      <c r="U37" s="2903">
        <f>E37/E38-1</f>
        <v>3.3519033243940788E-2</v>
      </c>
      <c r="V37" s="2903">
        <f>F37/F38-1</f>
        <v>1.2061818076502862E-2</v>
      </c>
      <c r="W37" s="2904" t="s">
        <v>2591</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2534</v>
      </c>
      <c r="B38" s="2883">
        <v>299</v>
      </c>
      <c r="C38" s="2883">
        <v>252</v>
      </c>
      <c r="D38" s="2883">
        <f t="shared" si="185"/>
        <v>252</v>
      </c>
      <c r="E38" s="2883">
        <v>409</v>
      </c>
      <c r="F38" s="2884">
        <v>227</v>
      </c>
      <c r="G38" s="3828">
        <v>2013</v>
      </c>
      <c r="H38" s="2906">
        <v>4</v>
      </c>
      <c r="I38" s="2906">
        <v>1.83</v>
      </c>
      <c r="J38" s="2906">
        <v>1.68</v>
      </c>
      <c r="K38" s="2906">
        <v>1.97</v>
      </c>
      <c r="L38" s="2907">
        <v>0.87</v>
      </c>
      <c r="N38" s="2880">
        <f t="shared" si="187"/>
        <v>1.83E-2</v>
      </c>
      <c r="O38" s="2881">
        <f t="shared" si="183"/>
        <v>1.6799999999999999E-2</v>
      </c>
      <c r="P38" s="2881">
        <f t="shared" si="183"/>
        <v>1.9699999999999999E-2</v>
      </c>
      <c r="Q38" s="2881">
        <f t="shared" si="183"/>
        <v>8.6999999999999994E-3</v>
      </c>
      <c r="R38" s="2865"/>
      <c r="S38" s="2874"/>
      <c r="T38" s="2875"/>
      <c r="U38" s="2875"/>
      <c r="V38" s="2875"/>
      <c r="X38" s="2875"/>
      <c r="Y38" s="2875"/>
      <c r="Z38" s="2875"/>
    </row>
    <row r="39" spans="1:34">
      <c r="A39" s="2861" t="s">
        <v>2535</v>
      </c>
      <c r="B39" s="2862">
        <f t="shared" ref="B39:C41" si="193">B38/(1+N38)</f>
        <v>293.62663262299913</v>
      </c>
      <c r="C39" s="2862">
        <f t="shared" si="193"/>
        <v>247.83634933123525</v>
      </c>
      <c r="D39" s="2862">
        <f t="shared" si="185"/>
        <v>247.83634933123525</v>
      </c>
      <c r="E39" s="2862">
        <f t="shared" ref="E39:F41" si="194">E38/(1+P38)</f>
        <v>401.09836226341076</v>
      </c>
      <c r="F39" s="2862">
        <f t="shared" si="194"/>
        <v>225.04213343908003</v>
      </c>
      <c r="G39" s="3829"/>
      <c r="H39" s="2888">
        <v>3</v>
      </c>
      <c r="I39" s="2888">
        <v>1.86</v>
      </c>
      <c r="J39" s="2888">
        <v>1.72</v>
      </c>
      <c r="K39" s="2888">
        <v>1.98</v>
      </c>
      <c r="L39" s="2889">
        <v>0.88</v>
      </c>
      <c r="N39" s="2864">
        <f t="shared" si="187"/>
        <v>1.8600000000000002E-2</v>
      </c>
      <c r="O39" s="2882">
        <f t="shared" si="183"/>
        <v>1.72E-2</v>
      </c>
      <c r="P39" s="2882">
        <f t="shared" si="183"/>
        <v>1.9799999999999998E-2</v>
      </c>
      <c r="Q39" s="2882">
        <f t="shared" si="183"/>
        <v>8.8000000000000005E-3</v>
      </c>
      <c r="R39" s="2865"/>
      <c r="S39" s="2864"/>
      <c r="T39" s="2851"/>
      <c r="U39" s="2851"/>
      <c r="V39" s="2851"/>
    </row>
    <row r="40" spans="1:34">
      <c r="A40" s="2861" t="s">
        <v>2536</v>
      </c>
      <c r="B40" s="2862">
        <f t="shared" si="193"/>
        <v>288.2649053828776</v>
      </c>
      <c r="C40" s="2862">
        <f t="shared" si="193"/>
        <v>243.64564425013293</v>
      </c>
      <c r="D40" s="2862">
        <f t="shared" si="185"/>
        <v>243.64564425013293</v>
      </c>
      <c r="E40" s="2862">
        <f t="shared" si="194"/>
        <v>393.31080825986544</v>
      </c>
      <c r="F40" s="2862">
        <f t="shared" si="194"/>
        <v>223.07903790551154</v>
      </c>
      <c r="G40" s="3829"/>
      <c r="H40" s="2876">
        <v>2</v>
      </c>
      <c r="I40" s="2876">
        <v>2.04</v>
      </c>
      <c r="J40" s="2876">
        <v>2.33</v>
      </c>
      <c r="K40" s="2876">
        <v>2.0699999999999998</v>
      </c>
      <c r="L40" s="2877">
        <v>0.69</v>
      </c>
      <c r="N40" s="2864">
        <f t="shared" si="187"/>
        <v>2.0400000000000001E-2</v>
      </c>
      <c r="O40" s="2882">
        <f t="shared" si="183"/>
        <v>2.3300000000000001E-2</v>
      </c>
      <c r="P40" s="2882">
        <f t="shared" si="183"/>
        <v>2.07E-2</v>
      </c>
      <c r="Q40" s="2882">
        <f t="shared" si="183"/>
        <v>6.8999999999999999E-3</v>
      </c>
      <c r="R40" s="2865"/>
      <c r="S40" s="2864"/>
      <c r="T40" s="2851"/>
      <c r="U40" s="2851"/>
      <c r="V40" s="2851"/>
      <c r="X40" s="2908"/>
      <c r="Y40" s="2909"/>
    </row>
    <row r="41" spans="1:34">
      <c r="A41" s="2861" t="s">
        <v>2537</v>
      </c>
      <c r="B41" s="2862">
        <f t="shared" si="193"/>
        <v>282.50186729015837</v>
      </c>
      <c r="C41" s="2862">
        <f t="shared" si="193"/>
        <v>238.09796174155468</v>
      </c>
      <c r="D41" s="2862">
        <f t="shared" si="185"/>
        <v>238.09796174155468</v>
      </c>
      <c r="E41" s="2862">
        <f t="shared" si="194"/>
        <v>385.33438646014054</v>
      </c>
      <c r="F41" s="2862">
        <f t="shared" si="194"/>
        <v>221.55034055567739</v>
      </c>
      <c r="G41" s="3830"/>
      <c r="H41" s="2863">
        <v>1</v>
      </c>
      <c r="I41" s="2863">
        <v>1.67</v>
      </c>
      <c r="J41" s="2863">
        <v>1.31</v>
      </c>
      <c r="K41" s="2863">
        <v>1.85</v>
      </c>
      <c r="L41" s="2869">
        <v>0.96</v>
      </c>
      <c r="N41" s="2866">
        <f t="shared" si="187"/>
        <v>1.67E-2</v>
      </c>
      <c r="O41" s="2867">
        <f t="shared" si="183"/>
        <v>1.3100000000000001E-2</v>
      </c>
      <c r="P41" s="2867">
        <f t="shared" si="183"/>
        <v>1.8500000000000003E-2</v>
      </c>
      <c r="Q41" s="2867">
        <f t="shared" si="183"/>
        <v>9.5999999999999992E-3</v>
      </c>
      <c r="R41" s="2865"/>
      <c r="S41" s="2866">
        <f>B41/B42-1</f>
        <v>1.6193767230785472E-2</v>
      </c>
      <c r="T41" s="2867">
        <f>C41/C42-1</f>
        <v>1.7512657015190891E-2</v>
      </c>
      <c r="U41" s="2867">
        <f>E41/E42-1</f>
        <v>1.6713420739157048E-2</v>
      </c>
      <c r="V41" s="2867">
        <f>F41/F42-1</f>
        <v>7.0470025258062563E-3</v>
      </c>
      <c r="X41" s="2910"/>
      <c r="Y41" s="2851"/>
      <c r="Z41" s="2851"/>
    </row>
    <row r="42" spans="1:34" ht="13.5" thickBot="1">
      <c r="A42" s="2861" t="s">
        <v>2538</v>
      </c>
      <c r="B42" s="2911">
        <v>278</v>
      </c>
      <c r="C42" s="2911">
        <v>234</v>
      </c>
      <c r="D42" s="2911">
        <f t="shared" si="185"/>
        <v>234</v>
      </c>
      <c r="E42" s="2911">
        <v>379</v>
      </c>
      <c r="F42" s="2912">
        <v>220</v>
      </c>
      <c r="G42" s="3825">
        <v>2012</v>
      </c>
      <c r="H42" s="2885">
        <v>4</v>
      </c>
      <c r="I42" s="2885">
        <v>0.91</v>
      </c>
      <c r="J42" s="2885">
        <v>0.68</v>
      </c>
      <c r="K42" s="2885">
        <v>0.98</v>
      </c>
      <c r="L42" s="2886">
        <v>0.9</v>
      </c>
      <c r="N42" s="2864">
        <f t="shared" si="187"/>
        <v>9.1000000000000004E-3</v>
      </c>
      <c r="O42" s="2851">
        <f t="shared" si="187"/>
        <v>6.8000000000000005E-3</v>
      </c>
      <c r="P42" s="2851">
        <f t="shared" si="187"/>
        <v>9.7999999999999997E-3</v>
      </c>
      <c r="Q42" s="2851">
        <f t="shared" si="187"/>
        <v>9.0000000000000011E-3</v>
      </c>
      <c r="R42" s="2865"/>
      <c r="S42" s="2874"/>
      <c r="T42" s="2875"/>
      <c r="U42" s="2875"/>
      <c r="V42" s="2875"/>
      <c r="X42" s="2875"/>
      <c r="Y42" s="2875"/>
      <c r="Z42" s="2875"/>
    </row>
    <row r="43" spans="1:34">
      <c r="A43" s="2861" t="s">
        <v>2539</v>
      </c>
      <c r="B43" s="2862">
        <f>B42/(1+N42)</f>
        <v>275.49301357645425</v>
      </c>
      <c r="C43" s="2862">
        <f>C42/(1+O42)</f>
        <v>232.41954707985698</v>
      </c>
      <c r="D43" s="2862">
        <f t="shared" si="185"/>
        <v>232.41954707985698</v>
      </c>
      <c r="E43" s="2862">
        <f t="shared" ref="E43:F45" si="195">E42/(1+P42)</f>
        <v>375.32184591008121</v>
      </c>
      <c r="F43" s="2862">
        <f t="shared" si="195"/>
        <v>218.03766105054513</v>
      </c>
      <c r="G43" s="3826"/>
      <c r="H43" s="2888">
        <v>3</v>
      </c>
      <c r="I43" s="2888">
        <v>0.09</v>
      </c>
      <c r="J43" s="2888">
        <v>0.28999999999999998</v>
      </c>
      <c r="K43" s="2888">
        <v>-0.01</v>
      </c>
      <c r="L43" s="2889">
        <v>0.57999999999999996</v>
      </c>
      <c r="N43" s="2864">
        <f t="shared" si="187"/>
        <v>8.9999999999999998E-4</v>
      </c>
      <c r="O43" s="2851">
        <f t="shared" si="187"/>
        <v>2.8999999999999998E-3</v>
      </c>
      <c r="P43" s="2851">
        <f t="shared" si="187"/>
        <v>-1E-4</v>
      </c>
      <c r="Q43" s="2851">
        <f t="shared" si="187"/>
        <v>5.7999999999999996E-3</v>
      </c>
      <c r="R43" s="2865"/>
      <c r="S43" s="2864"/>
      <c r="T43" s="2851"/>
      <c r="U43" s="2851"/>
      <c r="V43" s="2851"/>
    </row>
    <row r="44" spans="1:34">
      <c r="A44" s="2861" t="s">
        <v>2540</v>
      </c>
      <c r="B44" s="2862">
        <f>B43/(1+N43)</f>
        <v>275.24529281292263</v>
      </c>
      <c r="C44" s="2862">
        <f>C43/(1+O43)</f>
        <v>231.74747938962707</v>
      </c>
      <c r="D44" s="2862">
        <f t="shared" si="185"/>
        <v>231.74747938962707</v>
      </c>
      <c r="E44" s="2862">
        <f t="shared" si="195"/>
        <v>375.35938184826603</v>
      </c>
      <c r="F44" s="2862">
        <f t="shared" si="195"/>
        <v>216.78033510692495</v>
      </c>
      <c r="G44" s="3826"/>
      <c r="H44" s="2876">
        <v>2</v>
      </c>
      <c r="I44" s="2876">
        <v>0.02</v>
      </c>
      <c r="J44" s="2876">
        <v>0.12</v>
      </c>
      <c r="K44" s="2876">
        <v>-0.08</v>
      </c>
      <c r="L44" s="2877">
        <v>1.24</v>
      </c>
      <c r="N44" s="2864">
        <f t="shared" si="187"/>
        <v>2.0000000000000001E-4</v>
      </c>
      <c r="O44" s="2851">
        <f t="shared" si="187"/>
        <v>1.1999999999999999E-3</v>
      </c>
      <c r="P44" s="2851">
        <f t="shared" si="187"/>
        <v>-8.0000000000000004E-4</v>
      </c>
      <c r="Q44" s="2851">
        <f t="shared" si="187"/>
        <v>1.24E-2</v>
      </c>
      <c r="R44" s="2865"/>
      <c r="S44" s="2864"/>
      <c r="T44" s="2851"/>
      <c r="U44" s="2851"/>
      <c r="V44" s="2851"/>
    </row>
    <row r="45" spans="1:34" ht="13.5" thickBot="1">
      <c r="A45" s="2861" t="s">
        <v>2541</v>
      </c>
      <c r="B45" s="2862">
        <f>B44/(1+N44)</f>
        <v>275.19025476197027</v>
      </c>
      <c r="C45" s="2913">
        <v>232</v>
      </c>
      <c r="D45" s="2913">
        <f t="shared" si="185"/>
        <v>232</v>
      </c>
      <c r="E45" s="2862">
        <f t="shared" si="195"/>
        <v>375.65990977608692</v>
      </c>
      <c r="F45" s="2862">
        <f t="shared" si="195"/>
        <v>214.12518283971252</v>
      </c>
      <c r="G45" s="3827"/>
      <c r="H45" s="2863">
        <v>1</v>
      </c>
      <c r="I45" s="2863">
        <v>0.02</v>
      </c>
      <c r="J45" s="2863">
        <v>0.13</v>
      </c>
      <c r="K45" s="2863">
        <v>-0.04</v>
      </c>
      <c r="L45" s="2869">
        <v>0.46</v>
      </c>
      <c r="N45" s="2864">
        <f t="shared" si="187"/>
        <v>2.0000000000000001E-4</v>
      </c>
      <c r="O45" s="2851">
        <f t="shared" si="187"/>
        <v>1.2999999999999999E-3</v>
      </c>
      <c r="P45" s="2851">
        <f t="shared" si="187"/>
        <v>-4.0000000000000002E-4</v>
      </c>
      <c r="Q45" s="2851">
        <f t="shared" si="187"/>
        <v>4.5999999999999999E-3</v>
      </c>
      <c r="R45" s="2865"/>
      <c r="S45" s="2866">
        <f>B45/B46-1</f>
        <v>6.9183549807361189E-4</v>
      </c>
      <c r="T45" s="2867">
        <f>C45/C46-1</f>
        <v>0</v>
      </c>
      <c r="U45" s="2867">
        <f>E45/E46-1</f>
        <v>-9.0449527636460303E-4</v>
      </c>
      <c r="V45" s="2867">
        <f>F45/F46-1</f>
        <v>5.2825485432512753E-3</v>
      </c>
      <c r="X45" s="2851"/>
      <c r="Y45" s="2851"/>
      <c r="Z45" s="2851"/>
    </row>
    <row r="46" spans="1:34" ht="13.5" thickBot="1">
      <c r="A46" s="2861" t="s">
        <v>2542</v>
      </c>
      <c r="B46" s="2883">
        <v>275</v>
      </c>
      <c r="C46" s="2883">
        <v>232</v>
      </c>
      <c r="D46" s="2883">
        <f t="shared" si="185"/>
        <v>232</v>
      </c>
      <c r="E46" s="2883">
        <v>376</v>
      </c>
      <c r="F46" s="2884">
        <v>213</v>
      </c>
      <c r="G46" s="3825">
        <v>2011</v>
      </c>
      <c r="H46" s="2885">
        <v>4</v>
      </c>
      <c r="I46" s="2885">
        <v>-0.2</v>
      </c>
      <c r="J46" s="2885">
        <v>0.04</v>
      </c>
      <c r="K46" s="2885">
        <v>-0.34</v>
      </c>
      <c r="L46" s="2886">
        <v>0.46</v>
      </c>
      <c r="N46" s="2880">
        <f t="shared" si="187"/>
        <v>-2E-3</v>
      </c>
      <c r="O46" s="2881">
        <f t="shared" si="187"/>
        <v>4.0000000000000002E-4</v>
      </c>
      <c r="P46" s="2881">
        <f t="shared" si="187"/>
        <v>-3.4000000000000002E-3</v>
      </c>
      <c r="Q46" s="2881">
        <f t="shared" si="187"/>
        <v>4.5999999999999999E-3</v>
      </c>
      <c r="R46" s="2865"/>
      <c r="S46" s="2874"/>
      <c r="T46" s="2875"/>
      <c r="U46" s="2875"/>
      <c r="V46" s="2875"/>
      <c r="X46" s="2875"/>
      <c r="Y46" s="2875"/>
      <c r="Z46" s="2875"/>
    </row>
    <row r="47" spans="1:34">
      <c r="A47" s="2861" t="s">
        <v>2543</v>
      </c>
      <c r="B47" s="2862">
        <f t="shared" ref="B47:C49" si="196">B46/(1+N46)</f>
        <v>275.55110220440883</v>
      </c>
      <c r="C47" s="2862">
        <f t="shared" si="196"/>
        <v>231.90723710515795</v>
      </c>
      <c r="D47" s="2862">
        <f t="shared" si="185"/>
        <v>231.90723710515795</v>
      </c>
      <c r="E47" s="2862">
        <f t="shared" ref="E47:F49" si="197">E46/(1+P46)</f>
        <v>377.28276138872161</v>
      </c>
      <c r="F47" s="2862">
        <f t="shared" si="197"/>
        <v>212.02468644236512</v>
      </c>
      <c r="G47" s="3826">
        <v>2011</v>
      </c>
      <c r="H47" s="2888">
        <v>3</v>
      </c>
      <c r="I47" s="2888">
        <v>0.13</v>
      </c>
      <c r="J47" s="2888">
        <v>0.75</v>
      </c>
      <c r="K47" s="2888">
        <v>-0.08</v>
      </c>
      <c r="L47" s="2889">
        <v>0.53</v>
      </c>
      <c r="N47" s="2864">
        <f t="shared" si="187"/>
        <v>1.2999999999999999E-3</v>
      </c>
      <c r="O47" s="2882">
        <f t="shared" si="187"/>
        <v>7.4999999999999997E-3</v>
      </c>
      <c r="P47" s="2882">
        <f t="shared" si="187"/>
        <v>-8.0000000000000004E-4</v>
      </c>
      <c r="Q47" s="2882">
        <f t="shared" si="187"/>
        <v>5.3E-3</v>
      </c>
      <c r="R47" s="2865"/>
      <c r="S47" s="2864"/>
      <c r="T47" s="2851"/>
      <c r="U47" s="2851"/>
      <c r="V47" s="2851"/>
    </row>
    <row r="48" spans="1:34">
      <c r="A48" s="2861" t="s">
        <v>2544</v>
      </c>
      <c r="B48" s="2862">
        <f t="shared" si="196"/>
        <v>275.19335084830601</v>
      </c>
      <c r="C48" s="2862">
        <f t="shared" si="196"/>
        <v>230.18088050139744</v>
      </c>
      <c r="D48" s="2862">
        <f t="shared" si="185"/>
        <v>230.18088050139744</v>
      </c>
      <c r="E48" s="2862">
        <f t="shared" si="197"/>
        <v>377.58482925212331</v>
      </c>
      <c r="F48" s="2862">
        <f t="shared" si="197"/>
        <v>210.90687997847917</v>
      </c>
      <c r="G48" s="3826">
        <v>2011</v>
      </c>
      <c r="H48" s="2876">
        <v>2</v>
      </c>
      <c r="I48" s="2876">
        <v>-0.4</v>
      </c>
      <c r="J48" s="2876">
        <v>0.17</v>
      </c>
      <c r="K48" s="2876">
        <v>-0.57999999999999996</v>
      </c>
      <c r="L48" s="2877">
        <v>-0.2</v>
      </c>
      <c r="N48" s="2864">
        <f t="shared" si="187"/>
        <v>-4.0000000000000001E-3</v>
      </c>
      <c r="O48" s="2882">
        <f t="shared" si="187"/>
        <v>1.7000000000000001E-3</v>
      </c>
      <c r="P48" s="2882">
        <f t="shared" si="187"/>
        <v>-5.7999999999999996E-3</v>
      </c>
      <c r="Q48" s="2882">
        <f t="shared" si="187"/>
        <v>-2E-3</v>
      </c>
      <c r="R48" s="2865"/>
      <c r="S48" s="2864"/>
      <c r="T48" s="2851"/>
      <c r="U48" s="2851"/>
      <c r="V48" s="2851"/>
    </row>
    <row r="49" spans="1:26" ht="13.5" thickBot="1">
      <c r="A49" s="2861" t="s">
        <v>2545</v>
      </c>
      <c r="B49" s="2862">
        <f t="shared" si="196"/>
        <v>276.29854502841971</v>
      </c>
      <c r="C49" s="2862">
        <f t="shared" si="196"/>
        <v>229.79023709833027</v>
      </c>
      <c r="D49" s="2862">
        <f t="shared" si="185"/>
        <v>229.79023709833027</v>
      </c>
      <c r="E49" s="2862">
        <f t="shared" si="197"/>
        <v>379.78759731655936</v>
      </c>
      <c r="F49" s="2862">
        <f t="shared" si="197"/>
        <v>211.32953905659235</v>
      </c>
      <c r="G49" s="3827">
        <v>2011</v>
      </c>
      <c r="H49" s="2863">
        <v>1</v>
      </c>
      <c r="I49" s="2863">
        <v>2.65</v>
      </c>
      <c r="J49" s="2863">
        <v>3.76</v>
      </c>
      <c r="K49" s="2863">
        <v>1.89</v>
      </c>
      <c r="L49" s="2869">
        <v>7.95</v>
      </c>
      <c r="N49" s="2866">
        <f t="shared" si="187"/>
        <v>2.6499999999999999E-2</v>
      </c>
      <c r="O49" s="2867">
        <f t="shared" si="187"/>
        <v>3.7599999999999995E-2</v>
      </c>
      <c r="P49" s="2867">
        <f t="shared" si="187"/>
        <v>1.89E-2</v>
      </c>
      <c r="Q49" s="2867">
        <f t="shared" si="187"/>
        <v>7.9500000000000001E-2</v>
      </c>
      <c r="R49" s="2865"/>
      <c r="S49" s="2866">
        <f>B49/B50-1</f>
        <v>2.713213765211786E-2</v>
      </c>
      <c r="T49" s="2867">
        <f>C49/C50-1</f>
        <v>3.9774828499231862E-2</v>
      </c>
      <c r="U49" s="2867">
        <f>E49/E50-1</f>
        <v>1.8197311840641772E-2</v>
      </c>
      <c r="V49" s="2867">
        <f>F49/F50-1</f>
        <v>7.8211933962205826E-2</v>
      </c>
      <c r="X49" s="2851"/>
      <c r="Y49" s="2851"/>
      <c r="Z49" s="2851"/>
    </row>
    <row r="50" spans="1:26" ht="13.5" thickBot="1">
      <c r="A50" s="2861" t="s">
        <v>2546</v>
      </c>
      <c r="B50" s="2883">
        <v>269</v>
      </c>
      <c r="C50" s="2883">
        <v>221</v>
      </c>
      <c r="D50" s="2883">
        <f t="shared" si="185"/>
        <v>221</v>
      </c>
      <c r="E50" s="2883">
        <v>373</v>
      </c>
      <c r="F50" s="2884">
        <v>196</v>
      </c>
      <c r="G50" s="3825">
        <v>2010</v>
      </c>
      <c r="H50" s="2885">
        <v>4</v>
      </c>
      <c r="I50" s="2885">
        <v>5.72</v>
      </c>
      <c r="J50" s="2885">
        <v>6.57</v>
      </c>
      <c r="K50" s="2885">
        <v>5.72</v>
      </c>
      <c r="L50" s="2886">
        <v>2.72</v>
      </c>
      <c r="N50" s="2864">
        <f t="shared" si="187"/>
        <v>5.7200000000000001E-2</v>
      </c>
      <c r="O50" s="2851">
        <f t="shared" si="187"/>
        <v>6.5700000000000008E-2</v>
      </c>
      <c r="P50" s="2851">
        <f t="shared" si="187"/>
        <v>5.7200000000000001E-2</v>
      </c>
      <c r="Q50" s="2851">
        <f t="shared" si="187"/>
        <v>2.7200000000000002E-2</v>
      </c>
      <c r="R50" s="2865"/>
      <c r="S50" s="2874"/>
      <c r="T50" s="2875"/>
      <c r="U50" s="2875"/>
      <c r="V50" s="2875"/>
      <c r="X50" s="2875"/>
      <c r="Y50" s="2875"/>
      <c r="Z50" s="2875"/>
    </row>
    <row r="51" spans="1:26">
      <c r="A51" s="2861" t="s">
        <v>2547</v>
      </c>
      <c r="B51" s="2862">
        <f t="shared" ref="B51:C53" si="198">B50/(1+N50)</f>
        <v>254.44570563753314</v>
      </c>
      <c r="C51" s="2862">
        <f t="shared" si="198"/>
        <v>207.37543398705074</v>
      </c>
      <c r="D51" s="2862">
        <f t="shared" si="185"/>
        <v>207.37543398705074</v>
      </c>
      <c r="E51" s="2862">
        <f t="shared" ref="E51:F53" si="199">E50/(1+P50)</f>
        <v>352.81876655315932</v>
      </c>
      <c r="F51" s="2862">
        <f t="shared" si="199"/>
        <v>190.809968847352</v>
      </c>
      <c r="G51" s="3826">
        <v>2010</v>
      </c>
      <c r="H51" s="2888">
        <v>3</v>
      </c>
      <c r="I51" s="2888">
        <v>4.7300000000000004</v>
      </c>
      <c r="J51" s="2888">
        <v>3.9</v>
      </c>
      <c r="K51" s="2888">
        <v>5.03</v>
      </c>
      <c r="L51" s="2889">
        <v>4.21</v>
      </c>
      <c r="N51" s="2864">
        <f t="shared" si="187"/>
        <v>4.7300000000000002E-2</v>
      </c>
      <c r="O51" s="2851">
        <f t="shared" si="187"/>
        <v>3.9E-2</v>
      </c>
      <c r="P51" s="2851">
        <f t="shared" si="187"/>
        <v>5.0300000000000004E-2</v>
      </c>
      <c r="Q51" s="2851">
        <f t="shared" si="187"/>
        <v>4.2099999999999999E-2</v>
      </c>
      <c r="R51" s="2865"/>
      <c r="S51" s="2864"/>
      <c r="T51" s="2851"/>
      <c r="U51" s="2851"/>
      <c r="V51" s="2851"/>
    </row>
    <row r="52" spans="1:26">
      <c r="A52" s="2861" t="s">
        <v>2548</v>
      </c>
      <c r="B52" s="2862">
        <f t="shared" si="198"/>
        <v>242.95398227588385</v>
      </c>
      <c r="C52" s="2862">
        <f t="shared" si="198"/>
        <v>199.59137053614126</v>
      </c>
      <c r="D52" s="2862">
        <f t="shared" si="185"/>
        <v>199.59137053614126</v>
      </c>
      <c r="E52" s="2862">
        <f t="shared" si="199"/>
        <v>335.92189522342125</v>
      </c>
      <c r="F52" s="2862">
        <f t="shared" si="199"/>
        <v>183.10139991109489</v>
      </c>
      <c r="G52" s="3826">
        <v>2010</v>
      </c>
      <c r="H52" s="2876">
        <v>2</v>
      </c>
      <c r="I52" s="2876">
        <v>4.6900000000000004</v>
      </c>
      <c r="J52" s="2876">
        <v>3.55</v>
      </c>
      <c r="K52" s="2876">
        <v>5.07</v>
      </c>
      <c r="L52" s="2877">
        <v>4.2300000000000004</v>
      </c>
      <c r="N52" s="2864">
        <f t="shared" si="187"/>
        <v>4.6900000000000004E-2</v>
      </c>
      <c r="O52" s="2851">
        <f t="shared" si="187"/>
        <v>3.5499999999999997E-2</v>
      </c>
      <c r="P52" s="2851">
        <f t="shared" si="187"/>
        <v>5.0700000000000002E-2</v>
      </c>
      <c r="Q52" s="2851">
        <f t="shared" si="187"/>
        <v>4.2300000000000004E-2</v>
      </c>
      <c r="R52" s="2865"/>
      <c r="S52" s="2864"/>
      <c r="T52" s="2851"/>
      <c r="U52" s="2851"/>
      <c r="V52" s="2851"/>
    </row>
    <row r="53" spans="1:26" ht="13.5" thickBot="1">
      <c r="A53" s="2861" t="s">
        <v>2549</v>
      </c>
      <c r="B53" s="2862">
        <f t="shared" si="198"/>
        <v>232.06990378821649</v>
      </c>
      <c r="C53" s="2862">
        <f t="shared" si="198"/>
        <v>192.74878854286936</v>
      </c>
      <c r="D53" s="2862">
        <f t="shared" si="185"/>
        <v>192.74878854286936</v>
      </c>
      <c r="E53" s="2862">
        <f t="shared" si="199"/>
        <v>319.71247284992984</v>
      </c>
      <c r="F53" s="2862">
        <f t="shared" si="199"/>
        <v>175.67053622862409</v>
      </c>
      <c r="G53" s="3827">
        <v>2010</v>
      </c>
      <c r="H53" s="2863">
        <v>1</v>
      </c>
      <c r="I53" s="2863">
        <v>5.4</v>
      </c>
      <c r="J53" s="2863">
        <v>3.2</v>
      </c>
      <c r="K53" s="2863">
        <v>6.16</v>
      </c>
      <c r="L53" s="2869">
        <v>4.51</v>
      </c>
      <c r="N53" s="2864">
        <f t="shared" si="187"/>
        <v>5.4000000000000006E-2</v>
      </c>
      <c r="O53" s="2851">
        <f t="shared" si="187"/>
        <v>3.2000000000000001E-2</v>
      </c>
      <c r="P53" s="2851">
        <f t="shared" si="187"/>
        <v>6.1600000000000002E-2</v>
      </c>
      <c r="Q53" s="2851">
        <f t="shared" si="187"/>
        <v>4.5100000000000001E-2</v>
      </c>
      <c r="R53" s="2865"/>
      <c r="S53" s="2866">
        <f>B53/B54-1</f>
        <v>5.4863199037347599E-2</v>
      </c>
      <c r="T53" s="2867">
        <f>C53/C54-1</f>
        <v>3.0742184721226584E-2</v>
      </c>
      <c r="U53" s="2867">
        <f>E53/E54-1</f>
        <v>6.2167683886810154E-2</v>
      </c>
      <c r="V53" s="2867">
        <f>F53/F54-1</f>
        <v>4.5657953741810031E-2</v>
      </c>
      <c r="X53" s="2851"/>
      <c r="Y53" s="2851"/>
      <c r="Z53" s="2851"/>
    </row>
    <row r="54" spans="1:26" ht="13.5" thickBot="1">
      <c r="A54" s="2861" t="s">
        <v>2550</v>
      </c>
      <c r="B54" s="2883">
        <v>220</v>
      </c>
      <c r="C54" s="2883">
        <v>187</v>
      </c>
      <c r="D54" s="2883">
        <f t="shared" si="185"/>
        <v>187</v>
      </c>
      <c r="E54" s="2883">
        <v>301</v>
      </c>
      <c r="F54" s="2884">
        <v>168</v>
      </c>
      <c r="G54" s="3825">
        <v>2009</v>
      </c>
      <c r="H54" s="2885">
        <v>4</v>
      </c>
      <c r="I54" s="2885">
        <v>2.2999999999999998</v>
      </c>
      <c r="J54" s="2885">
        <v>1.04</v>
      </c>
      <c r="K54" s="2885">
        <v>2.84</v>
      </c>
      <c r="L54" s="2886">
        <v>0.67</v>
      </c>
      <c r="N54" s="2880">
        <f t="shared" si="187"/>
        <v>2.3E-2</v>
      </c>
      <c r="O54" s="2881">
        <f t="shared" si="187"/>
        <v>1.04E-2</v>
      </c>
      <c r="P54" s="2881">
        <f t="shared" si="187"/>
        <v>2.8399999999999998E-2</v>
      </c>
      <c r="Q54" s="2881">
        <f t="shared" si="187"/>
        <v>6.7000000000000002E-3</v>
      </c>
      <c r="R54" s="2865"/>
      <c r="S54" s="2874"/>
      <c r="T54" s="2875"/>
      <c r="U54" s="2875"/>
      <c r="V54" s="2875"/>
      <c r="X54" s="2875"/>
      <c r="Y54" s="2875"/>
      <c r="Z54" s="2875"/>
    </row>
    <row r="55" spans="1:26">
      <c r="A55" s="2861" t="s">
        <v>2551</v>
      </c>
      <c r="B55" s="2862">
        <f t="shared" ref="B55:C57" si="200">B54/(1+N54)</f>
        <v>215.05376344086022</v>
      </c>
      <c r="C55" s="2862">
        <f t="shared" si="200"/>
        <v>185.0752177355503</v>
      </c>
      <c r="D55" s="2862">
        <f t="shared" si="185"/>
        <v>185.0752177355503</v>
      </c>
      <c r="E55" s="2862">
        <f t="shared" ref="E55:F57" si="201">E54/(1+P54)</f>
        <v>292.68767016725008</v>
      </c>
      <c r="F55" s="2862">
        <f t="shared" si="201"/>
        <v>166.88189132810174</v>
      </c>
      <c r="G55" s="3826">
        <v>2009</v>
      </c>
      <c r="H55" s="2888">
        <v>3</v>
      </c>
      <c r="I55" s="2888">
        <v>2.1</v>
      </c>
      <c r="J55" s="2888">
        <v>1.86</v>
      </c>
      <c r="K55" s="2888">
        <v>2.29</v>
      </c>
      <c r="L55" s="2889">
        <v>0.85</v>
      </c>
      <c r="N55" s="2864">
        <f t="shared" si="187"/>
        <v>2.1000000000000001E-2</v>
      </c>
      <c r="O55" s="2882">
        <f t="shared" si="187"/>
        <v>1.8600000000000002E-2</v>
      </c>
      <c r="P55" s="2882">
        <f t="shared" si="187"/>
        <v>2.29E-2</v>
      </c>
      <c r="Q55" s="2882">
        <f t="shared" si="187"/>
        <v>8.5000000000000006E-3</v>
      </c>
      <c r="R55" s="2865"/>
      <c r="S55" s="2864"/>
      <c r="T55" s="2851"/>
      <c r="U55" s="2851"/>
      <c r="V55" s="2851"/>
    </row>
    <row r="56" spans="1:26">
      <c r="A56" s="2861" t="s">
        <v>2552</v>
      </c>
      <c r="B56" s="2862">
        <f t="shared" si="200"/>
        <v>210.630522469011</v>
      </c>
      <c r="C56" s="2862">
        <f t="shared" si="200"/>
        <v>181.69567812247232</v>
      </c>
      <c r="D56" s="2862">
        <f t="shared" si="185"/>
        <v>181.69567812247232</v>
      </c>
      <c r="E56" s="2862">
        <f t="shared" si="201"/>
        <v>286.13517466736738</v>
      </c>
      <c r="F56" s="2862">
        <f t="shared" si="201"/>
        <v>165.47535084591149</v>
      </c>
      <c r="G56" s="3826">
        <v>2009</v>
      </c>
      <c r="H56" s="2876">
        <v>2</v>
      </c>
      <c r="I56" s="2876">
        <v>0.86</v>
      </c>
      <c r="J56" s="2876">
        <v>-1.1299999999999999</v>
      </c>
      <c r="K56" s="2876">
        <v>1.79</v>
      </c>
      <c r="L56" s="2877">
        <v>-2.0699999999999998</v>
      </c>
      <c r="N56" s="2864">
        <f t="shared" si="187"/>
        <v>8.6E-3</v>
      </c>
      <c r="O56" s="2882">
        <f t="shared" si="187"/>
        <v>-1.1299999999999999E-2</v>
      </c>
      <c r="P56" s="2882">
        <f t="shared" si="187"/>
        <v>1.7899999999999999E-2</v>
      </c>
      <c r="Q56" s="2882">
        <f t="shared" si="187"/>
        <v>-2.07E-2</v>
      </c>
      <c r="R56" s="2865"/>
      <c r="S56" s="2864"/>
      <c r="T56" s="2851"/>
      <c r="U56" s="2851"/>
      <c r="V56" s="2851"/>
    </row>
    <row r="57" spans="1:26">
      <c r="A57" s="2861" t="s">
        <v>2553</v>
      </c>
      <c r="B57" s="2862">
        <f t="shared" si="200"/>
        <v>208.83454537875372</v>
      </c>
      <c r="C57" s="2862">
        <f t="shared" si="200"/>
        <v>183.77230517090351</v>
      </c>
      <c r="D57" s="2862">
        <f t="shared" si="185"/>
        <v>183.77230517090351</v>
      </c>
      <c r="E57" s="2862">
        <f t="shared" si="201"/>
        <v>281.10342338870947</v>
      </c>
      <c r="F57" s="2862">
        <f t="shared" si="201"/>
        <v>168.97309388942256</v>
      </c>
      <c r="G57" s="3827">
        <v>2009</v>
      </c>
      <c r="H57" s="2863">
        <v>1</v>
      </c>
      <c r="I57" s="2863">
        <v>-2.64</v>
      </c>
      <c r="J57" s="2863">
        <v>-2.5299999999999998</v>
      </c>
      <c r="K57" s="2863">
        <v>-3.02</v>
      </c>
      <c r="L57" s="2869">
        <v>1.52</v>
      </c>
      <c r="N57" s="2866">
        <f t="shared" si="187"/>
        <v>-2.64E-2</v>
      </c>
      <c r="O57" s="2867">
        <f t="shared" si="187"/>
        <v>-2.53E-2</v>
      </c>
      <c r="P57" s="2867">
        <f t="shared" si="187"/>
        <v>-3.0200000000000001E-2</v>
      </c>
      <c r="Q57" s="2867">
        <f t="shared" si="187"/>
        <v>1.52E-2</v>
      </c>
      <c r="R57" s="2865"/>
      <c r="S57" s="2866">
        <f>B57/B58-1</f>
        <v>-2.4137638417038754E-2</v>
      </c>
      <c r="T57" s="2867">
        <f>C57/C58-1</f>
        <v>-2.248773845264096E-2</v>
      </c>
      <c r="U57" s="2867">
        <f>E57/E58-1</f>
        <v>-2.7323794502735366E-2</v>
      </c>
      <c r="V57" s="2867">
        <f>F57/F58-1</f>
        <v>1.7910204153148035E-2</v>
      </c>
      <c r="X57" s="2851"/>
      <c r="Y57" s="2851"/>
      <c r="Z57" s="2851"/>
    </row>
    <row r="58" spans="1:26" ht="13.5" thickBot="1">
      <c r="A58" s="2861" t="s">
        <v>2554</v>
      </c>
      <c r="B58" s="2911">
        <v>214</v>
      </c>
      <c r="C58" s="2911">
        <v>188</v>
      </c>
      <c r="D58" s="2911">
        <f t="shared" si="185"/>
        <v>188</v>
      </c>
      <c r="E58" s="2911">
        <v>289</v>
      </c>
      <c r="F58" s="2912">
        <v>166</v>
      </c>
      <c r="G58" s="3825">
        <v>2008</v>
      </c>
      <c r="H58" s="2885">
        <v>4</v>
      </c>
      <c r="I58" s="2885">
        <v>1.73</v>
      </c>
      <c r="J58" s="2885">
        <v>0.03</v>
      </c>
      <c r="K58" s="2885">
        <v>2.59</v>
      </c>
      <c r="L58" s="2886">
        <v>-1.66</v>
      </c>
      <c r="N58" s="2864">
        <f t="shared" si="187"/>
        <v>1.7299999999999999E-2</v>
      </c>
      <c r="O58" s="2851">
        <f t="shared" si="187"/>
        <v>2.9999999999999997E-4</v>
      </c>
      <c r="P58" s="2851">
        <f t="shared" si="187"/>
        <v>2.5899999999999999E-2</v>
      </c>
      <c r="Q58" s="2851">
        <f t="shared" si="187"/>
        <v>-1.66E-2</v>
      </c>
      <c r="R58" s="2865"/>
      <c r="S58" s="2874"/>
      <c r="T58" s="2875"/>
      <c r="U58" s="2875"/>
      <c r="V58" s="2875"/>
      <c r="X58" s="2875"/>
      <c r="Y58" s="2875"/>
      <c r="Z58" s="2875"/>
    </row>
    <row r="59" spans="1:26">
      <c r="A59" s="2861" t="s">
        <v>2555</v>
      </c>
      <c r="B59" s="2862">
        <f t="shared" ref="B59:C61" si="202">B58/(1+N58)</f>
        <v>210.36075887152265</v>
      </c>
      <c r="C59" s="2862">
        <f t="shared" si="202"/>
        <v>187.94361691492554</v>
      </c>
      <c r="D59" s="2862">
        <f t="shared" si="185"/>
        <v>187.94361691492554</v>
      </c>
      <c r="E59" s="2862">
        <f t="shared" ref="E59:F61" si="203">E58/(1+P58)</f>
        <v>281.70386977288234</v>
      </c>
      <c r="F59" s="2862">
        <f t="shared" si="203"/>
        <v>168.80211511083994</v>
      </c>
      <c r="G59" s="3826">
        <v>2008</v>
      </c>
      <c r="H59" s="2888">
        <v>3</v>
      </c>
      <c r="I59" s="2888">
        <v>1.96</v>
      </c>
      <c r="J59" s="2888">
        <v>2.36</v>
      </c>
      <c r="K59" s="2888">
        <v>1.82</v>
      </c>
      <c r="L59" s="2889">
        <v>2.2200000000000002</v>
      </c>
      <c r="N59" s="2864">
        <f t="shared" si="187"/>
        <v>1.9599999999999999E-2</v>
      </c>
      <c r="O59" s="2851">
        <f t="shared" si="187"/>
        <v>2.3599999999999999E-2</v>
      </c>
      <c r="P59" s="2851">
        <f t="shared" si="187"/>
        <v>1.8200000000000001E-2</v>
      </c>
      <c r="Q59" s="2851">
        <f t="shared" si="187"/>
        <v>2.2200000000000001E-2</v>
      </c>
      <c r="R59" s="2865"/>
      <c r="S59" s="2864"/>
      <c r="T59" s="2851"/>
      <c r="U59" s="2851"/>
      <c r="V59" s="2851"/>
    </row>
    <row r="60" spans="1:26">
      <c r="A60" s="2861" t="s">
        <v>2556</v>
      </c>
      <c r="B60" s="2862">
        <f t="shared" si="202"/>
        <v>206.31694671589116</v>
      </c>
      <c r="C60" s="2862">
        <f t="shared" si="202"/>
        <v>183.61041121036101</v>
      </c>
      <c r="D60" s="2862">
        <f t="shared" si="185"/>
        <v>183.61041121036101</v>
      </c>
      <c r="E60" s="2862">
        <f t="shared" si="203"/>
        <v>276.66850301795557</v>
      </c>
      <c r="F60" s="2862">
        <f t="shared" si="203"/>
        <v>165.1360938278614</v>
      </c>
      <c r="G60" s="3826">
        <v>2008</v>
      </c>
      <c r="H60" s="2876">
        <v>2</v>
      </c>
      <c r="I60" s="2876">
        <v>4.93</v>
      </c>
      <c r="J60" s="2876">
        <v>7.38</v>
      </c>
      <c r="K60" s="2876">
        <v>3.98</v>
      </c>
      <c r="L60" s="2877">
        <v>6.86</v>
      </c>
      <c r="N60" s="2864">
        <f t="shared" si="187"/>
        <v>4.9299999999999997E-2</v>
      </c>
      <c r="O60" s="2851">
        <f t="shared" si="187"/>
        <v>7.3800000000000004E-2</v>
      </c>
      <c r="P60" s="2851">
        <f t="shared" si="187"/>
        <v>3.9800000000000002E-2</v>
      </c>
      <c r="Q60" s="2851">
        <f t="shared" si="187"/>
        <v>6.8600000000000008E-2</v>
      </c>
      <c r="R60" s="2865"/>
      <c r="S60" s="2864"/>
      <c r="T60" s="2851"/>
      <c r="U60" s="2851"/>
      <c r="V60" s="2851"/>
    </row>
    <row r="61" spans="1:26" s="2917" customFormat="1" ht="13.5" thickBot="1">
      <c r="A61" s="2861" t="s">
        <v>2557</v>
      </c>
      <c r="B61" s="2914">
        <f t="shared" si="202"/>
        <v>196.62341248059772</v>
      </c>
      <c r="C61" s="2914">
        <f t="shared" si="202"/>
        <v>170.99125648199012</v>
      </c>
      <c r="D61" s="2914">
        <f t="shared" si="185"/>
        <v>170.99125648199012</v>
      </c>
      <c r="E61" s="2914">
        <f t="shared" si="203"/>
        <v>266.07857570490052</v>
      </c>
      <c r="F61" s="2914">
        <f t="shared" si="203"/>
        <v>154.53499328828505</v>
      </c>
      <c r="G61" s="3827">
        <v>2008</v>
      </c>
      <c r="H61" s="2915">
        <v>1</v>
      </c>
      <c r="I61" s="2915">
        <v>4.1399999999999997</v>
      </c>
      <c r="J61" s="2915">
        <v>3.45</v>
      </c>
      <c r="K61" s="2915">
        <v>4.95</v>
      </c>
      <c r="L61" s="2916">
        <v>4.82</v>
      </c>
      <c r="N61" s="2918">
        <f t="shared" si="187"/>
        <v>4.1399999999999999E-2</v>
      </c>
      <c r="O61" s="2919">
        <f t="shared" si="187"/>
        <v>3.4500000000000003E-2</v>
      </c>
      <c r="P61" s="2919">
        <f t="shared" si="187"/>
        <v>4.9500000000000002E-2</v>
      </c>
      <c r="Q61" s="2919">
        <f t="shared" si="187"/>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2558</v>
      </c>
      <c r="B62" s="2883">
        <v>188</v>
      </c>
      <c r="C62" s="2883">
        <v>165</v>
      </c>
      <c r="D62" s="2883">
        <f t="shared" si="185"/>
        <v>165</v>
      </c>
      <c r="E62" s="2883">
        <v>254</v>
      </c>
      <c r="F62" s="2884">
        <v>148</v>
      </c>
      <c r="G62" s="3825">
        <v>2007</v>
      </c>
      <c r="H62" s="2921">
        <v>4</v>
      </c>
      <c r="I62" s="2921">
        <v>5.51</v>
      </c>
      <c r="J62" s="2921">
        <v>4.8899999999999997</v>
      </c>
      <c r="K62" s="2921">
        <v>6.43</v>
      </c>
      <c r="L62" s="2922">
        <v>5.36</v>
      </c>
      <c r="N62" s="2923">
        <f t="shared" ref="N62:O65" si="204">B62/B63-1</f>
        <v>4.1339718365245526E-2</v>
      </c>
      <c r="O62" s="2924">
        <f t="shared" si="204"/>
        <v>4.0324492593776018E-2</v>
      </c>
      <c r="P62" s="2924">
        <f t="shared" ref="P62:Q65" si="205">E62/E63-1</f>
        <v>6.1625555347990968E-2</v>
      </c>
      <c r="Q62" s="2924">
        <f t="shared" si="205"/>
        <v>4.6757569250590603E-2</v>
      </c>
      <c r="R62" s="2865"/>
      <c r="S62" s="2874"/>
      <c r="T62" s="2875"/>
      <c r="U62" s="2875"/>
      <c r="V62" s="2875"/>
      <c r="X62" s="2875"/>
      <c r="Y62" s="2875"/>
      <c r="Z62" s="2875"/>
    </row>
    <row r="63" spans="1:26">
      <c r="A63" s="2861" t="s">
        <v>2559</v>
      </c>
      <c r="B63" s="2862">
        <f t="shared" ref="B63:C65" si="206">B64+(B$62-B$66)*I63/SUM(I$62:I$65)</f>
        <v>180.5366651097618</v>
      </c>
      <c r="C63" s="2862">
        <f t="shared" si="206"/>
        <v>158.60435967302453</v>
      </c>
      <c r="D63" s="2862">
        <f t="shared" si="185"/>
        <v>158.60435967302453</v>
      </c>
      <c r="E63" s="2862">
        <f t="shared" ref="E63:F65" si="207">E64+(E$62-E$66)*K63/SUM(K$62:K$65)</f>
        <v>239.25573260785075</v>
      </c>
      <c r="F63" s="2862">
        <f t="shared" si="207"/>
        <v>141.38899430740037</v>
      </c>
      <c r="G63" s="3826">
        <v>2007</v>
      </c>
      <c r="H63" s="2888">
        <v>3</v>
      </c>
      <c r="I63" s="2888">
        <v>8.65</v>
      </c>
      <c r="J63" s="2888">
        <v>8.06</v>
      </c>
      <c r="K63" s="2888">
        <v>9.94</v>
      </c>
      <c r="L63" s="2889">
        <v>5.8</v>
      </c>
      <c r="N63" s="2923">
        <f t="shared" si="204"/>
        <v>6.940217571740015E-2</v>
      </c>
      <c r="O63" s="2924">
        <f t="shared" si="204"/>
        <v>7.1197482471153428E-2</v>
      </c>
      <c r="P63" s="2924">
        <f t="shared" si="205"/>
        <v>0.10529679922579582</v>
      </c>
      <c r="Q63" s="2924">
        <f t="shared" si="205"/>
        <v>5.3292245059512133E-2</v>
      </c>
      <c r="R63" s="2865"/>
      <c r="S63" s="2864"/>
      <c r="T63" s="2851"/>
      <c r="U63" s="2851"/>
      <c r="V63" s="2851"/>
      <c r="X63" s="2925"/>
      <c r="Y63" s="2925"/>
      <c r="Z63" s="2925"/>
    </row>
    <row r="64" spans="1:26">
      <c r="A64" s="2861" t="s">
        <v>2560</v>
      </c>
      <c r="B64" s="2862">
        <f t="shared" si="206"/>
        <v>168.82017748715555</v>
      </c>
      <c r="C64" s="2862">
        <f t="shared" si="206"/>
        <v>148.06267029972753</v>
      </c>
      <c r="D64" s="2862">
        <f t="shared" si="185"/>
        <v>148.06267029972753</v>
      </c>
      <c r="E64" s="2862">
        <f t="shared" si="207"/>
        <v>216.46288379323747</v>
      </c>
      <c r="F64" s="2862">
        <f t="shared" si="207"/>
        <v>134.23529411764704</v>
      </c>
      <c r="G64" s="3826">
        <v>2007</v>
      </c>
      <c r="H64" s="2876">
        <v>2</v>
      </c>
      <c r="I64" s="2876">
        <v>3.67</v>
      </c>
      <c r="J64" s="2876">
        <v>2.3199999999999998</v>
      </c>
      <c r="K64" s="2876">
        <v>5.0199999999999996</v>
      </c>
      <c r="L64" s="2877">
        <v>6.71</v>
      </c>
      <c r="N64" s="2923">
        <f t="shared" si="204"/>
        <v>3.0339138143848032E-2</v>
      </c>
      <c r="O64" s="2924">
        <f t="shared" si="204"/>
        <v>2.0922341588790472E-2</v>
      </c>
      <c r="P64" s="2924">
        <f t="shared" si="205"/>
        <v>5.6164796592717003E-2</v>
      </c>
      <c r="Q64" s="2924">
        <f t="shared" si="205"/>
        <v>6.5704536723887319E-2</v>
      </c>
      <c r="R64" s="2865"/>
      <c r="S64" s="2864"/>
      <c r="T64" s="2851"/>
      <c r="U64" s="2851"/>
      <c r="V64" s="2851"/>
      <c r="X64" s="2925"/>
      <c r="Y64" s="2925"/>
      <c r="Z64" s="2925"/>
    </row>
    <row r="65" spans="1:26">
      <c r="A65" s="2861" t="s">
        <v>2561</v>
      </c>
      <c r="B65" s="2862">
        <f t="shared" si="206"/>
        <v>163.84913591779542</v>
      </c>
      <c r="C65" s="2862">
        <f t="shared" si="206"/>
        <v>145.0283378746594</v>
      </c>
      <c r="D65" s="2862">
        <f t="shared" si="185"/>
        <v>145.0283378746594</v>
      </c>
      <c r="E65" s="2862">
        <f t="shared" si="207"/>
        <v>204.95180722891567</v>
      </c>
      <c r="F65" s="2862">
        <f t="shared" si="207"/>
        <v>125.95920303605313</v>
      </c>
      <c r="G65" s="3827">
        <v>2007</v>
      </c>
      <c r="H65" s="2863">
        <v>1</v>
      </c>
      <c r="I65" s="2863">
        <v>3.58</v>
      </c>
      <c r="J65" s="2863">
        <v>3.08</v>
      </c>
      <c r="K65" s="2863">
        <v>4.34</v>
      </c>
      <c r="L65" s="2869">
        <v>3.21</v>
      </c>
      <c r="N65" s="2926">
        <f t="shared" si="204"/>
        <v>3.0497710174814063E-2</v>
      </c>
      <c r="O65" s="2927">
        <f t="shared" si="204"/>
        <v>2.8569772160704998E-2</v>
      </c>
      <c r="P65" s="2927">
        <f t="shared" si="205"/>
        <v>5.1034908866234296E-2</v>
      </c>
      <c r="Q65" s="2927">
        <f t="shared" si="205"/>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2562</v>
      </c>
      <c r="B66" s="2890">
        <v>159</v>
      </c>
      <c r="C66" s="2890">
        <v>141</v>
      </c>
      <c r="D66" s="2890">
        <f t="shared" si="185"/>
        <v>141</v>
      </c>
      <c r="E66" s="2890">
        <v>195</v>
      </c>
      <c r="F66" s="2891">
        <v>122</v>
      </c>
      <c r="G66" s="3825">
        <v>2006</v>
      </c>
      <c r="H66" s="2885">
        <v>4</v>
      </c>
      <c r="I66" s="2885">
        <v>3.79</v>
      </c>
      <c r="J66" s="2885">
        <v>2.21</v>
      </c>
      <c r="K66" s="2885">
        <v>5.65</v>
      </c>
      <c r="L66" s="2886">
        <v>5.41</v>
      </c>
      <c r="N66" s="2923">
        <f t="shared" ref="N66:O69" si="208">I66/SUM(I$66:I$69)*(B$66/B$70-1)</f>
        <v>7.245466462748526E-2</v>
      </c>
      <c r="O66" s="2924">
        <f t="shared" si="208"/>
        <v>2.3237230038062766E-2</v>
      </c>
      <c r="P66" s="2924">
        <f t="shared" ref="P66:Q69" si="209">K66/SUM(K$66:K$69)*(E$66/E$70-1)</f>
        <v>0.16146893866323722</v>
      </c>
      <c r="Q66" s="2924">
        <f t="shared" si="209"/>
        <v>5.0755230321793784E-2</v>
      </c>
      <c r="R66" s="2865"/>
      <c r="S66" s="2874"/>
      <c r="T66" s="2875"/>
      <c r="U66" s="2875"/>
      <c r="V66" s="2875"/>
      <c r="X66" s="2925"/>
      <c r="Y66" s="2925"/>
      <c r="Z66" s="2925"/>
    </row>
    <row r="67" spans="1:26">
      <c r="A67" s="2861" t="s">
        <v>2563</v>
      </c>
      <c r="B67" s="2862">
        <f t="shared" ref="B67:C69" si="210">B68+(B$66-B$70)*I67/SUM(I$66:I$69)</f>
        <v>149.00125628140702</v>
      </c>
      <c r="C67" s="2862">
        <f t="shared" si="210"/>
        <v>137.95592286501378</v>
      </c>
      <c r="D67" s="2862">
        <f t="shared" si="185"/>
        <v>137.95592286501378</v>
      </c>
      <c r="E67" s="2862">
        <f t="shared" ref="E67:F69" si="211">E68+(E$66-E$70)*K67/SUM(K$66:K$69)</f>
        <v>169.97231450719823</v>
      </c>
      <c r="F67" s="2862">
        <f t="shared" si="211"/>
        <v>116.21390374331551</v>
      </c>
      <c r="G67" s="3826">
        <v>2006</v>
      </c>
      <c r="H67" s="2888">
        <v>3</v>
      </c>
      <c r="I67" s="2888">
        <v>0.92</v>
      </c>
      <c r="J67" s="2888">
        <v>1.08</v>
      </c>
      <c r="K67" s="2888">
        <v>0.73</v>
      </c>
      <c r="L67" s="2889">
        <v>1.08</v>
      </c>
      <c r="N67" s="2923">
        <f t="shared" si="208"/>
        <v>1.7587939698492462E-2</v>
      </c>
      <c r="O67" s="2924">
        <f t="shared" si="208"/>
        <v>1.1355750425840628E-2</v>
      </c>
      <c r="P67" s="2924">
        <f t="shared" si="209"/>
        <v>2.0862358446754544E-2</v>
      </c>
      <c r="Q67" s="2924">
        <f t="shared" si="209"/>
        <v>1.0132282578103011E-2</v>
      </c>
      <c r="R67" s="2865"/>
      <c r="S67" s="2864"/>
      <c r="T67" s="2851"/>
      <c r="U67" s="2851"/>
      <c r="V67" s="2851"/>
      <c r="X67" s="2925"/>
      <c r="Y67" s="2925"/>
      <c r="Z67" s="2925"/>
    </row>
    <row r="68" spans="1:26">
      <c r="A68" s="2861" t="s">
        <v>2564</v>
      </c>
      <c r="B68" s="2862">
        <f t="shared" si="210"/>
        <v>146.57412060301507</v>
      </c>
      <c r="C68" s="2862">
        <f t="shared" si="210"/>
        <v>136.46831955922866</v>
      </c>
      <c r="D68" s="2862">
        <f t="shared" si="185"/>
        <v>136.46831955922866</v>
      </c>
      <c r="E68" s="2862">
        <f t="shared" si="211"/>
        <v>166.73864894795128</v>
      </c>
      <c r="F68" s="2862">
        <f t="shared" si="211"/>
        <v>115.05882352941177</v>
      </c>
      <c r="G68" s="3826">
        <v>2006</v>
      </c>
      <c r="H68" s="2876">
        <v>2</v>
      </c>
      <c r="I68" s="2876">
        <v>0.96</v>
      </c>
      <c r="J68" s="2876">
        <v>0.25</v>
      </c>
      <c r="K68" s="2876">
        <v>1.9</v>
      </c>
      <c r="L68" s="2877">
        <v>0.95</v>
      </c>
      <c r="N68" s="2923">
        <f t="shared" si="208"/>
        <v>1.8352632728861701E-2</v>
      </c>
      <c r="O68" s="2924">
        <f t="shared" si="208"/>
        <v>2.6286459319075526E-3</v>
      </c>
      <c r="P68" s="2924">
        <f t="shared" si="209"/>
        <v>5.4299289107991269E-2</v>
      </c>
      <c r="Q68" s="2924">
        <f t="shared" si="209"/>
        <v>8.9126559714794995E-3</v>
      </c>
      <c r="R68" s="2865"/>
      <c r="S68" s="2864"/>
      <c r="T68" s="2851"/>
      <c r="U68" s="2851"/>
      <c r="V68" s="2851"/>
      <c r="X68" s="2925"/>
      <c r="Y68" s="2925"/>
      <c r="Z68" s="2925"/>
    </row>
    <row r="69" spans="1:26">
      <c r="A69" s="2861" t="s">
        <v>2565</v>
      </c>
      <c r="B69" s="2862">
        <f t="shared" si="210"/>
        <v>144.04145728643215</v>
      </c>
      <c r="C69" s="2862">
        <f t="shared" si="210"/>
        <v>136.12396694214877</v>
      </c>
      <c r="D69" s="2862">
        <f t="shared" si="185"/>
        <v>136.12396694214877</v>
      </c>
      <c r="E69" s="2862">
        <f t="shared" si="211"/>
        <v>158.32225913621264</v>
      </c>
      <c r="F69" s="2862">
        <f t="shared" si="211"/>
        <v>114.04278074866311</v>
      </c>
      <c r="G69" s="3827">
        <v>2006</v>
      </c>
      <c r="H69" s="2863">
        <v>1</v>
      </c>
      <c r="I69" s="2863">
        <v>2.29</v>
      </c>
      <c r="J69" s="2863">
        <v>3.72</v>
      </c>
      <c r="K69" s="2863">
        <v>0.75</v>
      </c>
      <c r="L69" s="2869">
        <v>0.04</v>
      </c>
      <c r="N69" s="2926">
        <f t="shared" si="208"/>
        <v>4.3778675988638847E-2</v>
      </c>
      <c r="O69" s="2927">
        <f t="shared" si="208"/>
        <v>3.9114251466784385E-2</v>
      </c>
      <c r="P69" s="2927">
        <f t="shared" si="209"/>
        <v>2.1433929911049188E-2</v>
      </c>
      <c r="Q69" s="2927">
        <f t="shared" si="209"/>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2566</v>
      </c>
      <c r="B70" s="2890">
        <v>138</v>
      </c>
      <c r="C70" s="2890">
        <v>131</v>
      </c>
      <c r="D70" s="2890">
        <f t="shared" si="185"/>
        <v>131</v>
      </c>
      <c r="E70" s="2890">
        <v>155</v>
      </c>
      <c r="F70" s="2891">
        <v>114</v>
      </c>
      <c r="G70" s="3825">
        <v>2005</v>
      </c>
      <c r="H70" s="2885">
        <v>4</v>
      </c>
      <c r="I70" s="2885">
        <v>3.29</v>
      </c>
      <c r="J70" s="2885">
        <v>1.44</v>
      </c>
      <c r="K70" s="2885">
        <v>0.66</v>
      </c>
      <c r="L70" s="2886">
        <v>7.78</v>
      </c>
      <c r="N70" s="2923">
        <f t="shared" ref="N70:O73" si="212">I70/SUM(I$70:I$73)*(B$70/B$74-1)</f>
        <v>9.9404603216919935E-2</v>
      </c>
      <c r="O70" s="2924">
        <f t="shared" si="212"/>
        <v>4.7636550760861554E-2</v>
      </c>
      <c r="P70" s="2924">
        <f t="shared" ref="P70:Q73" si="213">K70/SUM(K$70:K$73)*(E$70/E$74-1)</f>
        <v>8.3756345177664976E-2</v>
      </c>
      <c r="Q70" s="2924">
        <f t="shared" si="213"/>
        <v>5.2148766661559584E-2</v>
      </c>
      <c r="R70" s="2865"/>
      <c r="S70" s="2874"/>
      <c r="T70" s="2875"/>
      <c r="U70" s="2875"/>
      <c r="V70" s="2875"/>
      <c r="X70" s="2925"/>
      <c r="Y70" s="2925"/>
      <c r="Z70" s="2925"/>
    </row>
    <row r="71" spans="1:26">
      <c r="A71" s="2861" t="s">
        <v>2567</v>
      </c>
      <c r="B71" s="2862">
        <f t="shared" ref="B71:C73" si="214">B72+(B$70-B$74)*I71/SUM(I$70:I$73)</f>
        <v>125.9720430107527</v>
      </c>
      <c r="C71" s="2862">
        <f t="shared" si="214"/>
        <v>125.1883408071749</v>
      </c>
      <c r="D71" s="2862">
        <f t="shared" si="185"/>
        <v>125.1883408071749</v>
      </c>
      <c r="E71" s="2862">
        <f t="shared" ref="E71:F73" si="215">E72+(E$70-E$74)*K71/SUM(K$70:K$73)</f>
        <v>144.61421319796952</v>
      </c>
      <c r="F71" s="2862">
        <f t="shared" si="215"/>
        <v>108.42008196721311</v>
      </c>
      <c r="G71" s="3826">
        <v>2005</v>
      </c>
      <c r="H71" s="2888">
        <v>3</v>
      </c>
      <c r="I71" s="2888">
        <v>0.46</v>
      </c>
      <c r="J71" s="2888">
        <v>0.32</v>
      </c>
      <c r="K71" s="2888">
        <v>0.42</v>
      </c>
      <c r="L71" s="2889">
        <v>0.64</v>
      </c>
      <c r="N71" s="2923">
        <f t="shared" si="212"/>
        <v>1.3898515951301874E-2</v>
      </c>
      <c r="O71" s="2924">
        <f t="shared" si="212"/>
        <v>1.0585900169080346E-2</v>
      </c>
      <c r="P71" s="2924">
        <f t="shared" si="213"/>
        <v>5.3299492385786795E-2</v>
      </c>
      <c r="Q71" s="2924">
        <f t="shared" si="213"/>
        <v>4.2898728359123568E-3</v>
      </c>
      <c r="R71" s="2865"/>
      <c r="S71" s="2864"/>
      <c r="T71" s="2851"/>
      <c r="U71" s="2851"/>
      <c r="V71" s="2851"/>
      <c r="X71" s="2925"/>
      <c r="Y71" s="2925"/>
      <c r="Z71" s="2925"/>
    </row>
    <row r="72" spans="1:26">
      <c r="A72" s="2861" t="s">
        <v>2568</v>
      </c>
      <c r="B72" s="2862">
        <f t="shared" si="214"/>
        <v>124.29032258064517</v>
      </c>
      <c r="C72" s="2862">
        <f t="shared" si="214"/>
        <v>123.8968609865471</v>
      </c>
      <c r="D72" s="2862">
        <f t="shared" si="185"/>
        <v>123.8968609865471</v>
      </c>
      <c r="E72" s="2862">
        <f t="shared" si="215"/>
        <v>138.00507614213197</v>
      </c>
      <c r="F72" s="2862">
        <f t="shared" si="215"/>
        <v>107.96106557377048</v>
      </c>
      <c r="G72" s="3826">
        <v>2005</v>
      </c>
      <c r="H72" s="2876">
        <v>2</v>
      </c>
      <c r="I72" s="2876">
        <v>0.47</v>
      </c>
      <c r="J72" s="2876">
        <v>0.1</v>
      </c>
      <c r="K72" s="2876">
        <v>0.52</v>
      </c>
      <c r="L72" s="2877">
        <v>0.79</v>
      </c>
      <c r="N72" s="2923">
        <f t="shared" si="212"/>
        <v>1.420065760241713E-2</v>
      </c>
      <c r="O72" s="2924">
        <f t="shared" si="212"/>
        <v>3.3080938028376083E-3</v>
      </c>
      <c r="P72" s="2924">
        <f t="shared" si="213"/>
        <v>6.598984771573603E-2</v>
      </c>
      <c r="Q72" s="2924">
        <f t="shared" si="213"/>
        <v>5.2953117818293153E-3</v>
      </c>
      <c r="R72" s="2865"/>
      <c r="S72" s="2864"/>
      <c r="T72" s="2851"/>
      <c r="U72" s="2851"/>
      <c r="V72" s="2851"/>
      <c r="X72" s="2925"/>
      <c r="Y72" s="2925"/>
      <c r="Z72" s="2925"/>
    </row>
    <row r="73" spans="1:26">
      <c r="A73" s="2861" t="s">
        <v>2569</v>
      </c>
      <c r="B73" s="2862">
        <f t="shared" si="214"/>
        <v>122.57204301075269</v>
      </c>
      <c r="C73" s="2862">
        <f t="shared" si="214"/>
        <v>123.4932735426009</v>
      </c>
      <c r="D73" s="2862">
        <f t="shared" si="185"/>
        <v>123.4932735426009</v>
      </c>
      <c r="E73" s="2862">
        <f t="shared" si="215"/>
        <v>129.82233502538071</v>
      </c>
      <c r="F73" s="2862">
        <f t="shared" si="215"/>
        <v>107.39446721311475</v>
      </c>
      <c r="G73" s="3827">
        <v>2005</v>
      </c>
      <c r="H73" s="2863">
        <v>1</v>
      </c>
      <c r="I73" s="2863">
        <v>0.43</v>
      </c>
      <c r="J73" s="2863">
        <v>0.37</v>
      </c>
      <c r="K73" s="2863">
        <v>0.37</v>
      </c>
      <c r="L73" s="2869">
        <v>0.55000000000000004</v>
      </c>
      <c r="N73" s="2926">
        <f t="shared" si="212"/>
        <v>1.2992090997956099E-2</v>
      </c>
      <c r="O73" s="2927">
        <f t="shared" si="212"/>
        <v>1.2239947070499151E-2</v>
      </c>
      <c r="P73" s="2927">
        <f t="shared" si="213"/>
        <v>4.6954314720812178E-2</v>
      </c>
      <c r="Q73" s="2927">
        <f t="shared" si="213"/>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2570</v>
      </c>
      <c r="B74" s="2911">
        <v>121</v>
      </c>
      <c r="C74" s="2911">
        <v>122</v>
      </c>
      <c r="D74" s="2911">
        <f t="shared" si="185"/>
        <v>122</v>
      </c>
      <c r="E74" s="2911">
        <v>124</v>
      </c>
      <c r="F74" s="2912">
        <v>107</v>
      </c>
      <c r="G74" s="3825">
        <v>2004</v>
      </c>
      <c r="H74" s="2885">
        <v>4</v>
      </c>
      <c r="I74" s="2885">
        <v>0.33</v>
      </c>
      <c r="J74" s="2885">
        <v>0.5</v>
      </c>
      <c r="K74" s="2885">
        <v>0.5</v>
      </c>
      <c r="L74" s="2886">
        <v>0</v>
      </c>
      <c r="N74" s="2923">
        <f t="shared" ref="N74:O77" si="216">I74/SUM(I$74:I$77)*(B$74/B$78-1)</f>
        <v>1.3391770148526898E-2</v>
      </c>
      <c r="O74" s="2924">
        <f t="shared" si="216"/>
        <v>1.063264221158958E-2</v>
      </c>
      <c r="P74" s="2924">
        <f t="shared" ref="P74:Q77" si="217">K74/SUM(K$74:K$77)*(E$74/E$78-1)</f>
        <v>2.2244466688911134E-2</v>
      </c>
      <c r="Q74" s="2924">
        <f t="shared" si="217"/>
        <v>0</v>
      </c>
      <c r="R74" s="2865"/>
      <c r="S74" s="2874"/>
      <c r="T74" s="2875"/>
      <c r="U74" s="2875"/>
      <c r="V74" s="2875"/>
      <c r="X74" s="2925"/>
      <c r="Y74" s="2925"/>
      <c r="Z74" s="2925"/>
    </row>
    <row r="75" spans="1:26">
      <c r="A75" s="2861" t="s">
        <v>2571</v>
      </c>
      <c r="B75" s="2862">
        <f t="shared" ref="B75:C77" si="218">B76+(B$74-B$78)*I75/SUM(I$74:I$77)</f>
        <v>119.51351351351352</v>
      </c>
      <c r="C75" s="2862">
        <f t="shared" si="218"/>
        <v>120.7878787878788</v>
      </c>
      <c r="D75" s="2862">
        <f t="shared" si="185"/>
        <v>120.7878787878788</v>
      </c>
      <c r="E75" s="2862">
        <f t="shared" ref="E75:F77" si="219">E76+(E$74-E$78)*K75/SUM(K$74:K$77)</f>
        <v>121.5975975975976</v>
      </c>
      <c r="F75" s="2862">
        <f t="shared" si="219"/>
        <v>107</v>
      </c>
      <c r="G75" s="3826">
        <v>2004</v>
      </c>
      <c r="H75" s="2888">
        <v>3</v>
      </c>
      <c r="I75" s="2888">
        <v>0.56000000000000005</v>
      </c>
      <c r="J75" s="2888">
        <v>0.8</v>
      </c>
      <c r="K75" s="2888">
        <v>0.83</v>
      </c>
      <c r="L75" s="2889">
        <v>0.06</v>
      </c>
      <c r="N75" s="2923">
        <f t="shared" si="216"/>
        <v>2.2725428130833527E-2</v>
      </c>
      <c r="O75" s="2924">
        <f t="shared" si="216"/>
        <v>1.7012227538543329E-2</v>
      </c>
      <c r="P75" s="2924">
        <f t="shared" si="217"/>
        <v>3.6925814703592477E-2</v>
      </c>
      <c r="Q75" s="2924">
        <f t="shared" si="217"/>
        <v>2.8846153846153744E-2</v>
      </c>
      <c r="R75" s="2865"/>
      <c r="S75" s="2864"/>
      <c r="T75" s="2851"/>
      <c r="U75" s="2851"/>
      <c r="V75" s="2851"/>
      <c r="X75" s="2925"/>
      <c r="Y75" s="2925"/>
      <c r="Z75" s="2925"/>
    </row>
    <row r="76" spans="1:26">
      <c r="A76" s="2861" t="s">
        <v>2572</v>
      </c>
      <c r="B76" s="2862">
        <f t="shared" si="218"/>
        <v>116.99099099099099</v>
      </c>
      <c r="C76" s="2862">
        <f t="shared" si="218"/>
        <v>118.84848484848486</v>
      </c>
      <c r="D76" s="2862">
        <f t="shared" si="185"/>
        <v>118.84848484848486</v>
      </c>
      <c r="E76" s="2862">
        <f t="shared" si="219"/>
        <v>117.60960960960961</v>
      </c>
      <c r="F76" s="2862">
        <f t="shared" si="219"/>
        <v>104</v>
      </c>
      <c r="G76" s="3826">
        <v>2004</v>
      </c>
      <c r="H76" s="2876">
        <v>2</v>
      </c>
      <c r="I76" s="2876">
        <v>1</v>
      </c>
      <c r="J76" s="2876">
        <v>1.5</v>
      </c>
      <c r="K76" s="2876">
        <v>1.5</v>
      </c>
      <c r="L76" s="2877">
        <v>0</v>
      </c>
      <c r="N76" s="2923">
        <f t="shared" si="216"/>
        <v>4.0581121662202721E-2</v>
      </c>
      <c r="O76" s="2924">
        <f t="shared" si="216"/>
        <v>3.1897926634768738E-2</v>
      </c>
      <c r="P76" s="2924">
        <f t="shared" si="217"/>
        <v>6.6733400066733395E-2</v>
      </c>
      <c r="Q76" s="2924">
        <f t="shared" si="217"/>
        <v>0</v>
      </c>
      <c r="R76" s="2865"/>
      <c r="S76" s="2864"/>
      <c r="T76" s="2851"/>
      <c r="U76" s="2851"/>
      <c r="V76" s="2851"/>
      <c r="X76" s="2925"/>
      <c r="Y76" s="2925"/>
      <c r="Z76" s="2925"/>
    </row>
    <row r="77" spans="1:26" s="2917" customFormat="1" ht="13.5" thickBot="1">
      <c r="A77" s="2861" t="s">
        <v>2573</v>
      </c>
      <c r="B77" s="2914">
        <f t="shared" si="218"/>
        <v>112.48648648648648</v>
      </c>
      <c r="C77" s="2914">
        <f t="shared" si="218"/>
        <v>115.21212121212122</v>
      </c>
      <c r="D77" s="2914">
        <f t="shared" si="185"/>
        <v>115.21212121212122</v>
      </c>
      <c r="E77" s="2914">
        <f t="shared" si="219"/>
        <v>110.4024024024024</v>
      </c>
      <c r="F77" s="2914">
        <f t="shared" si="219"/>
        <v>104</v>
      </c>
      <c r="G77" s="3827">
        <v>2004</v>
      </c>
      <c r="H77" s="2915">
        <v>1</v>
      </c>
      <c r="I77" s="2915">
        <v>0.33</v>
      </c>
      <c r="J77" s="2915">
        <v>0.5</v>
      </c>
      <c r="K77" s="2915">
        <v>0.5</v>
      </c>
      <c r="L77" s="2916">
        <v>0</v>
      </c>
      <c r="N77" s="2928">
        <f t="shared" si="216"/>
        <v>1.3391770148526898E-2</v>
      </c>
      <c r="O77" s="2929">
        <f t="shared" si="216"/>
        <v>1.063264221158958E-2</v>
      </c>
      <c r="P77" s="2929">
        <f t="shared" si="217"/>
        <v>2.2244466688911134E-2</v>
      </c>
      <c r="Q77" s="2929">
        <f t="shared" si="217"/>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2574</v>
      </c>
      <c r="B78" s="2931">
        <v>111</v>
      </c>
      <c r="C78" s="2931">
        <v>114</v>
      </c>
      <c r="D78" s="2931">
        <f t="shared" si="185"/>
        <v>114</v>
      </c>
      <c r="E78" s="2931">
        <v>108</v>
      </c>
      <c r="F78" s="2932">
        <v>104</v>
      </c>
      <c r="G78" s="3825">
        <v>2003</v>
      </c>
      <c r="H78" s="2921">
        <v>4</v>
      </c>
      <c r="I78" s="2933"/>
      <c r="J78" s="2933"/>
      <c r="K78" s="2933"/>
      <c r="L78" s="2933"/>
      <c r="N78" s="2934"/>
      <c r="O78" s="2933"/>
      <c r="P78" s="2933"/>
      <c r="Q78" s="2933"/>
      <c r="S78" s="2934"/>
      <c r="T78" s="2933"/>
      <c r="U78" s="2933"/>
      <c r="V78" s="2933"/>
      <c r="X78" s="2925"/>
      <c r="Y78" s="2925"/>
      <c r="Z78" s="2925"/>
    </row>
    <row r="79" spans="1:26">
      <c r="A79" s="2861" t="s">
        <v>2575</v>
      </c>
      <c r="B79" s="2935">
        <f t="shared" ref="B79:C81" si="220">B80+(B$78-B$82)/4</f>
        <v>109.75</v>
      </c>
      <c r="C79" s="2935">
        <f t="shared" si="220"/>
        <v>112.25</v>
      </c>
      <c r="D79" s="2935">
        <f t="shared" si="185"/>
        <v>112.25</v>
      </c>
      <c r="E79" s="2935">
        <f t="shared" ref="E79:F81" si="221">E80+(E$78-E$82)/4</f>
        <v>107.25</v>
      </c>
      <c r="F79" s="2935">
        <f t="shared" si="221"/>
        <v>103.5</v>
      </c>
      <c r="G79" s="3826">
        <v>2003</v>
      </c>
      <c r="H79" s="2888">
        <v>3</v>
      </c>
      <c r="I79" s="2933"/>
      <c r="J79" s="2933"/>
      <c r="K79" s="2933"/>
      <c r="L79" s="2933"/>
      <c r="X79" s="2925"/>
      <c r="Y79" s="2925"/>
      <c r="Z79" s="2925"/>
    </row>
    <row r="80" spans="1:26">
      <c r="A80" s="2861" t="s">
        <v>2576</v>
      </c>
      <c r="B80" s="2935">
        <f t="shared" si="220"/>
        <v>108.5</v>
      </c>
      <c r="C80" s="2935">
        <f t="shared" si="220"/>
        <v>110.5</v>
      </c>
      <c r="D80" s="2935">
        <f t="shared" si="185"/>
        <v>110.5</v>
      </c>
      <c r="E80" s="2935">
        <f t="shared" si="221"/>
        <v>106.5</v>
      </c>
      <c r="F80" s="2935">
        <f t="shared" si="221"/>
        <v>103</v>
      </c>
      <c r="G80" s="3826">
        <v>2003</v>
      </c>
      <c r="H80" s="2876">
        <v>2</v>
      </c>
      <c r="I80" s="2933"/>
      <c r="J80" s="2933"/>
      <c r="K80" s="2933"/>
      <c r="L80" s="2933"/>
      <c r="X80" s="2925"/>
      <c r="Y80" s="2925"/>
      <c r="Z80" s="2925"/>
    </row>
    <row r="81" spans="1:26" ht="13.5" thickBot="1">
      <c r="A81" s="2861" t="s">
        <v>2577</v>
      </c>
      <c r="B81" s="2935">
        <f t="shared" si="220"/>
        <v>107.25</v>
      </c>
      <c r="C81" s="2935">
        <f t="shared" si="220"/>
        <v>108.75</v>
      </c>
      <c r="D81" s="2935">
        <f t="shared" si="185"/>
        <v>108.75</v>
      </c>
      <c r="E81" s="2935">
        <f t="shared" si="221"/>
        <v>105.75</v>
      </c>
      <c r="F81" s="2935">
        <f t="shared" si="221"/>
        <v>102.5</v>
      </c>
      <c r="G81" s="3827">
        <v>2003</v>
      </c>
      <c r="H81" s="2936">
        <v>1</v>
      </c>
      <c r="I81" s="2933"/>
      <c r="J81" s="2933"/>
      <c r="K81" s="2933"/>
      <c r="L81" s="2933"/>
      <c r="S81" s="2864"/>
      <c r="T81" s="2851"/>
      <c r="U81" s="2851"/>
      <c r="X81" s="2925"/>
      <c r="Y81" s="2925"/>
      <c r="Z81" s="2925"/>
    </row>
    <row r="82" spans="1:26" ht="13.5" thickBot="1">
      <c r="A82" s="2861" t="s">
        <v>2578</v>
      </c>
      <c r="B82" s="2937">
        <v>106</v>
      </c>
      <c r="C82" s="2937">
        <v>107</v>
      </c>
      <c r="D82" s="2937">
        <f t="shared" si="185"/>
        <v>107</v>
      </c>
      <c r="E82" s="2937">
        <v>105</v>
      </c>
      <c r="F82" s="2938">
        <v>102</v>
      </c>
      <c r="G82" s="3825">
        <v>2002</v>
      </c>
      <c r="H82" s="2885">
        <v>4</v>
      </c>
      <c r="I82" s="2933"/>
      <c r="J82" s="2933"/>
      <c r="K82" s="2933"/>
      <c r="L82" s="2933"/>
      <c r="N82" s="2934"/>
      <c r="O82" s="2933"/>
      <c r="P82" s="2933"/>
      <c r="Q82" s="2933"/>
      <c r="S82" s="2934"/>
      <c r="T82" s="2933"/>
      <c r="U82" s="2933"/>
      <c r="V82" s="2933"/>
      <c r="X82" s="2925"/>
      <c r="Y82" s="2925"/>
      <c r="Z82" s="2925"/>
    </row>
    <row r="83" spans="1:26">
      <c r="A83" s="2861" t="s">
        <v>2579</v>
      </c>
      <c r="B83" s="2935">
        <f t="shared" ref="B83:C85" si="222">B84+(B$82-B$86)/4</f>
        <v>105</v>
      </c>
      <c r="C83" s="2935">
        <f t="shared" si="222"/>
        <v>106</v>
      </c>
      <c r="D83" s="2935">
        <f t="shared" si="185"/>
        <v>106</v>
      </c>
      <c r="E83" s="2935">
        <f t="shared" ref="E83:F85" si="223">E84+(E$82-E$86)/4</f>
        <v>104.5</v>
      </c>
      <c r="F83" s="2935">
        <f t="shared" si="223"/>
        <v>101.5</v>
      </c>
      <c r="G83" s="3826">
        <v>2002</v>
      </c>
      <c r="H83" s="2888">
        <v>3</v>
      </c>
      <c r="I83" s="2933"/>
      <c r="J83" s="2933"/>
      <c r="K83" s="2933"/>
      <c r="L83" s="2933"/>
      <c r="X83" s="2925"/>
      <c r="Y83" s="2925"/>
      <c r="Z83" s="2925"/>
    </row>
    <row r="84" spans="1:26">
      <c r="A84" s="2861" t="s">
        <v>2580</v>
      </c>
      <c r="B84" s="2935">
        <f t="shared" si="222"/>
        <v>104</v>
      </c>
      <c r="C84" s="2935">
        <f t="shared" si="222"/>
        <v>105</v>
      </c>
      <c r="D84" s="2935">
        <f t="shared" si="185"/>
        <v>105</v>
      </c>
      <c r="E84" s="2935">
        <f t="shared" si="223"/>
        <v>104</v>
      </c>
      <c r="F84" s="2935">
        <f t="shared" si="223"/>
        <v>101</v>
      </c>
      <c r="G84" s="3826">
        <v>2002</v>
      </c>
      <c r="H84" s="2876">
        <v>2</v>
      </c>
      <c r="I84" s="2933"/>
      <c r="J84" s="2933"/>
      <c r="K84" s="2933"/>
      <c r="L84" s="2933"/>
      <c r="X84" s="2925"/>
      <c r="Y84" s="2925"/>
      <c r="Z84" s="2925"/>
    </row>
    <row r="85" spans="1:26" s="2898" customFormat="1" ht="13.5" thickBot="1">
      <c r="A85" s="2894" t="s">
        <v>2581</v>
      </c>
      <c r="B85" s="2901">
        <f t="shared" si="222"/>
        <v>103</v>
      </c>
      <c r="C85" s="2901">
        <f t="shared" si="222"/>
        <v>104</v>
      </c>
      <c r="D85" s="2901">
        <f t="shared" si="185"/>
        <v>104</v>
      </c>
      <c r="E85" s="2901">
        <f t="shared" si="223"/>
        <v>103.5</v>
      </c>
      <c r="F85" s="2901">
        <f t="shared" si="223"/>
        <v>100.5</v>
      </c>
      <c r="G85" s="3827">
        <v>2002</v>
      </c>
      <c r="H85" s="2939">
        <v>1</v>
      </c>
      <c r="I85" s="2940"/>
      <c r="J85" s="2940"/>
      <c r="K85" s="2940"/>
      <c r="L85" s="2940"/>
      <c r="N85" s="2941"/>
      <c r="S85" s="2941"/>
      <c r="X85" s="2942"/>
      <c r="Y85" s="2942"/>
      <c r="Z85" s="2942"/>
    </row>
    <row r="86" spans="1:26" ht="13.5" thickBot="1">
      <c r="B86" s="2943">
        <v>102</v>
      </c>
      <c r="C86" s="2944">
        <v>103</v>
      </c>
      <c r="D86" s="2944">
        <f t="shared" si="185"/>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2582</v>
      </c>
      <c r="G88" s="2948"/>
      <c r="N88" s="2948"/>
      <c r="S88" s="2948"/>
    </row>
    <row r="89" spans="1:26" s="2947" customFormat="1">
      <c r="A89" s="2947" t="s">
        <v>2583</v>
      </c>
      <c r="G89" s="2948"/>
      <c r="N89" s="2948"/>
      <c r="S89" s="2948"/>
    </row>
    <row r="90" spans="1:26" s="2947" customFormat="1">
      <c r="A90" s="2947" t="s">
        <v>2584</v>
      </c>
      <c r="G90" s="2948"/>
      <c r="I90" s="2949"/>
      <c r="J90" s="2949"/>
      <c r="K90" s="2949"/>
      <c r="L90" s="2949"/>
      <c r="N90" s="2950"/>
      <c r="O90" s="2949"/>
      <c r="P90" s="2949"/>
      <c r="Q90" s="2949"/>
      <c r="S90" s="2950"/>
      <c r="T90" s="2949"/>
      <c r="U90" s="2949"/>
      <c r="V90" s="2949"/>
    </row>
    <row r="91" spans="1:26" s="2947" customFormat="1">
      <c r="A91" s="2947" t="s">
        <v>2585</v>
      </c>
      <c r="G91" s="2948"/>
      <c r="N91" s="2948"/>
      <c r="S91" s="2948"/>
    </row>
    <row r="98" spans="7:22" ht="13.5" thickBot="1"/>
    <row r="99" spans="7:22">
      <c r="G99" s="2850"/>
      <c r="S99" s="2951" t="s">
        <v>2586</v>
      </c>
      <c r="T99" s="2952" t="s">
        <v>2587</v>
      </c>
      <c r="U99" s="2952" t="s">
        <v>2588</v>
      </c>
      <c r="V99" s="2952" t="s">
        <v>2589</v>
      </c>
    </row>
    <row r="100" spans="7:22">
      <c r="G100" s="2850"/>
      <c r="N100" s="2874"/>
      <c r="O100" s="2875"/>
      <c r="P100" s="2875"/>
      <c r="Q100" s="2875"/>
      <c r="S100" s="2953">
        <v>2006</v>
      </c>
      <c r="T100" s="2954">
        <v>15.1</v>
      </c>
      <c r="U100" s="2954">
        <v>7.43</v>
      </c>
      <c r="V100" s="2954">
        <v>26.26</v>
      </c>
    </row>
    <row r="101" spans="7:22">
      <c r="G101" s="2850"/>
      <c r="N101" s="2874"/>
      <c r="O101" s="2875"/>
      <c r="P101" s="2875"/>
      <c r="Q101" s="2875"/>
      <c r="S101" s="2955">
        <v>2005</v>
      </c>
      <c r="T101" s="2956">
        <v>13.9</v>
      </c>
      <c r="U101" s="2956">
        <v>7.49</v>
      </c>
      <c r="V101" s="2956">
        <v>24.92</v>
      </c>
    </row>
    <row r="102" spans="7:22">
      <c r="G102" s="2850"/>
      <c r="N102" s="2874"/>
      <c r="O102" s="2875"/>
      <c r="P102" s="2875"/>
      <c r="Q102" s="2875"/>
      <c r="S102" s="2953">
        <v>2004</v>
      </c>
      <c r="T102" s="2954">
        <v>9.48</v>
      </c>
      <c r="U102" s="2954">
        <v>7.2</v>
      </c>
      <c r="V102" s="2954">
        <v>14.68</v>
      </c>
    </row>
    <row r="103" spans="7:22">
      <c r="G103" s="2850"/>
      <c r="N103" s="2874"/>
      <c r="O103" s="2875"/>
      <c r="P103" s="2875"/>
      <c r="Q103" s="2875"/>
      <c r="S103" s="2955">
        <v>2003</v>
      </c>
      <c r="T103" s="2956">
        <v>4.5</v>
      </c>
      <c r="U103" s="2956">
        <v>6.12</v>
      </c>
      <c r="V103" s="2956">
        <v>2.34</v>
      </c>
    </row>
    <row r="104" spans="7:22" ht="13.5" thickBot="1">
      <c r="G104" s="2850"/>
      <c r="N104" s="2874"/>
      <c r="O104" s="2875"/>
      <c r="P104" s="2875"/>
      <c r="Q104" s="2875"/>
      <c r="S104" s="2957">
        <v>2002</v>
      </c>
      <c r="T104" s="2958">
        <v>3.59</v>
      </c>
      <c r="U104" s="2958">
        <v>4.54</v>
      </c>
      <c r="V104" s="2958">
        <v>2.5499999999999998</v>
      </c>
    </row>
    <row r="105" spans="7:22">
      <c r="G105" s="2850"/>
      <c r="N105" s="2874"/>
      <c r="O105" s="2875"/>
      <c r="P105" s="2875"/>
      <c r="Q105" s="2875"/>
    </row>
    <row r="106" spans="7:22">
      <c r="G106" s="2850"/>
      <c r="N106" s="2874"/>
      <c r="O106" s="2875"/>
      <c r="P106" s="2875"/>
      <c r="Q106" s="2875"/>
    </row>
    <row r="107" spans="7:22">
      <c r="G107" s="2850"/>
      <c r="N107" s="2874"/>
      <c r="O107" s="2875"/>
      <c r="P107" s="2875"/>
      <c r="Q107" s="2875"/>
    </row>
    <row r="108" spans="7:22">
      <c r="G108" s="2850"/>
      <c r="N108" s="2874"/>
      <c r="O108" s="2875"/>
      <c r="P108" s="2875"/>
      <c r="Q108" s="2875"/>
    </row>
    <row r="109" spans="7:22">
      <c r="G109" s="2850"/>
      <c r="N109" s="2874"/>
      <c r="O109" s="2875"/>
      <c r="P109" s="2875"/>
      <c r="Q109" s="2875"/>
    </row>
    <row r="110" spans="7:22">
      <c r="G110" s="2850"/>
      <c r="N110" s="2874"/>
      <c r="O110" s="2875"/>
      <c r="P110" s="2875"/>
      <c r="Q110" s="2875"/>
    </row>
    <row r="111" spans="7:22">
      <c r="G111" s="2850"/>
      <c r="N111" s="2874"/>
      <c r="O111" s="2875"/>
      <c r="P111" s="2875"/>
      <c r="Q111" s="2875"/>
    </row>
    <row r="112" spans="7:22">
      <c r="G112" s="2850"/>
      <c r="N112" s="2874"/>
      <c r="O112" s="2875"/>
      <c r="P112" s="2875"/>
      <c r="Q112" s="2875"/>
    </row>
    <row r="113" spans="7:19">
      <c r="G113" s="2850"/>
      <c r="N113" s="2874"/>
      <c r="O113" s="2875"/>
      <c r="P113" s="2875"/>
      <c r="Q113" s="2875"/>
    </row>
    <row r="114" spans="7:19">
      <c r="G114" s="2850"/>
      <c r="N114" s="2874"/>
      <c r="O114" s="2875"/>
      <c r="P114" s="2875"/>
      <c r="Q114" s="2875"/>
    </row>
    <row r="115" spans="7:19">
      <c r="G115" s="2850"/>
      <c r="N115" s="2874"/>
      <c r="O115" s="2875"/>
      <c r="P115" s="2875"/>
      <c r="Q115" s="2875"/>
      <c r="S115" s="2850"/>
    </row>
    <row r="116" spans="7:19">
      <c r="G116" s="2850"/>
      <c r="N116" s="2874"/>
      <c r="O116" s="2875"/>
      <c r="P116" s="2875"/>
      <c r="Q116" s="2875"/>
      <c r="S116" s="2850"/>
    </row>
    <row r="117" spans="7:19">
      <c r="G117" s="2850"/>
      <c r="N117" s="2874"/>
      <c r="O117" s="2875"/>
      <c r="P117" s="2875"/>
      <c r="Q117" s="2875"/>
      <c r="S117" s="2850"/>
    </row>
    <row r="118" spans="7:19">
      <c r="G118" s="2850"/>
      <c r="N118" s="2874"/>
      <c r="O118" s="2875"/>
      <c r="P118" s="2875"/>
      <c r="Q118" s="2875"/>
      <c r="S118" s="2850"/>
    </row>
    <row r="119" spans="7:19">
      <c r="G119" s="2850"/>
      <c r="N119" s="2874"/>
      <c r="O119" s="2875"/>
      <c r="P119" s="2875"/>
      <c r="Q119" s="2875"/>
      <c r="S119" s="2850"/>
    </row>
    <row r="120" spans="7:19">
      <c r="G120" s="2850"/>
      <c r="N120" s="2874"/>
      <c r="O120" s="2875"/>
      <c r="P120" s="2875"/>
      <c r="Q120" s="2875"/>
      <c r="S120" s="2850"/>
    </row>
  </sheetData>
  <sheetProtection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375" style="3210" customWidth="1"/>
    <col min="3" max="3" width="12.125" style="3210" customWidth="1"/>
    <col min="4" max="4" width="16.625" style="3210" customWidth="1"/>
    <col min="5" max="5" width="12.375" style="3210" customWidth="1"/>
    <col min="6" max="6" width="12.75" style="3210" customWidth="1"/>
    <col min="7" max="16384" width="8.875" style="3210"/>
  </cols>
  <sheetData>
    <row r="1" spans="1:14" ht="20.25">
      <c r="A1" s="3213" t="s">
        <v>2884</v>
      </c>
      <c r="B1" s="3208"/>
      <c r="C1" s="3208"/>
      <c r="D1" s="3208"/>
      <c r="E1" s="3208"/>
      <c r="F1" s="3208"/>
      <c r="G1" s="3209"/>
      <c r="H1" s="3209"/>
      <c r="I1" s="3209"/>
      <c r="J1" s="3209"/>
      <c r="K1" s="3209"/>
      <c r="L1" s="3209"/>
      <c r="M1" s="3209"/>
      <c r="N1" s="3209"/>
    </row>
    <row r="2" spans="1:14" ht="14.25">
      <c r="A2" s="3214" t="s">
        <v>2879</v>
      </c>
      <c r="B2" s="3219">
        <f ca="1">SUMIF(B7:B14,"&lt;&gt;#ref!",B7:B14)</f>
        <v>0</v>
      </c>
      <c r="C2" s="3214" t="s">
        <v>2880</v>
      </c>
      <c r="D2" s="3211"/>
      <c r="E2" s="3211"/>
      <c r="F2" s="3211"/>
      <c r="G2" s="3209"/>
      <c r="H2" s="3209"/>
      <c r="I2" s="3209"/>
      <c r="J2" s="3209"/>
      <c r="K2" s="3209"/>
      <c r="L2" s="3209"/>
      <c r="M2" s="3209"/>
      <c r="N2" s="3209"/>
    </row>
    <row r="3" spans="1:14" ht="14.25">
      <c r="A3" s="3214" t="s">
        <v>2908</v>
      </c>
      <c r="B3" s="3219" t="e">
        <f ca="1">ROUND(B2*10000/E3,0)</f>
        <v>#DIV/0!</v>
      </c>
      <c r="C3" s="3214" t="s">
        <v>2043</v>
      </c>
      <c r="D3" s="3214" t="s">
        <v>2881</v>
      </c>
      <c r="E3" s="3212">
        <f ca="1">SUMIF(E7:E14,"&lt;&gt;#ref!",E7:E14)</f>
        <v>0</v>
      </c>
      <c r="F3" s="3211"/>
      <c r="G3" s="3209"/>
      <c r="H3" s="3209"/>
      <c r="I3" s="3209"/>
      <c r="J3" s="3209"/>
      <c r="K3" s="3209"/>
      <c r="L3" s="3209"/>
      <c r="M3" s="3209"/>
      <c r="N3" s="3209"/>
    </row>
    <row r="4" spans="1:14" ht="14.25">
      <c r="A4" s="3214" t="s">
        <v>2887</v>
      </c>
      <c r="B4" s="3219" t="e">
        <f ca="1">ROUND(B2*10000/E4,0)</f>
        <v>#DIV/0!</v>
      </c>
      <c r="C4" s="3214" t="s">
        <v>2043</v>
      </c>
      <c r="D4" s="3214" t="s">
        <v>2888</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2885</v>
      </c>
      <c r="B6" s="3214" t="s">
        <v>2882</v>
      </c>
      <c r="C6" s="2754"/>
      <c r="D6" s="3211"/>
      <c r="E6" s="3214" t="s">
        <v>2883</v>
      </c>
      <c r="F6" s="3214" t="s">
        <v>2886</v>
      </c>
      <c r="G6" s="3209"/>
      <c r="H6" s="3209"/>
      <c r="I6" s="3209"/>
      <c r="J6" s="3209"/>
      <c r="K6" s="3209"/>
      <c r="L6" s="3209"/>
      <c r="M6" s="3209"/>
      <c r="N6" s="3209"/>
    </row>
    <row r="7" spans="1:14" ht="14.25">
      <c r="A7" s="3217"/>
      <c r="B7" s="3219" t="e">
        <f ca="1">SUMIF(INDIRECT("'"&amp;A7&amp;"'"&amp;"!A:A"),"总价",INDIRECT("'"&amp;A7&amp;"'"&amp;"!B:B"))</f>
        <v>#REF!</v>
      </c>
      <c r="C7" s="3214" t="s">
        <v>2880</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2880</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2880</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2880</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2880</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2880</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2880</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2880</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1" customWidth="1"/>
    <col min="2" max="2" width="20.625" style="1952" customWidth="1"/>
    <col min="3" max="3" width="11.875" style="1952" customWidth="1"/>
    <col min="4" max="4" width="40.375" style="1914" customWidth="1"/>
    <col min="5" max="5" width="15.75" style="1914" customWidth="1"/>
    <col min="6" max="6" width="10.625" style="1914" customWidth="1"/>
    <col min="7" max="7" width="4.875" style="1914" customWidth="1"/>
    <col min="8" max="8" width="8.37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375" style="1913" bestFit="1" customWidth="1"/>
    <col min="15" max="15" width="8.375" style="1913" customWidth="1"/>
    <col min="16" max="16" width="30.25" style="1913" customWidth="1"/>
    <col min="17" max="17" width="13.75" style="1913" customWidth="1"/>
    <col min="18" max="18" width="22.25" style="1913" customWidth="1"/>
    <col min="19" max="19" width="1.375" style="1913" customWidth="1"/>
    <col min="20" max="25" width="9" style="1913"/>
    <col min="26" max="16384" width="9" style="1914"/>
  </cols>
  <sheetData>
    <row r="1" spans="1:25" s="1908" customFormat="1" ht="21">
      <c r="A1" s="744" t="s">
        <v>605</v>
      </c>
      <c r="B1" s="712"/>
      <c r="C1" s="745"/>
      <c r="D1" s="1904"/>
      <c r="E1" s="2212" t="s">
        <v>2334</v>
      </c>
      <c r="F1" s="2213">
        <f ca="1">J54</f>
        <v>-2</v>
      </c>
      <c r="G1" s="746">
        <f>MATCH(C1,'数据-取费表'!A6:A16,0)+5</f>
        <v>9</v>
      </c>
      <c r="H1" s="1277"/>
      <c r="I1" s="1905"/>
      <c r="J1" s="1905"/>
      <c r="K1" s="1906"/>
      <c r="L1" s="1905"/>
      <c r="M1" s="1905"/>
      <c r="N1" s="1907"/>
      <c r="O1" s="1907"/>
      <c r="P1" s="1907"/>
      <c r="Q1" s="1907"/>
      <c r="R1" s="1907"/>
      <c r="S1" s="1907"/>
      <c r="T1" s="1907"/>
      <c r="U1" s="1907"/>
      <c r="V1" s="1907"/>
      <c r="W1" s="1907"/>
      <c r="X1" s="1907"/>
      <c r="Y1" s="1907"/>
    </row>
    <row r="2" spans="1:25" ht="18" customHeight="1">
      <c r="A2" s="1545" t="s">
        <v>606</v>
      </c>
      <c r="B2" s="747">
        <f ca="1">IF(ISERROR(C45+J31),0,C45+J31)</f>
        <v>0</v>
      </c>
      <c r="C2" s="1278"/>
      <c r="D2" s="1909"/>
      <c r="E2" s="1910"/>
      <c r="F2" s="1910"/>
      <c r="G2" s="1498"/>
      <c r="H2" s="1290"/>
      <c r="I2" s="1911"/>
      <c r="J2" s="1911"/>
      <c r="K2" s="1912"/>
      <c r="L2" s="1911"/>
      <c r="M2" s="1911"/>
    </row>
    <row r="3" spans="1:25" ht="18" customHeight="1">
      <c r="A3" s="1546" t="s">
        <v>1659</v>
      </c>
      <c r="B3" s="1314">
        <f ca="1">ROUND(B2*10000/'数据-汇总表'!E3,0)</f>
        <v>0</v>
      </c>
      <c r="C3" s="1278"/>
      <c r="D3" s="1909"/>
      <c r="E3" s="1910"/>
      <c r="F3" s="1910"/>
      <c r="G3" s="1498"/>
      <c r="H3" s="748" t="s">
        <v>672</v>
      </c>
      <c r="I3" s="1911"/>
      <c r="J3" s="1911"/>
      <c r="K3" s="1912"/>
      <c r="L3" s="1911"/>
      <c r="M3" s="1911"/>
    </row>
    <row r="4" spans="1:25" ht="18" customHeight="1">
      <c r="A4" s="1547" t="s">
        <v>673</v>
      </c>
      <c r="B4" s="1279">
        <f ca="1">ROUND(B2*10000/'数据-汇总表'!D3,0)</f>
        <v>0</v>
      </c>
      <c r="C4" s="422"/>
      <c r="D4" s="1909"/>
      <c r="E4" s="1910"/>
      <c r="F4" s="1910"/>
      <c r="G4" s="1498"/>
      <c r="H4" s="748"/>
      <c r="I4" s="1911"/>
      <c r="J4" s="1911"/>
      <c r="K4" s="1912"/>
      <c r="L4" s="1911"/>
      <c r="M4" s="1911"/>
    </row>
    <row r="5" spans="1:25" ht="18" customHeight="1" thickBot="1">
      <c r="A5" s="1548"/>
      <c r="B5" s="424">
        <f ca="1">ROUND(B2/('数据-汇总表'!D3/666.67),0)</f>
        <v>0</v>
      </c>
      <c r="C5" s="425" t="s">
        <v>674</v>
      </c>
      <c r="D5" s="1909"/>
      <c r="E5" s="1910"/>
      <c r="F5" s="1910"/>
      <c r="G5" s="1498"/>
      <c r="H5" s="748"/>
      <c r="I5" s="1911"/>
      <c r="J5" s="1911"/>
      <c r="K5" s="1912"/>
      <c r="L5" s="1911"/>
      <c r="M5" s="1911"/>
    </row>
    <row r="6" spans="1:25" ht="18" customHeight="1">
      <c r="A6" s="1715" t="s">
        <v>675</v>
      </c>
      <c r="B6" s="1707" t="s">
        <v>676</v>
      </c>
      <c r="C6" s="1707" t="s">
        <v>609</v>
      </c>
      <c r="D6" s="1707" t="s">
        <v>610</v>
      </c>
      <c r="E6" s="751" t="s">
        <v>611</v>
      </c>
      <c r="F6" s="752"/>
      <c r="G6" s="1500"/>
      <c r="H6" s="1715" t="s">
        <v>607</v>
      </c>
      <c r="I6" s="1707" t="s">
        <v>608</v>
      </c>
      <c r="J6" s="1707" t="s">
        <v>609</v>
      </c>
      <c r="K6" s="1707" t="s">
        <v>610</v>
      </c>
      <c r="L6" s="751" t="s">
        <v>611</v>
      </c>
      <c r="M6" s="752"/>
    </row>
    <row r="7" spans="1:25" ht="18" customHeight="1">
      <c r="A7" s="753">
        <v>1</v>
      </c>
      <c r="B7" s="754" t="s">
        <v>2410</v>
      </c>
      <c r="C7" s="53">
        <f ca="1">C8+C12+C14</f>
        <v>0</v>
      </c>
      <c r="D7" s="2317" t="s">
        <v>2413</v>
      </c>
      <c r="E7" s="2311"/>
      <c r="F7" s="2312"/>
      <c r="G7" s="1500"/>
      <c r="H7" s="753">
        <v>1</v>
      </c>
      <c r="I7" s="754" t="s">
        <v>2410</v>
      </c>
      <c r="J7" s="53">
        <f ca="1">J8+J12+J14</f>
        <v>0</v>
      </c>
      <c r="K7" s="2317" t="s">
        <v>2413</v>
      </c>
      <c r="L7" s="2311"/>
      <c r="M7" s="2312"/>
    </row>
    <row r="8" spans="1:25" ht="18" customHeight="1">
      <c r="A8" s="1717" t="s">
        <v>1797</v>
      </c>
      <c r="B8" s="3751" t="s">
        <v>2415</v>
      </c>
      <c r="C8" s="1712">
        <f ca="1">ROUND(F8*F10*F9*(1-F11)/10000,0)</f>
        <v>0</v>
      </c>
      <c r="D8" s="1709" t="s">
        <v>2486</v>
      </c>
      <c r="E8" s="61" t="s">
        <v>614</v>
      </c>
      <c r="F8" s="757">
        <f ca="1">INDIRECT("'数据-取费表'!u"&amp;$G$1)</f>
        <v>0</v>
      </c>
      <c r="G8" s="1500"/>
      <c r="H8" s="2325" t="s">
        <v>1797</v>
      </c>
      <c r="I8" s="3751" t="s">
        <v>2415</v>
      </c>
      <c r="J8" s="755">
        <f ca="1">ROUND(M8*M10*M9*(1-M11)/10000,0)</f>
        <v>0</v>
      </c>
      <c r="K8" s="339" t="s">
        <v>2486</v>
      </c>
      <c r="L8" s="756" t="s">
        <v>1711</v>
      </c>
      <c r="M8" s="757">
        <f ca="1">INDIRECT("'数据-取费表'!z"&amp;$G$1)</f>
        <v>0</v>
      </c>
    </row>
    <row r="9" spans="1:25" ht="18" customHeight="1">
      <c r="A9" s="2321"/>
      <c r="B9" s="3752"/>
      <c r="C9" s="1713"/>
      <c r="D9" s="1710"/>
      <c r="E9" s="61" t="s">
        <v>615</v>
      </c>
      <c r="F9" s="757">
        <f ca="1">IF(INDIRECT("'数据-取费表'!ah"&amp;$G$1)="",INDIRECT("'数据-取费表'!k"&amp;$G$1),INDIRECT("'数据-取费表'!ah"&amp;$G$1))</f>
        <v>0</v>
      </c>
      <c r="G9" s="1500"/>
      <c r="H9" s="2310"/>
      <c r="I9" s="3752"/>
      <c r="J9" s="760"/>
      <c r="K9" s="761"/>
      <c r="L9" s="756" t="s">
        <v>1712</v>
      </c>
      <c r="M9" s="757">
        <f ca="1">F9</f>
        <v>0</v>
      </c>
    </row>
    <row r="10" spans="1:25" ht="18" customHeight="1">
      <c r="A10" s="2314"/>
      <c r="B10" s="3753"/>
      <c r="C10" s="1713"/>
      <c r="D10" s="1710"/>
      <c r="E10" s="61" t="s">
        <v>616</v>
      </c>
      <c r="F10" s="757">
        <f ca="1">INDIRECT("'数据-取费表'!ai"&amp;$G$1)</f>
        <v>0</v>
      </c>
      <c r="G10" s="1500"/>
      <c r="H10" s="2310"/>
      <c r="I10" s="3753"/>
      <c r="J10" s="760"/>
      <c r="K10" s="761"/>
      <c r="L10" s="756" t="s">
        <v>1713</v>
      </c>
      <c r="M10" s="757">
        <f ca="1">INDIRECT("'数据-取费表'!ai"&amp;$G$1)</f>
        <v>0</v>
      </c>
    </row>
    <row r="11" spans="1:25" ht="18" customHeight="1">
      <c r="A11" s="758"/>
      <c r="B11" s="3754"/>
      <c r="C11" s="1713"/>
      <c r="D11" s="1710"/>
      <c r="E11" s="61" t="s">
        <v>617</v>
      </c>
      <c r="F11" s="766">
        <f ca="1">INDIRECT("'数据-取费表'!w"&amp;$G$1)</f>
        <v>0</v>
      </c>
      <c r="G11" s="1500"/>
      <c r="H11" s="2326"/>
      <c r="I11" s="3753"/>
      <c r="J11" s="760"/>
      <c r="K11" s="761"/>
      <c r="L11" s="767" t="s">
        <v>1714</v>
      </c>
      <c r="M11" s="768">
        <f ca="1">INDIRECT("'数据-取费表'!ab"&amp;$G$1)</f>
        <v>0</v>
      </c>
    </row>
    <row r="12" spans="1:25" ht="18" customHeight="1">
      <c r="A12" s="1717" t="s">
        <v>1798</v>
      </c>
      <c r="B12" s="2315" t="s">
        <v>2411</v>
      </c>
      <c r="C12" s="771">
        <f ca="1">ROUND(IF(F12="押一",C8/12*F13,IF(F12="押二",C8/12*2*F13,IF(F12="押三",C8/12*3*F13,C13*F13))),0)</f>
        <v>0</v>
      </c>
      <c r="D12" s="2322" t="s">
        <v>2905</v>
      </c>
      <c r="E12" s="2319" t="s">
        <v>2416</v>
      </c>
      <c r="F12" s="2432"/>
      <c r="G12" s="1500"/>
      <c r="H12" s="2382" t="s">
        <v>1798</v>
      </c>
      <c r="I12" s="2387" t="s">
        <v>2411</v>
      </c>
      <c r="J12" s="755">
        <f ca="1">ROUND(IF(M12="押一",J8/12*M13,IF(M12="押二",J8/12*2*M13,IF(M12="押三",J8/12*3*M13,J13*M13))),0)</f>
        <v>0</v>
      </c>
      <c r="K12" s="2322" t="s">
        <v>2905</v>
      </c>
      <c r="L12" s="2319" t="s">
        <v>2416</v>
      </c>
      <c r="M12" s="2432"/>
    </row>
    <row r="13" spans="1:25" ht="18" customHeight="1">
      <c r="A13" s="762"/>
      <c r="B13" s="2316" t="s">
        <v>2525</v>
      </c>
      <c r="C13" s="2320"/>
      <c r="D13" s="761"/>
      <c r="E13" s="2319" t="s">
        <v>2408</v>
      </c>
      <c r="F13" s="768">
        <f ca="1">'数据-取费表'!B39</f>
        <v>1.4999999999999999E-2</v>
      </c>
      <c r="G13" s="1500"/>
      <c r="H13" s="2383"/>
      <c r="I13" s="2316" t="s">
        <v>2525</v>
      </c>
      <c r="J13" s="2320"/>
      <c r="K13" s="2384"/>
      <c r="L13" s="2319" t="s">
        <v>2408</v>
      </c>
      <c r="M13" s="2313">
        <f ca="1">'数据-取费表'!B39</f>
        <v>1.4999999999999999E-2</v>
      </c>
    </row>
    <row r="14" spans="1:25" ht="18" customHeight="1" thickBot="1">
      <c r="A14" s="2358" t="s">
        <v>2419</v>
      </c>
      <c r="B14" s="2359" t="s">
        <v>2412</v>
      </c>
      <c r="C14" s="2360"/>
      <c r="D14" s="2361"/>
      <c r="E14" s="2362"/>
      <c r="F14" s="2363"/>
      <c r="G14" s="1500"/>
      <c r="H14" s="2372" t="s">
        <v>2419</v>
      </c>
      <c r="I14" s="2385" t="s">
        <v>2412</v>
      </c>
      <c r="J14" s="2386"/>
      <c r="K14" s="2361"/>
      <c r="L14" s="2362"/>
      <c r="M14" s="2375"/>
    </row>
    <row r="15" spans="1:25" ht="18" customHeight="1" thickTop="1">
      <c r="A15" s="1716" t="s">
        <v>1841</v>
      </c>
      <c r="B15" s="1714" t="s">
        <v>618</v>
      </c>
      <c r="C15" s="764">
        <f ca="1">ROUND(C31*F15,0)</f>
        <v>0</v>
      </c>
      <c r="D15" s="1721" t="s">
        <v>619</v>
      </c>
      <c r="E15" s="767" t="s">
        <v>620</v>
      </c>
      <c r="F15" s="772">
        <f ca="1">INDIRECT("'数据-取费表'!y"&amp;$G$1)</f>
        <v>0</v>
      </c>
      <c r="G15" s="1500"/>
      <c r="H15" s="1716" t="s">
        <v>1799</v>
      </c>
      <c r="I15" s="1714" t="s">
        <v>621</v>
      </c>
      <c r="J15" s="1706">
        <f ca="1">ROUND(J16*J17,0)</f>
        <v>0</v>
      </c>
      <c r="K15" s="1708" t="s">
        <v>619</v>
      </c>
      <c r="L15" s="773"/>
      <c r="M15" s="774"/>
    </row>
    <row r="16" spans="1:25" ht="18" customHeight="1">
      <c r="A16" s="775" t="s">
        <v>1842</v>
      </c>
      <c r="B16" s="756" t="s">
        <v>622</v>
      </c>
      <c r="C16" s="776">
        <f ca="1">INDIRECT("'数据-取费表'!m"&amp;$G$1)+INDIRECT("'数据-取费表'!t"&amp;$G$1)</f>
        <v>0</v>
      </c>
      <c r="D16" s="1864" t="s">
        <v>623</v>
      </c>
      <c r="E16" s="1865"/>
      <c r="F16" s="777"/>
      <c r="G16" s="1500"/>
      <c r="H16" s="775" t="s">
        <v>2034</v>
      </c>
      <c r="I16" s="2081" t="s">
        <v>2775</v>
      </c>
      <c r="J16" s="53">
        <f ca="1">C31</f>
        <v>0</v>
      </c>
      <c r="K16" s="26"/>
      <c r="L16" s="773"/>
      <c r="M16" s="774"/>
    </row>
    <row r="17" spans="1:25" s="1918" customFormat="1" ht="18" customHeight="1">
      <c r="A17" s="775" t="s">
        <v>1822</v>
      </c>
      <c r="B17" s="756" t="s">
        <v>624</v>
      </c>
      <c r="C17" s="53">
        <f ca="1">ROUND(C16*F17,0)</f>
        <v>0</v>
      </c>
      <c r="D17" s="778" t="s">
        <v>625</v>
      </c>
      <c r="E17" s="778" t="s">
        <v>626</v>
      </c>
      <c r="F17" s="779">
        <f>'数据-取费表'!B33</f>
        <v>0.03</v>
      </c>
      <c r="G17" s="1501"/>
      <c r="H17" s="775" t="s">
        <v>2035</v>
      </c>
      <c r="I17" s="756" t="s">
        <v>620</v>
      </c>
      <c r="J17" s="780">
        <f ca="1">INDIRECT("'数据-取费表'!ad"&amp;$G$1)</f>
        <v>0</v>
      </c>
      <c r="K17" s="26"/>
      <c r="L17" s="773"/>
      <c r="M17" s="774"/>
      <c r="N17" s="1917"/>
      <c r="O17" s="1917"/>
      <c r="P17" s="1917"/>
      <c r="Q17" s="1917"/>
      <c r="R17" s="1917"/>
      <c r="S17" s="1917"/>
      <c r="T17" s="1917"/>
      <c r="U17" s="1917"/>
      <c r="V17" s="1917"/>
      <c r="W17" s="1917"/>
      <c r="X17" s="1917"/>
      <c r="Y17" s="1917"/>
    </row>
    <row r="18" spans="1:25" ht="18" customHeight="1">
      <c r="A18" s="775" t="s">
        <v>1823</v>
      </c>
      <c r="B18" s="756" t="s">
        <v>627</v>
      </c>
      <c r="C18" s="53">
        <f ca="1">ROUND(INDIRECT("'数据-取费表'!m"&amp;$G$1)*F18,0)</f>
        <v>0</v>
      </c>
      <c r="D18" s="756" t="s">
        <v>625</v>
      </c>
      <c r="E18" s="756" t="s">
        <v>626</v>
      </c>
      <c r="F18" s="781">
        <f ca="1">IF(INDIRECT("'数据-取费表'!c"&amp;$G$1)="住宅",'数据-取费表'!B34,0)</f>
        <v>0</v>
      </c>
      <c r="G18" s="1500"/>
      <c r="H18" s="769" t="s">
        <v>1800</v>
      </c>
      <c r="I18" s="770" t="s">
        <v>628</v>
      </c>
      <c r="J18" s="771">
        <f ca="1">ROUND(J19+J24+J25+J26,0)</f>
        <v>0</v>
      </c>
      <c r="K18" s="26" t="s">
        <v>629</v>
      </c>
      <c r="L18" s="1867"/>
      <c r="M18" s="56"/>
    </row>
    <row r="19" spans="1:25" s="1918" customFormat="1" ht="18" customHeight="1">
      <c r="A19" s="775" t="s">
        <v>1824</v>
      </c>
      <c r="B19" s="756" t="s">
        <v>630</v>
      </c>
      <c r="C19" s="53">
        <f ca="1">ROUND(F19*(INDIRECT("'数据-取费表'!k"&amp;$G$1)+INDIRECT("'数据-取费表'!S"&amp;$G$1))/10000,0)</f>
        <v>0</v>
      </c>
      <c r="D19" s="756" t="s">
        <v>631</v>
      </c>
      <c r="E19" s="756" t="s">
        <v>632</v>
      </c>
      <c r="F19" s="56">
        <f>'数据-取费表'!B35</f>
        <v>200</v>
      </c>
      <c r="G19" s="1501"/>
      <c r="H19" s="775" t="s">
        <v>2034</v>
      </c>
      <c r="I19" s="756" t="s">
        <v>633</v>
      </c>
      <c r="J19" s="2982">
        <f ca="1">ROUND(IF(AND(项目基本情况!B11="自然人",项目基本情况!B10="北京市"),J8*M19/(1+'数据-取费表'!C42),J20+J21+J22),0)</f>
        <v>0</v>
      </c>
      <c r="K19" s="1864" t="s">
        <v>634</v>
      </c>
      <c r="L19" s="1862" t="s">
        <v>635</v>
      </c>
      <c r="M19" s="2981">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5" t="s">
        <v>1825</v>
      </c>
      <c r="B20" s="756" t="s">
        <v>636</v>
      </c>
      <c r="C20" s="53">
        <f ca="1">ROUND(C16*F20,0)</f>
        <v>0</v>
      </c>
      <c r="D20" s="756" t="s">
        <v>625</v>
      </c>
      <c r="E20" s="756" t="s">
        <v>626</v>
      </c>
      <c r="F20" s="781">
        <f>'数据-取费表'!B36</f>
        <v>1.4999999999999999E-2</v>
      </c>
      <c r="G20" s="1501"/>
      <c r="H20" s="775" t="s">
        <v>1804</v>
      </c>
      <c r="I20" s="756" t="s">
        <v>637</v>
      </c>
      <c r="J20" s="53">
        <f ca="1">ROUND(J8*M20/(1+'数据-取费表'!C42),1)</f>
        <v>0</v>
      </c>
      <c r="K20" s="1862" t="s">
        <v>638</v>
      </c>
      <c r="L20" s="756" t="s">
        <v>626</v>
      </c>
      <c r="M20" s="781">
        <f>'数据-取费表'!B41</f>
        <v>5.5000000000000007E-2</v>
      </c>
      <c r="N20" s="1917"/>
      <c r="O20" s="1917"/>
      <c r="P20" s="1917"/>
      <c r="Q20" s="1917"/>
      <c r="R20" s="1917"/>
      <c r="S20" s="1917"/>
      <c r="T20" s="1917"/>
      <c r="U20" s="1917"/>
      <c r="V20" s="1917"/>
      <c r="W20" s="1917"/>
      <c r="X20" s="1917"/>
      <c r="Y20" s="1917"/>
    </row>
    <row r="21" spans="1:25" ht="18" customHeight="1">
      <c r="A21" s="775" t="s">
        <v>1843</v>
      </c>
      <c r="B21" s="756" t="s">
        <v>639</v>
      </c>
      <c r="C21" s="53">
        <f ca="1">SUM(C16:C20)</f>
        <v>0</v>
      </c>
      <c r="D21" s="259" t="s">
        <v>640</v>
      </c>
      <c r="E21" s="1867"/>
      <c r="F21" s="56"/>
      <c r="G21" s="1500"/>
      <c r="H21" s="1717" t="s">
        <v>1822</v>
      </c>
      <c r="I21" s="756" t="s">
        <v>641</v>
      </c>
      <c r="J21" s="53">
        <f ca="1">IF(K21="按租金收入计税",ROUND(J8*M21/(1+'数据-取费表'!C42),1),ROUND(C31*F35*0.7,1))</f>
        <v>0</v>
      </c>
      <c r="K21" s="782" t="s">
        <v>642</v>
      </c>
      <c r="L21" s="756" t="s">
        <v>626</v>
      </c>
      <c r="M21" s="781">
        <f>IF(K21="按租金收入计税",'数据-取费表'!B51,'数据-取费表'!B50)</f>
        <v>1.2E-2</v>
      </c>
    </row>
    <row r="22" spans="1:25" s="1918" customFormat="1" ht="18" customHeight="1">
      <c r="A22" s="775" t="s">
        <v>1844</v>
      </c>
      <c r="B22" s="756" t="s">
        <v>643</v>
      </c>
      <c r="C22" s="53">
        <f ca="1">ROUND(C21*F22,0)</f>
        <v>0</v>
      </c>
      <c r="D22" s="783" t="s">
        <v>644</v>
      </c>
      <c r="E22" s="756" t="s">
        <v>626</v>
      </c>
      <c r="F22" s="781">
        <f>'数据-取费表'!B37</f>
        <v>0.01</v>
      </c>
      <c r="G22" s="1501"/>
      <c r="H22" s="1719" t="s">
        <v>1823</v>
      </c>
      <c r="I22" s="1709" t="s">
        <v>645</v>
      </c>
      <c r="J22" s="54">
        <f ca="1">ROUND(M22*M23/10000,0)</f>
        <v>0</v>
      </c>
      <c r="K22" s="785" t="s">
        <v>646</v>
      </c>
      <c r="L22" s="756" t="s">
        <v>647</v>
      </c>
      <c r="M22" s="614">
        <f>'数据-取费表'!B52</f>
        <v>1.5</v>
      </c>
      <c r="N22" s="1917"/>
      <c r="O22" s="1917"/>
      <c r="P22" s="1917"/>
      <c r="Q22" s="1917"/>
      <c r="R22" s="1917"/>
      <c r="S22" s="1917"/>
      <c r="T22" s="1917"/>
      <c r="U22" s="1917"/>
      <c r="V22" s="1917"/>
      <c r="W22" s="1917"/>
      <c r="X22" s="1917"/>
      <c r="Y22" s="1917"/>
    </row>
    <row r="23" spans="1:25" s="1918" customFormat="1" ht="18" customHeight="1">
      <c r="A23" s="775" t="s">
        <v>1845</v>
      </c>
      <c r="B23" s="756" t="s">
        <v>648</v>
      </c>
      <c r="C23" s="53" t="s">
        <v>1</v>
      </c>
      <c r="D23" s="783" t="s">
        <v>649</v>
      </c>
      <c r="E23" s="756" t="s">
        <v>650</v>
      </c>
      <c r="F23" s="781">
        <f>'数据-取费表'!B38</f>
        <v>0.01</v>
      </c>
      <c r="G23" s="1501"/>
      <c r="H23" s="1720"/>
      <c r="I23" s="1711"/>
      <c r="J23" s="69"/>
      <c r="K23" s="787"/>
      <c r="L23" s="756" t="s">
        <v>651</v>
      </c>
      <c r="M23" s="757">
        <f ca="1">INDIRECT("'数据-取费表'!r"&amp;$G$1)</f>
        <v>0</v>
      </c>
      <c r="N23" s="1917"/>
      <c r="O23" s="1917"/>
      <c r="P23" s="1917"/>
      <c r="Q23" s="1917"/>
      <c r="R23" s="1917"/>
      <c r="S23" s="1917"/>
      <c r="T23" s="1917"/>
      <c r="U23" s="1917"/>
      <c r="V23" s="1917"/>
      <c r="W23" s="1917"/>
      <c r="X23" s="1917"/>
      <c r="Y23" s="1917"/>
    </row>
    <row r="24" spans="1:25" ht="18" customHeight="1">
      <c r="A24" s="775" t="s">
        <v>1846</v>
      </c>
      <c r="B24" s="756" t="s">
        <v>652</v>
      </c>
      <c r="C24" s="53"/>
      <c r="D24" s="2391" t="str">
        <f>IF(F25&lt;=1,"单利计息。","复利计息。")&amp;"建造成本、管理费用、销售费用产生的利息。"</f>
        <v>复利计息。建造成本、管理费用、销售费用产生的利息。</v>
      </c>
      <c r="E24" s="1867"/>
      <c r="F24" s="56"/>
      <c r="G24" s="1500"/>
      <c r="H24" s="1718" t="s">
        <v>2035</v>
      </c>
      <c r="I24" s="756" t="s">
        <v>653</v>
      </c>
      <c r="J24" s="53">
        <f ca="1">ROUND(J16*M24,0)</f>
        <v>0</v>
      </c>
      <c r="K24" s="1862" t="s">
        <v>654</v>
      </c>
      <c r="L24" s="756" t="s">
        <v>626</v>
      </c>
      <c r="M24" s="788">
        <f ca="1">INDIRECT("'数据-取费表'!Ak"&amp;$G$1)</f>
        <v>0</v>
      </c>
    </row>
    <row r="25" spans="1:25" s="1918" customFormat="1" ht="18" customHeight="1">
      <c r="A25" s="775" t="s">
        <v>1842</v>
      </c>
      <c r="B25" s="756" t="s">
        <v>2391</v>
      </c>
      <c r="C25" s="53">
        <f ca="1">ROUND(IF('数据-取费表'!B22&lt;=1,(C21+C22)*F26*F25/2,(C21+C22)*(POWER((1+F26),F25/2)-1)),0)</f>
        <v>0</v>
      </c>
      <c r="D25" s="2390" t="str">
        <f>IF(F25&lt;=1,"(建造成本+管理费用)×利率×(建设周期÷2)","(建造成本+管理费用)×((1+利率)^(建设周期÷2)-1)")</f>
        <v>(建造成本+管理费用)×((1+利率)^(建设周期÷2)-1)</v>
      </c>
      <c r="E25" s="756" t="s">
        <v>655</v>
      </c>
      <c r="F25" s="614">
        <f>'数据-取费表'!B20</f>
        <v>2</v>
      </c>
      <c r="G25" s="1501"/>
      <c r="H25" s="775" t="s">
        <v>1845</v>
      </c>
      <c r="I25" s="756" t="s">
        <v>656</v>
      </c>
      <c r="J25" s="53">
        <f ca="1">ROUND(J15*M25,0)</f>
        <v>0</v>
      </c>
      <c r="K25" s="1862" t="s">
        <v>657</v>
      </c>
      <c r="L25" s="756" t="s">
        <v>626</v>
      </c>
      <c r="M25" s="789">
        <f ca="1">INDIRECT("'数据-取费表'!Al"&amp;$G$1)</f>
        <v>0</v>
      </c>
      <c r="N25" s="1917"/>
      <c r="O25" s="1917"/>
      <c r="P25" s="1917"/>
      <c r="Q25" s="1917"/>
      <c r="R25" s="1917"/>
      <c r="S25" s="1917"/>
      <c r="T25" s="1917"/>
      <c r="U25" s="1917"/>
      <c r="V25" s="1917"/>
      <c r="W25" s="1917"/>
      <c r="X25" s="1917"/>
      <c r="Y25" s="1917"/>
    </row>
    <row r="26" spans="1:25" s="1918" customFormat="1" ht="18" customHeight="1">
      <c r="A26" s="775" t="s">
        <v>1822</v>
      </c>
      <c r="B26" s="756" t="s">
        <v>658</v>
      </c>
      <c r="C26" s="53">
        <f ca="1">ROUND(IF('数据-取费表'!B22&lt;=1,F23*F26*F25/2,F23*(POWER((1+F26),F25/2)-1)),4)</f>
        <v>5.0000000000000001E-4</v>
      </c>
      <c r="D26" s="2390" t="str">
        <f>IF(F25&lt;=1,"销售费用×利率×(建设周期÷2)","销售费用×((1+利率)^(建设周期÷2)-1)")</f>
        <v>销售费用×((1+利率)^(建设周期÷2)-1)</v>
      </c>
      <c r="E26" s="756" t="s">
        <v>659</v>
      </c>
      <c r="F26" s="790">
        <f ca="1">'数据-取费表'!B40</f>
        <v>4.7500000000000001E-2</v>
      </c>
      <c r="G26" s="1501"/>
      <c r="H26" s="775" t="s">
        <v>1846</v>
      </c>
      <c r="I26" s="756" t="s">
        <v>643</v>
      </c>
      <c r="J26" s="53">
        <f ca="1">ROUND(J7*M26,0)</f>
        <v>0</v>
      </c>
      <c r="K26" s="1862" t="s">
        <v>660</v>
      </c>
      <c r="L26" s="756" t="s">
        <v>626</v>
      </c>
      <c r="M26" s="766">
        <f ca="1">INDIRECT("'数据-取费表'!Am"&amp;$G$1)</f>
        <v>0</v>
      </c>
      <c r="N26" s="1917"/>
      <c r="O26" s="1917"/>
      <c r="P26" s="1917"/>
      <c r="Q26" s="1917"/>
      <c r="R26" s="1917"/>
      <c r="S26" s="1917"/>
      <c r="T26" s="1917"/>
      <c r="U26" s="1917"/>
      <c r="V26" s="1917"/>
      <c r="W26" s="1917"/>
      <c r="X26" s="1917"/>
      <c r="Y26" s="1917"/>
    </row>
    <row r="27" spans="1:25" ht="18" customHeight="1">
      <c r="A27" s="775" t="s">
        <v>1848</v>
      </c>
      <c r="B27" s="756" t="s">
        <v>661</v>
      </c>
      <c r="C27" s="53"/>
      <c r="D27" s="259" t="s">
        <v>662</v>
      </c>
      <c r="E27" s="1867"/>
      <c r="F27" s="56"/>
      <c r="G27" s="1500"/>
      <c r="H27" s="769" t="s">
        <v>1801</v>
      </c>
      <c r="I27" s="2691" t="s">
        <v>2772</v>
      </c>
      <c r="J27" s="771">
        <f ca="1">J7-J18</f>
        <v>0</v>
      </c>
      <c r="K27" s="1864" t="s">
        <v>677</v>
      </c>
      <c r="L27" s="1866"/>
      <c r="M27" s="791"/>
    </row>
    <row r="28" spans="1:25" ht="18" customHeight="1">
      <c r="A28" s="775" t="s">
        <v>1842</v>
      </c>
      <c r="B28" s="756" t="s">
        <v>2392</v>
      </c>
      <c r="C28" s="53">
        <f ca="1">ROUND((C21+C22)*F28,0)</f>
        <v>0</v>
      </c>
      <c r="D28" s="783" t="s">
        <v>678</v>
      </c>
      <c r="E28" s="767" t="s">
        <v>679</v>
      </c>
      <c r="F28" s="766">
        <f ca="1">INDIRECT("'数据-取费表'!q"&amp;$G$1)</f>
        <v>0</v>
      </c>
      <c r="G28" s="1500"/>
      <c r="H28" s="753" t="s">
        <v>1810</v>
      </c>
      <c r="I28" s="754" t="s">
        <v>680</v>
      </c>
      <c r="J28" s="755">
        <f ca="1">IF(J7&lt;&gt;0,ROUND(J27*(1-((1+M30)/(1+M28))^M29)/(M28-M30),0),0)</f>
        <v>0</v>
      </c>
      <c r="K28" s="785" t="s">
        <v>681</v>
      </c>
      <c r="L28" s="756" t="s">
        <v>682</v>
      </c>
      <c r="M28" s="766">
        <f ca="1">INDIRECT("'数据-取费表'!I"&amp;$G$1)</f>
        <v>0</v>
      </c>
    </row>
    <row r="29" spans="1:25" ht="18" customHeight="1">
      <c r="A29" s="775" t="s">
        <v>1822</v>
      </c>
      <c r="B29" s="756" t="s">
        <v>663</v>
      </c>
      <c r="C29" s="53">
        <f ca="1">ROUND(F23*F28,4)</f>
        <v>0</v>
      </c>
      <c r="D29" s="783" t="s">
        <v>683</v>
      </c>
      <c r="E29" s="778"/>
      <c r="F29" s="779"/>
      <c r="G29" s="1500"/>
      <c r="H29" s="758"/>
      <c r="I29" s="759"/>
      <c r="J29" s="760"/>
      <c r="K29" s="792" t="s">
        <v>684</v>
      </c>
      <c r="L29" s="756" t="s">
        <v>685</v>
      </c>
      <c r="M29" s="793">
        <f ca="1">INDIRECT("'数据-取费表'!ag"&amp;$G$1)</f>
        <v>0</v>
      </c>
    </row>
    <row r="30" spans="1:25" s="1918" customFormat="1" ht="18" customHeight="1">
      <c r="A30" s="775" t="s">
        <v>1849</v>
      </c>
      <c r="B30" s="756" t="s">
        <v>664</v>
      </c>
      <c r="C30" s="53">
        <f>ROUND(F30/(1+'数据-取费表'!C42),4)</f>
        <v>5.2400000000000002E-2</v>
      </c>
      <c r="D30" s="783" t="s">
        <v>686</v>
      </c>
      <c r="E30" s="756" t="s">
        <v>626</v>
      </c>
      <c r="F30" s="781">
        <f>'数据-取费表'!B41</f>
        <v>5.5000000000000007E-2</v>
      </c>
      <c r="G30" s="1501"/>
      <c r="H30" s="762"/>
      <c r="I30" s="763"/>
      <c r="J30" s="764"/>
      <c r="K30" s="787"/>
      <c r="L30" s="756" t="s">
        <v>687</v>
      </c>
      <c r="M30" s="766">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1850</v>
      </c>
      <c r="B31" s="2362" t="s">
        <v>2773</v>
      </c>
      <c r="C31" s="2365">
        <f ca="1">ROUND((C21+C22+C25+C28)/(1-F23-C26-C29-C30),0)</f>
        <v>0</v>
      </c>
      <c r="D31" s="2366"/>
      <c r="E31" s="2367"/>
      <c r="F31" s="2368"/>
      <c r="G31" s="1501"/>
      <c r="H31" s="794" t="s">
        <v>1839</v>
      </c>
      <c r="I31" s="2692" t="s">
        <v>2774</v>
      </c>
      <c r="J31" s="796">
        <f ca="1">ROUND(J28/(1+F45)^F46,0)</f>
        <v>0</v>
      </c>
      <c r="K31" s="797" t="s">
        <v>665</v>
      </c>
      <c r="L31" s="798"/>
      <c r="M31" s="799">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666</v>
      </c>
      <c r="C32" s="764">
        <f ca="1">ROUND(C33+C38+C39+C40,0)</f>
        <v>0</v>
      </c>
      <c r="D32" s="1708" t="s">
        <v>629</v>
      </c>
      <c r="E32" s="2308"/>
      <c r="F32" s="2312"/>
      <c r="G32" s="1916"/>
      <c r="H32" s="1919"/>
      <c r="I32" s="1920"/>
      <c r="J32" s="1921"/>
      <c r="K32" s="1922"/>
      <c r="L32" s="1923"/>
      <c r="M32" s="1924"/>
    </row>
    <row r="33" spans="1:18" ht="18" customHeight="1">
      <c r="A33" s="775" t="s">
        <v>1843</v>
      </c>
      <c r="B33" s="756" t="s">
        <v>633</v>
      </c>
      <c r="C33" s="2982">
        <f ca="1">ROUND(IF(AND(项目基本情况!B11="自然人",项目基本情况!B10="北京市"),C8*F33/(1+'数据-取费表'!C42),C34+C35+C36),0)</f>
        <v>0</v>
      </c>
      <c r="D33" s="1864" t="s">
        <v>634</v>
      </c>
      <c r="E33" s="1862" t="s">
        <v>667</v>
      </c>
      <c r="F33" s="2981">
        <f ca="1">IF(项目基本情况!B11="企业","——",IF('数据-取费表'!B10="住宅",IF(F8*F9*F10/12/(1+'数据-取费表'!F30)&gt;100000,4%,2.5%),IF(F8*F9*F10/12/(1+'数据-取费表'!F30)&gt;100000,12%,7%)))</f>
        <v>7.0000000000000007E-2</v>
      </c>
      <c r="G33" s="1916"/>
      <c r="H33" s="3220" t="s">
        <v>2959</v>
      </c>
      <c r="I33" s="1920"/>
      <c r="J33" s="1921"/>
      <c r="K33" s="1922"/>
      <c r="L33" s="1923"/>
      <c r="M33" s="1924"/>
    </row>
    <row r="34" spans="1:18" ht="18" customHeight="1">
      <c r="A34" s="775" t="s">
        <v>1842</v>
      </c>
      <c r="B34" s="756" t="s">
        <v>637</v>
      </c>
      <c r="C34" s="53">
        <f ca="1">ROUND(C8*F34/(1+'数据-取费表'!C42),1)</f>
        <v>0</v>
      </c>
      <c r="D34" s="1862" t="s">
        <v>638</v>
      </c>
      <c r="E34" s="756" t="s">
        <v>626</v>
      </c>
      <c r="F34" s="781">
        <f>'数据-取费表'!B41</f>
        <v>5.5000000000000007E-2</v>
      </c>
      <c r="G34" s="1916"/>
      <c r="H34" s="1925"/>
      <c r="I34" s="1926"/>
      <c r="J34" s="1927"/>
      <c r="K34" s="1928"/>
      <c r="L34" s="1929"/>
      <c r="M34" s="1930"/>
    </row>
    <row r="35" spans="1:18" ht="18" customHeight="1">
      <c r="A35" s="775" t="s">
        <v>1822</v>
      </c>
      <c r="B35" s="756" t="s">
        <v>641</v>
      </c>
      <c r="C35" s="53">
        <f ca="1">IF(D35="按租金收入计税",ROUND(C8*F35/(1+'数据-取费表'!C42),1),IF(D35="按房产原值计税",ROUND(C31*F35*0.7,1),INDIRECT("'数据-取费表'!Aj"&amp;$G$1)))</f>
        <v>0</v>
      </c>
      <c r="D35" s="782" t="s">
        <v>1653</v>
      </c>
      <c r="E35" s="756" t="s">
        <v>626</v>
      </c>
      <c r="F35" s="781">
        <f>IF(D35="按租金收入计税",'数据-取费表'!B51,'数据-取费表'!B50)</f>
        <v>1.2E-2</v>
      </c>
      <c r="G35" s="1916"/>
      <c r="H35" s="1931"/>
      <c r="I35" s="1931"/>
      <c r="J35" s="1931"/>
      <c r="K35" s="1932"/>
      <c r="L35" s="1931"/>
      <c r="M35" s="1931"/>
    </row>
    <row r="36" spans="1:18" ht="18" customHeight="1">
      <c r="A36" s="784" t="s">
        <v>1847</v>
      </c>
      <c r="B36" s="339" t="s">
        <v>645</v>
      </c>
      <c r="C36" s="54">
        <f ca="1">ROUND(F36*F37/10000,1)</f>
        <v>0</v>
      </c>
      <c r="D36" s="785" t="s">
        <v>646</v>
      </c>
      <c r="E36" s="756" t="s">
        <v>647</v>
      </c>
      <c r="F36" s="614">
        <f>'数据-取费表'!B52</f>
        <v>1.5</v>
      </c>
      <c r="G36" s="1916"/>
      <c r="H36" s="1919"/>
      <c r="I36" s="3833"/>
      <c r="J36" s="1933"/>
      <c r="K36" s="1934"/>
      <c r="L36" s="1933"/>
      <c r="M36" s="1933"/>
    </row>
    <row r="37" spans="1:18" ht="18" customHeight="1">
      <c r="A37" s="786"/>
      <c r="B37" s="765"/>
      <c r="C37" s="69"/>
      <c r="D37" s="787"/>
      <c r="E37" s="756" t="s">
        <v>651</v>
      </c>
      <c r="F37" s="757">
        <f ca="1">INDIRECT("'数据-取费表'!r"&amp;$G$1)</f>
        <v>0</v>
      </c>
      <c r="G37" s="1916"/>
      <c r="H37" s="1919"/>
      <c r="I37" s="3833"/>
      <c r="J37" s="1931"/>
      <c r="K37" s="1932"/>
      <c r="L37" s="1931"/>
      <c r="M37" s="1931"/>
    </row>
    <row r="38" spans="1:18" ht="18" customHeight="1">
      <c r="A38" s="775" t="s">
        <v>1844</v>
      </c>
      <c r="B38" s="756" t="s">
        <v>653</v>
      </c>
      <c r="C38" s="53">
        <f ca="1">ROUND(C31*F38,1)</f>
        <v>0</v>
      </c>
      <c r="D38" s="1862" t="s">
        <v>668</v>
      </c>
      <c r="E38" s="756" t="s">
        <v>626</v>
      </c>
      <c r="F38" s="788">
        <f ca="1">INDIRECT("'数据-取费表'!Ak"&amp;$G$1)</f>
        <v>0</v>
      </c>
      <c r="G38" s="1916"/>
      <c r="H38" s="1931"/>
      <c r="I38" s="2985"/>
      <c r="J38" s="1871"/>
      <c r="K38" s="1935"/>
      <c r="L38" s="1931"/>
      <c r="M38" s="1931"/>
    </row>
    <row r="39" spans="1:18" ht="18" customHeight="1">
      <c r="A39" s="775" t="s">
        <v>1845</v>
      </c>
      <c r="B39" s="756" t="s">
        <v>656</v>
      </c>
      <c r="C39" s="53">
        <f ca="1">ROUND(C15*F39,1)</f>
        <v>0</v>
      </c>
      <c r="D39" s="1862" t="s">
        <v>657</v>
      </c>
      <c r="E39" s="756" t="s">
        <v>626</v>
      </c>
      <c r="F39" s="789">
        <f ca="1">INDIRECT("'数据-取费表'!Al"&amp;$G$1)</f>
        <v>0</v>
      </c>
      <c r="G39" s="1916"/>
      <c r="H39" s="1931"/>
      <c r="I39" s="2985"/>
      <c r="J39" s="1871"/>
      <c r="K39" s="1935"/>
      <c r="L39" s="1931"/>
      <c r="M39" s="1931"/>
    </row>
    <row r="40" spans="1:18" ht="18" customHeight="1" thickBot="1">
      <c r="A40" s="2381" t="s">
        <v>1846</v>
      </c>
      <c r="B40" s="2367" t="s">
        <v>643</v>
      </c>
      <c r="C40" s="2365">
        <f ca="1">ROUND(C7*F40,1)</f>
        <v>0</v>
      </c>
      <c r="D40" s="2366" t="s">
        <v>660</v>
      </c>
      <c r="E40" s="2367" t="s">
        <v>626</v>
      </c>
      <c r="F40" s="2363">
        <f ca="1">INDIRECT("'数据-取费表'!Am"&amp;$G$1)</f>
        <v>0</v>
      </c>
      <c r="G40" s="1916"/>
      <c r="H40" s="1931"/>
      <c r="I40" s="2985"/>
      <c r="J40" s="1871"/>
      <c r="K40" s="1936"/>
      <c r="L40" s="1931"/>
      <c r="M40" s="1931"/>
    </row>
    <row r="41" spans="1:18" ht="18" customHeight="1" thickTop="1">
      <c r="A41" s="1716">
        <v>4</v>
      </c>
      <c r="B41" s="1714" t="s">
        <v>669</v>
      </c>
      <c r="C41" s="1280"/>
      <c r="D41" s="1281"/>
      <c r="E41" s="1281"/>
      <c r="F41" s="1282"/>
      <c r="G41" s="1916"/>
      <c r="H41" s="1916"/>
      <c r="I41" s="1916"/>
      <c r="J41" s="1916"/>
      <c r="K41" s="1936"/>
      <c r="L41" s="1916"/>
      <c r="M41" s="1916"/>
    </row>
    <row r="42" spans="1:18" ht="18" customHeight="1">
      <c r="A42" s="775" t="s">
        <v>1843</v>
      </c>
      <c r="B42" s="806" t="s">
        <v>670</v>
      </c>
      <c r="C42" s="800">
        <f ca="1">C7-C32</f>
        <v>0</v>
      </c>
      <c r="D42" s="1864" t="s">
        <v>671</v>
      </c>
      <c r="E42" s="1866"/>
      <c r="F42" s="791"/>
      <c r="G42" s="1916"/>
      <c r="H42" s="1916"/>
      <c r="I42" s="1916"/>
      <c r="J42" s="1916"/>
      <c r="K42" s="1936"/>
      <c r="L42" s="1916"/>
      <c r="M42" s="1916"/>
    </row>
    <row r="43" spans="1:18" ht="18" customHeight="1">
      <c r="A43" s="775" t="s">
        <v>1844</v>
      </c>
      <c r="B43" s="806" t="s">
        <v>688</v>
      </c>
      <c r="C43" s="807">
        <f ca="1">ROUND(C15*F43,0)</f>
        <v>0</v>
      </c>
      <c r="D43" s="1283" t="s">
        <v>689</v>
      </c>
      <c r="E43" s="2759" t="s">
        <v>2895</v>
      </c>
      <c r="F43" s="2760">
        <f ca="1">INDIRECT("'数据-取费表'!j"&amp;$G$1)</f>
        <v>0</v>
      </c>
      <c r="G43" s="1916"/>
      <c r="H43" s="1916"/>
      <c r="I43" s="1916"/>
      <c r="J43" s="1916"/>
      <c r="K43" s="1936"/>
      <c r="L43" s="1916"/>
      <c r="M43" s="1916"/>
    </row>
    <row r="44" spans="1:18" ht="18" customHeight="1">
      <c r="A44" s="775" t="s">
        <v>1845</v>
      </c>
      <c r="B44" s="806" t="s">
        <v>690</v>
      </c>
      <c r="C44" s="1284">
        <f ca="1">C42-C43</f>
        <v>0</v>
      </c>
      <c r="D44" s="456" t="s">
        <v>691</v>
      </c>
      <c r="E44" s="457"/>
      <c r="F44" s="458"/>
      <c r="G44" s="1916"/>
      <c r="H44" s="1916"/>
      <c r="I44" s="1916"/>
      <c r="J44" s="1916"/>
      <c r="K44" s="1936"/>
      <c r="L44" s="1916"/>
      <c r="M44" s="1916"/>
    </row>
    <row r="45" spans="1:18" ht="18" customHeight="1">
      <c r="A45" s="775" t="s">
        <v>1846</v>
      </c>
      <c r="B45" s="1283" t="s">
        <v>692</v>
      </c>
      <c r="C45" s="2715">
        <f ca="1">ROUND(-PV(F45,F46,C44,0),0)</f>
        <v>0</v>
      </c>
      <c r="D45" s="1285" t="s">
        <v>693</v>
      </c>
      <c r="E45" s="778" t="s">
        <v>694</v>
      </c>
      <c r="F45" s="801">
        <f ca="1">INDIRECT("'数据-取费表'!h"&amp;$G$1)</f>
        <v>0</v>
      </c>
      <c r="G45" s="1916"/>
      <c r="H45" s="1916"/>
      <c r="I45" s="1916"/>
      <c r="J45" s="1916"/>
      <c r="K45" s="1936"/>
      <c r="L45" s="1916"/>
      <c r="M45" s="1916"/>
    </row>
    <row r="46" spans="1:18" ht="18" customHeight="1" thickBot="1">
      <c r="A46" s="802"/>
      <c r="B46" s="1286"/>
      <c r="C46" s="1287"/>
      <c r="D46" s="1288"/>
      <c r="E46" s="2761" t="s">
        <v>2898</v>
      </c>
      <c r="F46" s="799">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2303</v>
      </c>
      <c r="J47" s="2204"/>
      <c r="K47" s="2205"/>
      <c r="L47" s="2775" t="str">
        <f ca="1">IF(M48="住宅",0,IF(L49&gt;J52,L61,J61))</f>
        <v>0</v>
      </c>
      <c r="O47" s="2219" t="s">
        <v>2370</v>
      </c>
      <c r="P47" s="1500"/>
      <c r="Q47" s="1508"/>
      <c r="R47" s="1500"/>
    </row>
    <row r="48" spans="1:18" s="1913" customFormat="1" ht="18" customHeight="1" thickBot="1">
      <c r="A48" s="1937"/>
      <c r="C48" s="1940"/>
      <c r="D48" s="1941"/>
      <c r="E48" s="1941"/>
      <c r="F48" s="1942"/>
      <c r="G48" s="1943"/>
      <c r="I48" s="2766" t="s">
        <v>2304</v>
      </c>
      <c r="J48" s="2206"/>
      <c r="K48" s="2772" t="s">
        <v>2309</v>
      </c>
      <c r="L48" s="2776">
        <f ca="1">INDIRECT("'数据-取费表'!d"&amp;$G$1)</f>
        <v>0</v>
      </c>
      <c r="M48" s="2758" t="str">
        <f>IF(ISNUMBER(FIND("住宅",C1)),"住宅","非住宅")</f>
        <v>非住宅</v>
      </c>
      <c r="O48" s="2220" t="s">
        <v>2335</v>
      </c>
      <c r="P48" s="2221" t="s">
        <v>2336</v>
      </c>
      <c r="Q48" s="2222" t="s">
        <v>2337</v>
      </c>
      <c r="R48" s="2221" t="s">
        <v>2338</v>
      </c>
    </row>
    <row r="49" spans="1:18" s="1913" customFormat="1" ht="18" customHeight="1" thickBot="1">
      <c r="A49" s="1937"/>
      <c r="D49" s="1944"/>
      <c r="E49" s="1945"/>
      <c r="F49" s="1942"/>
      <c r="G49" s="1943"/>
      <c r="H49" s="1946"/>
      <c r="I49" s="2763" t="s">
        <v>2305</v>
      </c>
      <c r="J49" s="2207"/>
      <c r="K49" s="2773" t="s">
        <v>2311</v>
      </c>
      <c r="L49" s="1794">
        <f ca="1">INDIRECT("'数据-取费表'!f"&amp;$G$1)</f>
        <v>0</v>
      </c>
      <c r="O49" s="2223" t="s">
        <v>2339</v>
      </c>
      <c r="P49" s="2224" t="s">
        <v>2365</v>
      </c>
      <c r="Q49" s="2225">
        <f ca="1">C41+J31</f>
        <v>0</v>
      </c>
      <c r="R49" s="2224" t="s">
        <v>2340</v>
      </c>
    </row>
    <row r="50" spans="1:18" s="1913" customFormat="1" ht="18" customHeight="1" thickBot="1">
      <c r="A50" s="1937"/>
      <c r="D50" s="1947"/>
      <c r="E50" s="1947"/>
      <c r="F50" s="1941"/>
      <c r="G50" s="1948"/>
      <c r="H50" s="1946"/>
      <c r="I50" s="2763" t="s">
        <v>2306</v>
      </c>
      <c r="J50" s="2208"/>
      <c r="K50" s="2774" t="s">
        <v>2312</v>
      </c>
      <c r="L50" s="2209"/>
      <c r="O50" s="2223" t="s">
        <v>2341</v>
      </c>
      <c r="P50" s="2224" t="s">
        <v>2366</v>
      </c>
      <c r="Q50" s="2225" t="str">
        <f ca="1">J61</f>
        <v>0</v>
      </c>
      <c r="R50" s="2224" t="s">
        <v>2342</v>
      </c>
    </row>
    <row r="51" spans="1:18" s="1913" customFormat="1" ht="18" customHeight="1" thickBot="1">
      <c r="A51" s="1949"/>
      <c r="D51" s="1947"/>
      <c r="E51" s="1947"/>
      <c r="F51" s="1938"/>
      <c r="H51" s="1946"/>
      <c r="I51" s="2763" t="s">
        <v>2307</v>
      </c>
      <c r="J51" s="2770">
        <f>SUMPRODUCT((I64:I66=J48)*(J63:L63=J49)*(J64:L66))</f>
        <v>0</v>
      </c>
      <c r="K51" s="2774" t="s">
        <v>2313</v>
      </c>
      <c r="L51" s="2209"/>
      <c r="O51" s="2226" t="s">
        <v>2343</v>
      </c>
      <c r="P51" s="2224" t="s">
        <v>2367</v>
      </c>
      <c r="Q51" s="2225">
        <f ca="1">C31</f>
        <v>0</v>
      </c>
      <c r="R51" s="2224" t="s">
        <v>2340</v>
      </c>
    </row>
    <row r="52" spans="1:18" s="1913" customFormat="1" ht="18" customHeight="1" thickBot="1">
      <c r="A52" s="1949"/>
      <c r="F52" s="1938"/>
      <c r="I52" s="2767" t="s">
        <v>2308</v>
      </c>
      <c r="J52" s="2771">
        <f>IF(J50="",J51,J50+J51-YEAR('数据-取费表'!B3))</f>
        <v>0</v>
      </c>
      <c r="K52" s="2763" t="s">
        <v>2314</v>
      </c>
      <c r="L52" s="2777">
        <f ca="1">C45</f>
        <v>0</v>
      </c>
      <c r="O52" s="2226" t="s">
        <v>2344</v>
      </c>
      <c r="P52" s="2224" t="s">
        <v>2345</v>
      </c>
      <c r="Q52" s="2227" t="e">
        <f ca="1">J59</f>
        <v>#VALUE!</v>
      </c>
      <c r="R52" s="2228"/>
    </row>
    <row r="53" spans="1:18" s="1913" customFormat="1" ht="18" customHeight="1" thickBot="1">
      <c r="A53" s="1949"/>
      <c r="F53" s="1938"/>
      <c r="I53" s="2768" t="s">
        <v>2381</v>
      </c>
      <c r="J53" s="2210"/>
      <c r="K53" s="2768" t="s">
        <v>2380</v>
      </c>
      <c r="L53" s="2210"/>
      <c r="O53" s="2226" t="s">
        <v>2346</v>
      </c>
      <c r="P53" s="2224" t="s">
        <v>2347</v>
      </c>
      <c r="Q53" s="2227">
        <f>J53</f>
        <v>0</v>
      </c>
      <c r="R53" s="2228"/>
    </row>
    <row r="54" spans="1:18" s="1913" customFormat="1" ht="29.25" thickBot="1">
      <c r="A54" s="1949"/>
      <c r="I54" s="2769" t="s">
        <v>2909</v>
      </c>
      <c r="J54" s="2822">
        <f ca="1">IF(M48="住宅",MAX(J52,L49-'数据-取费表'!B20),MIN(J52,L49-'数据-取费表'!B20))</f>
        <v>-2</v>
      </c>
      <c r="K54" s="3834"/>
      <c r="L54" s="3835"/>
      <c r="O54" s="2226" t="s">
        <v>2348</v>
      </c>
      <c r="P54" s="2224" t="s">
        <v>2349</v>
      </c>
      <c r="Q54" s="2225">
        <f ca="1">J54</f>
        <v>-2</v>
      </c>
      <c r="R54" s="2224" t="s">
        <v>2350</v>
      </c>
    </row>
    <row r="55" spans="1:18" s="1913" customFormat="1" ht="18" customHeight="1" thickBot="1">
      <c r="A55" s="1949"/>
      <c r="I55" s="27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8"/>
      <c r="K55" s="2779"/>
      <c r="O55" s="2223" t="s">
        <v>2351</v>
      </c>
      <c r="P55" s="2224" t="s">
        <v>2368</v>
      </c>
      <c r="Q55" s="2225">
        <f ca="1">Q49+Q50</f>
        <v>0</v>
      </c>
      <c r="R55" s="2228" t="s">
        <v>2352</v>
      </c>
    </row>
    <row r="56" spans="1:18" s="1913" customFormat="1" ht="16.5" thickBot="1">
      <c r="A56" s="1949"/>
      <c r="B56" s="1950"/>
      <c r="C56" s="1950"/>
      <c r="I56" s="2780" t="s">
        <v>2315</v>
      </c>
      <c r="J56" s="2752" t="e">
        <f ca="1">ROUND(IF(J48="钢混",J58/J51,1-(1-2%)*(J51-J58)/J51),3)</f>
        <v>#VALUE!</v>
      </c>
      <c r="K56" s="2781" t="s">
        <v>2316</v>
      </c>
      <c r="L56" s="2211"/>
      <c r="O56" s="2229" t="s">
        <v>2371</v>
      </c>
      <c r="P56" s="1500"/>
      <c r="Q56" s="1508"/>
      <c r="R56" s="1500"/>
    </row>
    <row r="57" spans="1:18" s="1913" customFormat="1" ht="43.5" thickBot="1">
      <c r="A57" s="1949"/>
      <c r="B57" s="1950"/>
      <c r="C57" s="1950"/>
      <c r="I57" s="2782" t="s">
        <v>2317</v>
      </c>
      <c r="J57" s="2792" t="s">
        <v>1651</v>
      </c>
      <c r="K57" s="2763" t="s">
        <v>2322</v>
      </c>
      <c r="L57" s="1794">
        <f ca="1">IF(L49&lt;J52,"——",L49-J52)</f>
        <v>0</v>
      </c>
      <c r="O57" s="2220" t="s">
        <v>2335</v>
      </c>
      <c r="P57" s="2221" t="s">
        <v>2336</v>
      </c>
      <c r="Q57" s="2222" t="s">
        <v>2337</v>
      </c>
      <c r="R57" s="2221" t="s">
        <v>2338</v>
      </c>
    </row>
    <row r="58" spans="1:18" s="1913" customFormat="1" ht="29.25" thickBot="1">
      <c r="A58" s="1949"/>
      <c r="B58" s="1950"/>
      <c r="C58" s="1950"/>
      <c r="I58" s="2783" t="s">
        <v>2318</v>
      </c>
      <c r="J58" s="2784" t="str">
        <f ca="1">IF(OR(M48="住宅",J52&lt;L49,J57="是"),"——",J52-L49)</f>
        <v>——</v>
      </c>
      <c r="K58" s="2763" t="s">
        <v>2323</v>
      </c>
      <c r="L58" s="1794">
        <f ca="1">IF(L49&lt;J52,"——",IF(L56="比较法",L50,IF(L56="基准地价",L51,L52)))</f>
        <v>0</v>
      </c>
      <c r="O58" s="2223" t="s">
        <v>2339</v>
      </c>
      <c r="P58" s="2224" t="s">
        <v>2365</v>
      </c>
      <c r="Q58" s="2225">
        <f ca="1">C41+J31</f>
        <v>0</v>
      </c>
      <c r="R58" s="2224" t="s">
        <v>2340</v>
      </c>
    </row>
    <row r="59" spans="1:18" s="1913" customFormat="1" ht="29.25" thickBot="1">
      <c r="A59" s="1949"/>
      <c r="B59" s="1950"/>
      <c r="C59" s="1950"/>
      <c r="I59" s="2783" t="s">
        <v>2319</v>
      </c>
      <c r="J59" s="2753" t="e">
        <f ca="1">IF(J56&lt;0.4,0.4,J56)</f>
        <v>#VALUE!</v>
      </c>
      <c r="K59" s="2763" t="s">
        <v>2324</v>
      </c>
      <c r="L59" s="1794">
        <f ca="1">IF(ISERROR(POWER(1+L53,L48-L49)*(POWER(1+L53,L49)-1)/(POWER(1+L53,L48)-1)),0,POWER(1+L53,L48-L49)*(POWER(1+L53,L49)-1)/(POWER(1+L53,L48)-1))</f>
        <v>0</v>
      </c>
      <c r="O59" s="2223" t="s">
        <v>2341</v>
      </c>
      <c r="P59" s="2224" t="s">
        <v>2372</v>
      </c>
      <c r="Q59" s="2225" t="e">
        <f ca="1">L61</f>
        <v>#DIV/0!</v>
      </c>
      <c r="R59" s="2228" t="s">
        <v>2374</v>
      </c>
    </row>
    <row r="60" spans="1:18" s="1913" customFormat="1" ht="29.25" thickBot="1">
      <c r="A60" s="1949"/>
      <c r="B60" s="1950"/>
      <c r="C60" s="1950"/>
      <c r="I60" s="2783" t="s">
        <v>2320</v>
      </c>
      <c r="J60" s="2784" t="str">
        <f ca="1">IF(OR(M48="住宅",J52&lt;L49,J57="是"),"——",ROUND(C30*J59,0))</f>
        <v>——</v>
      </c>
      <c r="K60" s="2763" t="s">
        <v>2325</v>
      </c>
      <c r="L60" s="1794">
        <f ca="1">IF(ISERROR(POWER(1+L53,L48-J52)*(POWER(1+L53,J52)-1)/(POWER(1+L53,L48)-1)),0,POWER(1+L53,L48-J52)*(POWER(1+L53,J52)-1)/(POWER(1+L53,L48)-1))</f>
        <v>0</v>
      </c>
      <c r="O60" s="2226" t="s">
        <v>2343</v>
      </c>
      <c r="P60" s="2224" t="s">
        <v>2373</v>
      </c>
      <c r="Q60" s="2225">
        <f>IF(L56="比较法",L50,IF(L56="基准地价",L51,0))</f>
        <v>0</v>
      </c>
      <c r="R60" s="2224" t="s">
        <v>2340</v>
      </c>
    </row>
    <row r="61" spans="1:18" s="1913" customFormat="1" ht="15.75" thickBot="1">
      <c r="A61" s="1949"/>
      <c r="B61" s="1950"/>
      <c r="C61" s="1950"/>
      <c r="I61" s="2785" t="s">
        <v>2321</v>
      </c>
      <c r="J61" s="2786" t="str">
        <f ca="1">IF(OR(M48="住宅",J52&lt;L49,J57="是"),"0",ROUND(J60/(1+J53)^J54,0))</f>
        <v>0</v>
      </c>
      <c r="K61" s="2787" t="s">
        <v>2326</v>
      </c>
      <c r="L61" s="2786" t="e">
        <f ca="1">IF(OR(M48="住宅",L49&lt;J52),0,ROUND(L58*(L59/L60-1),0))</f>
        <v>#DIV/0!</v>
      </c>
      <c r="O61" s="2226" t="s">
        <v>2344</v>
      </c>
      <c r="P61" s="2224" t="s">
        <v>2353</v>
      </c>
      <c r="Q61" s="2227">
        <f>L53</f>
        <v>0</v>
      </c>
      <c r="R61" s="2228"/>
    </row>
    <row r="62" spans="1:18" s="1913" customFormat="1" ht="20.25" thickBot="1">
      <c r="A62" s="1949"/>
      <c r="B62" s="1950"/>
      <c r="C62" s="1950"/>
      <c r="K62" s="1939"/>
      <c r="O62" s="2226" t="s">
        <v>2346</v>
      </c>
      <c r="P62" s="2224" t="s">
        <v>2354</v>
      </c>
      <c r="Q62" s="2225">
        <f ca="1">L59</f>
        <v>0</v>
      </c>
      <c r="R62" s="2228" t="s">
        <v>2355</v>
      </c>
    </row>
    <row r="63" spans="1:18" s="1913" customFormat="1" ht="20.25" thickBot="1">
      <c r="A63" s="1949"/>
      <c r="B63" s="1950"/>
      <c r="C63" s="1950"/>
      <c r="I63" s="2788" t="s">
        <v>2327</v>
      </c>
      <c r="J63" s="2789" t="s">
        <v>2328</v>
      </c>
      <c r="K63" s="2789" t="s">
        <v>2329</v>
      </c>
      <c r="L63" s="2789" t="s">
        <v>2310</v>
      </c>
      <c r="M63" s="2790" t="s">
        <v>2878</v>
      </c>
      <c r="O63" s="2226" t="s">
        <v>2348</v>
      </c>
      <c r="P63" s="2224" t="s">
        <v>2356</v>
      </c>
      <c r="Q63" s="2225">
        <f ca="1">L60</f>
        <v>0</v>
      </c>
      <c r="R63" s="2228" t="s">
        <v>2357</v>
      </c>
    </row>
    <row r="64" spans="1:18" s="1913" customFormat="1" ht="15.75" thickBot="1">
      <c r="A64" s="1949"/>
      <c r="B64" s="1950"/>
      <c r="C64" s="1950"/>
      <c r="I64" s="2788" t="s">
        <v>2330</v>
      </c>
      <c r="J64" s="2789">
        <v>70</v>
      </c>
      <c r="K64" s="2789">
        <v>50</v>
      </c>
      <c r="L64" s="2789">
        <v>80</v>
      </c>
      <c r="M64" s="2791">
        <v>0.02</v>
      </c>
      <c r="O64" s="2223" t="s">
        <v>2351</v>
      </c>
      <c r="P64" s="2224" t="s">
        <v>2368</v>
      </c>
      <c r="Q64" s="2225" t="e">
        <f ca="1">Q58+Q59</f>
        <v>#DIV/0!</v>
      </c>
      <c r="R64" s="2228" t="s">
        <v>2352</v>
      </c>
    </row>
    <row r="65" spans="1:18" s="1913" customFormat="1" ht="16.5" thickBot="1">
      <c r="A65" s="1949"/>
      <c r="B65" s="1950"/>
      <c r="C65" s="1950"/>
      <c r="I65" s="2788" t="s">
        <v>2331</v>
      </c>
      <c r="J65" s="2789">
        <v>50</v>
      </c>
      <c r="K65" s="2789">
        <v>35</v>
      </c>
      <c r="L65" s="2789">
        <v>60</v>
      </c>
      <c r="M65" s="817">
        <v>0</v>
      </c>
      <c r="O65" s="2229" t="s">
        <v>2375</v>
      </c>
      <c r="P65" s="1500"/>
      <c r="Q65" s="1508"/>
      <c r="R65" s="1500"/>
    </row>
    <row r="66" spans="1:18" s="1913" customFormat="1" ht="15.75" thickBot="1">
      <c r="A66" s="1949"/>
      <c r="B66" s="1950"/>
      <c r="C66" s="1950"/>
      <c r="I66" s="2788" t="s">
        <v>2332</v>
      </c>
      <c r="J66" s="2789">
        <v>40</v>
      </c>
      <c r="K66" s="2789">
        <v>30</v>
      </c>
      <c r="L66" s="2789">
        <v>50</v>
      </c>
      <c r="M66" s="2791">
        <v>0.02</v>
      </c>
      <c r="O66" s="2220" t="s">
        <v>2335</v>
      </c>
      <c r="P66" s="2221" t="s">
        <v>2336</v>
      </c>
      <c r="Q66" s="2222" t="s">
        <v>2337</v>
      </c>
      <c r="R66" s="2221" t="s">
        <v>2338</v>
      </c>
    </row>
    <row r="67" spans="1:18" s="1913" customFormat="1" ht="15.75" thickBot="1">
      <c r="A67" s="1949"/>
      <c r="B67" s="1950"/>
      <c r="C67" s="1950"/>
      <c r="K67" s="1939"/>
      <c r="O67" s="2223" t="s">
        <v>2339</v>
      </c>
      <c r="P67" s="2224" t="s">
        <v>2365</v>
      </c>
      <c r="Q67" s="2225">
        <f ca="1">C41+J31</f>
        <v>0</v>
      </c>
      <c r="R67" s="2224" t="s">
        <v>2340</v>
      </c>
    </row>
    <row r="68" spans="1:18" s="1913" customFormat="1" ht="20.25" thickBot="1">
      <c r="A68" s="1949"/>
      <c r="B68" s="1950"/>
      <c r="C68" s="1950"/>
      <c r="K68" s="1939"/>
      <c r="O68" s="2223" t="s">
        <v>2341</v>
      </c>
      <c r="P68" s="2224" t="s">
        <v>2372</v>
      </c>
      <c r="Q68" s="2225" t="e">
        <f ca="1">L61</f>
        <v>#DIV/0!</v>
      </c>
      <c r="R68" s="2228" t="s">
        <v>2374</v>
      </c>
    </row>
    <row r="69" spans="1:18" s="1913" customFormat="1" ht="21.75" thickBot="1">
      <c r="A69" s="1949"/>
      <c r="B69" s="1950"/>
      <c r="C69" s="1950"/>
      <c r="K69" s="1939"/>
      <c r="O69" s="2226" t="s">
        <v>2343</v>
      </c>
      <c r="P69" s="2224" t="s">
        <v>2373</v>
      </c>
      <c r="Q69" s="2230">
        <f ca="1">L52</f>
        <v>0</v>
      </c>
      <c r="R69" s="2231" t="s">
        <v>2376</v>
      </c>
    </row>
    <row r="70" spans="1:18" s="1913" customFormat="1" ht="20.25" thickBot="1">
      <c r="A70" s="1949"/>
      <c r="B70" s="1950"/>
      <c r="C70" s="1950"/>
      <c r="K70" s="1939"/>
      <c r="O70" s="2226" t="s">
        <v>2344</v>
      </c>
      <c r="P70" s="2232" t="s">
        <v>2358</v>
      </c>
      <c r="Q70" s="2225">
        <f ca="1">ROUND(Q71-Q72*Q73,0)</f>
        <v>0</v>
      </c>
      <c r="R70" s="2228"/>
    </row>
    <row r="71" spans="1:18" s="1913" customFormat="1" ht="15.75" thickBot="1">
      <c r="A71" s="1949"/>
      <c r="B71" s="1950"/>
      <c r="C71" s="1950"/>
      <c r="K71" s="1939"/>
      <c r="O71" s="2226" t="s">
        <v>2359</v>
      </c>
      <c r="P71" s="2232" t="s">
        <v>2360</v>
      </c>
      <c r="Q71" s="2225">
        <f ca="1">C42</f>
        <v>0</v>
      </c>
      <c r="R71" s="2224" t="s">
        <v>2340</v>
      </c>
    </row>
    <row r="72" spans="1:18" s="1913" customFormat="1" ht="15.75" thickBot="1">
      <c r="A72" s="1949"/>
      <c r="B72" s="1950"/>
      <c r="C72" s="1950"/>
      <c r="K72" s="1939"/>
      <c r="O72" s="2226" t="s">
        <v>2361</v>
      </c>
      <c r="P72" s="2232" t="s">
        <v>2362</v>
      </c>
      <c r="Q72" s="2225">
        <f ca="1">C15</f>
        <v>0</v>
      </c>
      <c r="R72" s="2224" t="s">
        <v>2340</v>
      </c>
    </row>
    <row r="73" spans="1:18" s="1913" customFormat="1" ht="15.75" thickBot="1">
      <c r="A73" s="1949"/>
      <c r="B73" s="1950"/>
      <c r="C73" s="1950"/>
      <c r="K73" s="1939"/>
      <c r="O73" s="2226" t="s">
        <v>2363</v>
      </c>
      <c r="P73" s="2232" t="s">
        <v>2364</v>
      </c>
      <c r="Q73" s="2227">
        <f ca="1">F43</f>
        <v>0</v>
      </c>
      <c r="R73" s="2228"/>
    </row>
    <row r="74" spans="1:18" s="1913" customFormat="1" ht="15.75" thickBot="1">
      <c r="A74" s="1949"/>
      <c r="B74" s="1950"/>
      <c r="C74" s="1950"/>
      <c r="K74" s="1939"/>
      <c r="O74" s="2226" t="s">
        <v>2346</v>
      </c>
      <c r="P74" s="2224" t="s">
        <v>2353</v>
      </c>
      <c r="Q74" s="2227">
        <f>L53</f>
        <v>0</v>
      </c>
      <c r="R74" s="2228"/>
    </row>
    <row r="75" spans="1:18" s="1913" customFormat="1" ht="20.25" thickBot="1">
      <c r="A75" s="1949"/>
      <c r="B75" s="1950"/>
      <c r="C75" s="1950"/>
      <c r="K75" s="1939"/>
      <c r="O75" s="2226" t="s">
        <v>2348</v>
      </c>
      <c r="P75" s="2224" t="s">
        <v>2354</v>
      </c>
      <c r="Q75" s="2225">
        <f ca="1">L59</f>
        <v>0</v>
      </c>
      <c r="R75" s="2228" t="s">
        <v>2355</v>
      </c>
    </row>
    <row r="76" spans="1:18" s="1913" customFormat="1" ht="20.25" thickBot="1">
      <c r="A76" s="1949"/>
      <c r="B76" s="1950"/>
      <c r="C76" s="1950"/>
      <c r="K76" s="1939"/>
      <c r="O76" s="2226" t="s">
        <v>2377</v>
      </c>
      <c r="P76" s="2224" t="s">
        <v>2356</v>
      </c>
      <c r="Q76" s="2225">
        <f ca="1">L60</f>
        <v>0</v>
      </c>
      <c r="R76" s="2228" t="s">
        <v>2357</v>
      </c>
    </row>
    <row r="77" spans="1:18" s="1913" customFormat="1" ht="15.75" thickBot="1">
      <c r="A77" s="1949"/>
      <c r="B77" s="1950"/>
      <c r="C77" s="1950"/>
      <c r="K77" s="1939"/>
      <c r="O77" s="2223" t="s">
        <v>2351</v>
      </c>
      <c r="P77" s="2224" t="s">
        <v>2368</v>
      </c>
      <c r="Q77" s="2225" t="e">
        <f ca="1">Q67+Q68</f>
        <v>#DIV/0!</v>
      </c>
      <c r="R77" s="2228" t="s">
        <v>2352</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375" style="3279" customWidth="1"/>
    <col min="2" max="2" width="8.875" style="3279"/>
    <col min="3" max="5" width="12.875" style="3279" customWidth="1"/>
    <col min="6" max="6" width="47.3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37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375" style="3279" customWidth="1"/>
    <col min="258" max="258" width="8.875" style="3279"/>
    <col min="259" max="261" width="12.875" style="3279" customWidth="1"/>
    <col min="262" max="262" width="47.3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37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375" style="3279" customWidth="1"/>
    <col min="514" max="514" width="8.875" style="3279"/>
    <col min="515" max="517" width="12.875" style="3279" customWidth="1"/>
    <col min="518" max="518" width="47.3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37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375" style="3279" customWidth="1"/>
    <col min="770" max="770" width="8.875" style="3279"/>
    <col min="771" max="773" width="12.875" style="3279" customWidth="1"/>
    <col min="774" max="774" width="47.3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37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375" style="3279" customWidth="1"/>
    <col min="1026" max="1026" width="8.875" style="3279"/>
    <col min="1027" max="1029" width="12.875" style="3279" customWidth="1"/>
    <col min="1030" max="1030" width="47.3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37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375" style="3279" customWidth="1"/>
    <col min="1282" max="1282" width="8.875" style="3279"/>
    <col min="1283" max="1285" width="12.875" style="3279" customWidth="1"/>
    <col min="1286" max="1286" width="47.3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37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375" style="3279" customWidth="1"/>
    <col min="1538" max="1538" width="8.875" style="3279"/>
    <col min="1539" max="1541" width="12.875" style="3279" customWidth="1"/>
    <col min="1542" max="1542" width="47.3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37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375" style="3279" customWidth="1"/>
    <col min="1794" max="1794" width="8.875" style="3279"/>
    <col min="1795" max="1797" width="12.875" style="3279" customWidth="1"/>
    <col min="1798" max="1798" width="47.3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37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375" style="3279" customWidth="1"/>
    <col min="2050" max="2050" width="8.875" style="3279"/>
    <col min="2051" max="2053" width="12.875" style="3279" customWidth="1"/>
    <col min="2054" max="2054" width="47.3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37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375" style="3279" customWidth="1"/>
    <col min="2306" max="2306" width="8.875" style="3279"/>
    <col min="2307" max="2309" width="12.875" style="3279" customWidth="1"/>
    <col min="2310" max="2310" width="47.3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37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375" style="3279" customWidth="1"/>
    <col min="2562" max="2562" width="8.875" style="3279"/>
    <col min="2563" max="2565" width="12.875" style="3279" customWidth="1"/>
    <col min="2566" max="2566" width="47.3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37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375" style="3279" customWidth="1"/>
    <col min="2818" max="2818" width="8.875" style="3279"/>
    <col min="2819" max="2821" width="12.875" style="3279" customWidth="1"/>
    <col min="2822" max="2822" width="47.3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37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375" style="3279" customWidth="1"/>
    <col min="3074" max="3074" width="8.875" style="3279"/>
    <col min="3075" max="3077" width="12.875" style="3279" customWidth="1"/>
    <col min="3078" max="3078" width="47.3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37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375" style="3279" customWidth="1"/>
    <col min="3330" max="3330" width="8.875" style="3279"/>
    <col min="3331" max="3333" width="12.875" style="3279" customWidth="1"/>
    <col min="3334" max="3334" width="47.3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37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375" style="3279" customWidth="1"/>
    <col min="3586" max="3586" width="8.875" style="3279"/>
    <col min="3587" max="3589" width="12.875" style="3279" customWidth="1"/>
    <col min="3590" max="3590" width="47.3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37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375" style="3279" customWidth="1"/>
    <col min="3842" max="3842" width="8.875" style="3279"/>
    <col min="3843" max="3845" width="12.875" style="3279" customWidth="1"/>
    <col min="3846" max="3846" width="47.3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37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375" style="3279" customWidth="1"/>
    <col min="4098" max="4098" width="8.875" style="3279"/>
    <col min="4099" max="4101" width="12.875" style="3279" customWidth="1"/>
    <col min="4102" max="4102" width="47.3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37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375" style="3279" customWidth="1"/>
    <col min="4354" max="4354" width="8.875" style="3279"/>
    <col min="4355" max="4357" width="12.875" style="3279" customWidth="1"/>
    <col min="4358" max="4358" width="47.3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37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375" style="3279" customWidth="1"/>
    <col min="4610" max="4610" width="8.875" style="3279"/>
    <col min="4611" max="4613" width="12.875" style="3279" customWidth="1"/>
    <col min="4614" max="4614" width="47.3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37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375" style="3279" customWidth="1"/>
    <col min="4866" max="4866" width="8.875" style="3279"/>
    <col min="4867" max="4869" width="12.875" style="3279" customWidth="1"/>
    <col min="4870" max="4870" width="47.3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37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375" style="3279" customWidth="1"/>
    <col min="5122" max="5122" width="8.875" style="3279"/>
    <col min="5123" max="5125" width="12.875" style="3279" customWidth="1"/>
    <col min="5126" max="5126" width="47.3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37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375" style="3279" customWidth="1"/>
    <col min="5378" max="5378" width="8.875" style="3279"/>
    <col min="5379" max="5381" width="12.875" style="3279" customWidth="1"/>
    <col min="5382" max="5382" width="47.3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37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375" style="3279" customWidth="1"/>
    <col min="5634" max="5634" width="8.875" style="3279"/>
    <col min="5635" max="5637" width="12.875" style="3279" customWidth="1"/>
    <col min="5638" max="5638" width="47.3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37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375" style="3279" customWidth="1"/>
    <col min="5890" max="5890" width="8.875" style="3279"/>
    <col min="5891" max="5893" width="12.875" style="3279" customWidth="1"/>
    <col min="5894" max="5894" width="47.3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37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375" style="3279" customWidth="1"/>
    <col min="6146" max="6146" width="8.875" style="3279"/>
    <col min="6147" max="6149" width="12.875" style="3279" customWidth="1"/>
    <col min="6150" max="6150" width="47.3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37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375" style="3279" customWidth="1"/>
    <col min="6402" max="6402" width="8.875" style="3279"/>
    <col min="6403" max="6405" width="12.875" style="3279" customWidth="1"/>
    <col min="6406" max="6406" width="47.3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37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375" style="3279" customWidth="1"/>
    <col min="6658" max="6658" width="8.875" style="3279"/>
    <col min="6659" max="6661" width="12.875" style="3279" customWidth="1"/>
    <col min="6662" max="6662" width="47.3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37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375" style="3279" customWidth="1"/>
    <col min="6914" max="6914" width="8.875" style="3279"/>
    <col min="6915" max="6917" width="12.875" style="3279" customWidth="1"/>
    <col min="6918" max="6918" width="47.3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37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375" style="3279" customWidth="1"/>
    <col min="7170" max="7170" width="8.875" style="3279"/>
    <col min="7171" max="7173" width="12.875" style="3279" customWidth="1"/>
    <col min="7174" max="7174" width="47.3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37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375" style="3279" customWidth="1"/>
    <col min="7426" max="7426" width="8.875" style="3279"/>
    <col min="7427" max="7429" width="12.875" style="3279" customWidth="1"/>
    <col min="7430" max="7430" width="47.3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37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375" style="3279" customWidth="1"/>
    <col min="7682" max="7682" width="8.875" style="3279"/>
    <col min="7683" max="7685" width="12.875" style="3279" customWidth="1"/>
    <col min="7686" max="7686" width="47.3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37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375" style="3279" customWidth="1"/>
    <col min="7938" max="7938" width="8.875" style="3279"/>
    <col min="7939" max="7941" width="12.875" style="3279" customWidth="1"/>
    <col min="7942" max="7942" width="47.3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37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375" style="3279" customWidth="1"/>
    <col min="8194" max="8194" width="8.875" style="3279"/>
    <col min="8195" max="8197" width="12.875" style="3279" customWidth="1"/>
    <col min="8198" max="8198" width="47.3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37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375" style="3279" customWidth="1"/>
    <col min="8450" max="8450" width="8.875" style="3279"/>
    <col min="8451" max="8453" width="12.875" style="3279" customWidth="1"/>
    <col min="8454" max="8454" width="47.3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37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375" style="3279" customWidth="1"/>
    <col min="8706" max="8706" width="8.875" style="3279"/>
    <col min="8707" max="8709" width="12.875" style="3279" customWidth="1"/>
    <col min="8710" max="8710" width="47.3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37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375" style="3279" customWidth="1"/>
    <col min="8962" max="8962" width="8.875" style="3279"/>
    <col min="8963" max="8965" width="12.875" style="3279" customWidth="1"/>
    <col min="8966" max="8966" width="47.3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37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375" style="3279" customWidth="1"/>
    <col min="9218" max="9218" width="8.875" style="3279"/>
    <col min="9219" max="9221" width="12.875" style="3279" customWidth="1"/>
    <col min="9222" max="9222" width="47.3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37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375" style="3279" customWidth="1"/>
    <col min="9474" max="9474" width="8.875" style="3279"/>
    <col min="9475" max="9477" width="12.875" style="3279" customWidth="1"/>
    <col min="9478" max="9478" width="47.3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37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375" style="3279" customWidth="1"/>
    <col min="9730" max="9730" width="8.875" style="3279"/>
    <col min="9731" max="9733" width="12.875" style="3279" customWidth="1"/>
    <col min="9734" max="9734" width="47.3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37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375" style="3279" customWidth="1"/>
    <col min="9986" max="9986" width="8.875" style="3279"/>
    <col min="9987" max="9989" width="12.875" style="3279" customWidth="1"/>
    <col min="9990" max="9990" width="47.3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37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375" style="3279" customWidth="1"/>
    <col min="10242" max="10242" width="8.875" style="3279"/>
    <col min="10243" max="10245" width="12.875" style="3279" customWidth="1"/>
    <col min="10246" max="10246" width="47.3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37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375" style="3279" customWidth="1"/>
    <col min="10498" max="10498" width="8.875" style="3279"/>
    <col min="10499" max="10501" width="12.875" style="3279" customWidth="1"/>
    <col min="10502" max="10502" width="47.3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37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375" style="3279" customWidth="1"/>
    <col min="10754" max="10754" width="8.875" style="3279"/>
    <col min="10755" max="10757" width="12.875" style="3279" customWidth="1"/>
    <col min="10758" max="10758" width="47.3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37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375" style="3279" customWidth="1"/>
    <col min="11010" max="11010" width="8.875" style="3279"/>
    <col min="11011" max="11013" width="12.875" style="3279" customWidth="1"/>
    <col min="11014" max="11014" width="47.3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37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375" style="3279" customWidth="1"/>
    <col min="11266" max="11266" width="8.875" style="3279"/>
    <col min="11267" max="11269" width="12.875" style="3279" customWidth="1"/>
    <col min="11270" max="11270" width="47.3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37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375" style="3279" customWidth="1"/>
    <col min="11522" max="11522" width="8.875" style="3279"/>
    <col min="11523" max="11525" width="12.875" style="3279" customWidth="1"/>
    <col min="11526" max="11526" width="47.3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37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375" style="3279" customWidth="1"/>
    <col min="11778" max="11778" width="8.875" style="3279"/>
    <col min="11779" max="11781" width="12.875" style="3279" customWidth="1"/>
    <col min="11782" max="11782" width="47.3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37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375" style="3279" customWidth="1"/>
    <col min="12034" max="12034" width="8.875" style="3279"/>
    <col min="12035" max="12037" width="12.875" style="3279" customWidth="1"/>
    <col min="12038" max="12038" width="47.3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37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375" style="3279" customWidth="1"/>
    <col min="12290" max="12290" width="8.875" style="3279"/>
    <col min="12291" max="12293" width="12.875" style="3279" customWidth="1"/>
    <col min="12294" max="12294" width="47.3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37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375" style="3279" customWidth="1"/>
    <col min="12546" max="12546" width="8.875" style="3279"/>
    <col min="12547" max="12549" width="12.875" style="3279" customWidth="1"/>
    <col min="12550" max="12550" width="47.3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37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375" style="3279" customWidth="1"/>
    <col min="12802" max="12802" width="8.875" style="3279"/>
    <col min="12803" max="12805" width="12.875" style="3279" customWidth="1"/>
    <col min="12806" max="12806" width="47.3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37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375" style="3279" customWidth="1"/>
    <col min="13058" max="13058" width="8.875" style="3279"/>
    <col min="13059" max="13061" width="12.875" style="3279" customWidth="1"/>
    <col min="13062" max="13062" width="47.3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37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375" style="3279" customWidth="1"/>
    <col min="13314" max="13314" width="8.875" style="3279"/>
    <col min="13315" max="13317" width="12.875" style="3279" customWidth="1"/>
    <col min="13318" max="13318" width="47.3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37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375" style="3279" customWidth="1"/>
    <col min="13570" max="13570" width="8.875" style="3279"/>
    <col min="13571" max="13573" width="12.875" style="3279" customWidth="1"/>
    <col min="13574" max="13574" width="47.3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37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375" style="3279" customWidth="1"/>
    <col min="13826" max="13826" width="8.875" style="3279"/>
    <col min="13827" max="13829" width="12.875" style="3279" customWidth="1"/>
    <col min="13830" max="13830" width="47.3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37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375" style="3279" customWidth="1"/>
    <col min="14082" max="14082" width="8.875" style="3279"/>
    <col min="14083" max="14085" width="12.875" style="3279" customWidth="1"/>
    <col min="14086" max="14086" width="47.3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37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375" style="3279" customWidth="1"/>
    <col min="14338" max="14338" width="8.875" style="3279"/>
    <col min="14339" max="14341" width="12.875" style="3279" customWidth="1"/>
    <col min="14342" max="14342" width="47.3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37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375" style="3279" customWidth="1"/>
    <col min="14594" max="14594" width="8.875" style="3279"/>
    <col min="14595" max="14597" width="12.875" style="3279" customWidth="1"/>
    <col min="14598" max="14598" width="47.3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37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375" style="3279" customWidth="1"/>
    <col min="14850" max="14850" width="8.875" style="3279"/>
    <col min="14851" max="14853" width="12.875" style="3279" customWidth="1"/>
    <col min="14854" max="14854" width="47.3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37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375" style="3279" customWidth="1"/>
    <col min="15106" max="15106" width="8.875" style="3279"/>
    <col min="15107" max="15109" width="12.875" style="3279" customWidth="1"/>
    <col min="15110" max="15110" width="47.3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37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375" style="3279" customWidth="1"/>
    <col min="15362" max="15362" width="8.875" style="3279"/>
    <col min="15363" max="15365" width="12.875" style="3279" customWidth="1"/>
    <col min="15366" max="15366" width="47.3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37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375" style="3279" customWidth="1"/>
    <col min="15618" max="15618" width="8.875" style="3279"/>
    <col min="15619" max="15621" width="12.875" style="3279" customWidth="1"/>
    <col min="15622" max="15622" width="47.3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37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375" style="3279" customWidth="1"/>
    <col min="15874" max="15874" width="8.875" style="3279"/>
    <col min="15875" max="15877" width="12.875" style="3279" customWidth="1"/>
    <col min="15878" max="15878" width="47.3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37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375" style="3279" customWidth="1"/>
    <col min="16130" max="16130" width="8.875" style="3279"/>
    <col min="16131" max="16133" width="12.875" style="3279" customWidth="1"/>
    <col min="16134" max="16134" width="47.3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37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2998</v>
      </c>
      <c r="B1" s="3268"/>
      <c r="C1" s="3269"/>
      <c r="D1" s="3269"/>
      <c r="E1" s="3270"/>
      <c r="F1" s="3271"/>
      <c r="G1" s="3272"/>
      <c r="J1" s="3275" t="s">
        <v>2999</v>
      </c>
      <c r="K1" s="3276"/>
      <c r="L1" s="3276"/>
      <c r="M1" s="3276"/>
      <c r="N1" s="3276"/>
      <c r="O1" s="3276"/>
      <c r="P1" s="3276"/>
      <c r="Q1" s="3276"/>
      <c r="R1" s="3277"/>
      <c r="S1" s="3278"/>
      <c r="T1" s="3278"/>
      <c r="U1" s="3278"/>
    </row>
    <row r="2" spans="1:22" s="3288" customFormat="1" ht="13.15" customHeight="1">
      <c r="A2" s="3280" t="s">
        <v>3000</v>
      </c>
      <c r="B2" s="3281" t="e">
        <f>C40</f>
        <v>#DIV/0!</v>
      </c>
      <c r="C2" s="3269" t="s">
        <v>3001</v>
      </c>
      <c r="D2" s="3269"/>
      <c r="E2" s="3270"/>
      <c r="F2" s="3271"/>
      <c r="G2" s="3282"/>
      <c r="H2" s="3283"/>
      <c r="I2" s="3284"/>
      <c r="J2" s="3836" t="s">
        <v>3002</v>
      </c>
      <c r="K2" s="3837"/>
      <c r="L2" s="3285" t="s">
        <v>3003</v>
      </c>
      <c r="M2" s="3285" t="s">
        <v>3004</v>
      </c>
      <c r="N2" s="3285" t="s">
        <v>3005</v>
      </c>
      <c r="O2" s="3285" t="s">
        <v>3006</v>
      </c>
      <c r="P2" s="3285" t="s">
        <v>3007</v>
      </c>
      <c r="Q2" s="3286" t="s">
        <v>3008</v>
      </c>
      <c r="R2" s="3287" t="s">
        <v>3009</v>
      </c>
      <c r="S2" s="3278"/>
      <c r="T2" s="3278"/>
      <c r="U2" s="3278"/>
      <c r="V2" s="3284"/>
    </row>
    <row r="3" spans="1:22" s="3288" customFormat="1" ht="13.15" customHeight="1">
      <c r="A3" s="3289" t="s">
        <v>3010</v>
      </c>
      <c r="B3" s="3290" t="e">
        <f>ROUND(B2*10000/B4,0)</f>
        <v>#DIV/0!</v>
      </c>
      <c r="C3" s="3269" t="s">
        <v>3011</v>
      </c>
      <c r="D3" s="3269"/>
      <c r="E3" s="3270"/>
      <c r="F3" s="3271"/>
      <c r="G3" s="3282"/>
      <c r="H3" s="3283"/>
      <c r="I3" s="3284"/>
      <c r="J3" s="3838" t="s">
        <v>3012</v>
      </c>
      <c r="K3" s="3839"/>
      <c r="L3" s="3291"/>
      <c r="M3" s="3291"/>
      <c r="N3" s="3291"/>
      <c r="O3" s="3291"/>
      <c r="P3" s="3291"/>
      <c r="Q3" s="3292"/>
      <c r="R3" s="3293">
        <f>SUM(L3:Q3)</f>
        <v>0</v>
      </c>
      <c r="S3" s="3278"/>
      <c r="T3" s="3278"/>
      <c r="U3" s="3278"/>
      <c r="V3" s="3284"/>
    </row>
    <row r="4" spans="1:22" s="3288" customFormat="1" ht="13.15" customHeight="1">
      <c r="A4" s="3294" t="s">
        <v>3013</v>
      </c>
      <c r="B4" s="3295"/>
      <c r="C4" s="3269"/>
      <c r="D4" s="3269"/>
      <c r="E4" s="3270"/>
      <c r="F4" s="3271"/>
      <c r="G4" s="3282"/>
      <c r="H4" s="3283"/>
      <c r="I4" s="3284"/>
      <c r="J4" s="3838" t="s">
        <v>3014</v>
      </c>
      <c r="K4" s="3839"/>
      <c r="L4" s="3296"/>
      <c r="M4" s="3296"/>
      <c r="N4" s="3296"/>
      <c r="O4" s="3296"/>
      <c r="P4" s="3296"/>
      <c r="Q4" s="3297"/>
      <c r="R4" s="3298">
        <f>SUM(L4:Q4)</f>
        <v>0</v>
      </c>
      <c r="S4" s="3278"/>
      <c r="T4" s="3278"/>
      <c r="U4" s="3278"/>
      <c r="V4" s="3284"/>
    </row>
    <row r="5" spans="1:22" s="3288" customFormat="1" ht="13.15" customHeight="1" thickBot="1">
      <c r="A5" s="3299" t="s">
        <v>3015</v>
      </c>
      <c r="B5" s="3300"/>
      <c r="C5" s="3269"/>
      <c r="D5" s="3301"/>
      <c r="E5" s="3271"/>
      <c r="F5" s="3271"/>
      <c r="G5" s="3282"/>
      <c r="H5" s="3283"/>
      <c r="I5" s="3284"/>
      <c r="J5" s="3302" t="s">
        <v>3016</v>
      </c>
      <c r="K5" s="3303"/>
      <c r="L5" s="3303"/>
      <c r="M5" s="3304"/>
      <c r="N5" s="3304"/>
      <c r="O5" s="3304"/>
      <c r="P5" s="3304"/>
      <c r="Q5" s="3304"/>
      <c r="R5" s="3287">
        <f>SUM(R14,R19,R24,R25,R27,R28)</f>
        <v>0</v>
      </c>
      <c r="S5" s="3278"/>
      <c r="T5" s="3278" t="s">
        <v>3017</v>
      </c>
      <c r="U5" s="3278" t="e">
        <f>ROUND(R5*10000/365/R3,1)</f>
        <v>#DIV/0!</v>
      </c>
      <c r="V5" s="3284"/>
    </row>
    <row r="6" spans="1:22" s="3288" customFormat="1" ht="13.15" customHeight="1" thickBot="1">
      <c r="A6" s="3840" t="s">
        <v>3018</v>
      </c>
      <c r="B6" s="3841"/>
      <c r="C6" s="3842"/>
      <c r="D6" s="3305"/>
      <c r="E6" s="3306"/>
      <c r="F6" s="3307"/>
      <c r="G6" s="3308"/>
      <c r="H6" s="3283"/>
      <c r="I6" s="3284"/>
      <c r="J6" s="3843">
        <v>1</v>
      </c>
      <c r="K6" s="3844" t="s">
        <v>3019</v>
      </c>
      <c r="L6" s="3309" t="s">
        <v>3020</v>
      </c>
      <c r="M6" s="3310" t="s">
        <v>3021</v>
      </c>
      <c r="N6" s="3310" t="s">
        <v>3022</v>
      </c>
      <c r="O6" s="3310" t="s">
        <v>3023</v>
      </c>
      <c r="P6" s="3310" t="s">
        <v>3024</v>
      </c>
      <c r="Q6" s="3310" t="s">
        <v>3025</v>
      </c>
      <c r="R6" s="3293" t="s">
        <v>3026</v>
      </c>
      <c r="S6" s="3278"/>
      <c r="T6" s="3278" t="s">
        <v>3027</v>
      </c>
      <c r="U6" s="3278"/>
      <c r="V6" s="3284"/>
    </row>
    <row r="7" spans="1:22" s="3288" customFormat="1" ht="13.15" customHeight="1">
      <c r="A7" s="3311" t="s">
        <v>3028</v>
      </c>
      <c r="B7" s="3312"/>
      <c r="C7" s="3313"/>
      <c r="D7" s="3314">
        <f>SUM(D9,D10,D11,D17,0)</f>
        <v>0</v>
      </c>
      <c r="E7" s="3315" t="e">
        <f>E9+E10+E11+E17</f>
        <v>#DIV/0!</v>
      </c>
      <c r="F7" s="3316"/>
      <c r="G7" s="3317"/>
      <c r="H7" s="3283"/>
      <c r="I7" s="3284"/>
      <c r="J7" s="3843"/>
      <c r="K7" s="3845"/>
      <c r="L7" s="3318" t="s">
        <v>3029</v>
      </c>
      <c r="M7" s="3319"/>
      <c r="N7" s="3295"/>
      <c r="O7" s="3320"/>
      <c r="P7" s="3320"/>
      <c r="Q7" s="3321">
        <v>365</v>
      </c>
      <c r="R7" s="3322">
        <f>ROUND(M7*N7*O7*P7*Q7/10000,0)</f>
        <v>0</v>
      </c>
      <c r="S7" s="3278"/>
      <c r="T7" s="3278" t="s">
        <v>3030</v>
      </c>
      <c r="U7" s="3278"/>
      <c r="V7" s="3284"/>
    </row>
    <row r="8" spans="1:22" s="3288" customFormat="1" ht="13.15" customHeight="1">
      <c r="A8" s="3323" t="s">
        <v>3031</v>
      </c>
      <c r="B8" s="3847" t="s">
        <v>3032</v>
      </c>
      <c r="C8" s="3848"/>
      <c r="D8" s="3324" t="s">
        <v>3033</v>
      </c>
      <c r="E8" s="3325" t="s">
        <v>3034</v>
      </c>
      <c r="F8" s="3326" t="s">
        <v>3035</v>
      </c>
      <c r="G8" s="3327"/>
      <c r="H8" s="3283"/>
      <c r="I8" s="3284"/>
      <c r="J8" s="3843"/>
      <c r="K8" s="3845"/>
      <c r="L8" s="3318" t="s">
        <v>3036</v>
      </c>
      <c r="M8" s="3319"/>
      <c r="N8" s="3295"/>
      <c r="O8" s="3320"/>
      <c r="P8" s="3320"/>
      <c r="Q8" s="3321">
        <v>365</v>
      </c>
      <c r="R8" s="3322">
        <f t="shared" ref="R8:R13" si="0">ROUND(M8*N8*O8*P8*Q8/10000,0)</f>
        <v>0</v>
      </c>
      <c r="S8" s="3278"/>
      <c r="T8" s="3278" t="s">
        <v>3037</v>
      </c>
      <c r="U8" s="3278"/>
      <c r="V8" s="3284"/>
    </row>
    <row r="9" spans="1:22" s="3288" customFormat="1" ht="13.15" customHeight="1">
      <c r="A9" s="3323">
        <v>1</v>
      </c>
      <c r="B9" s="3847" t="s">
        <v>3038</v>
      </c>
      <c r="C9" s="3848"/>
      <c r="D9" s="3324">
        <f>ROUND(D6*E9,0)</f>
        <v>0</v>
      </c>
      <c r="E9" s="3328"/>
      <c r="F9" s="3329" t="s">
        <v>3039</v>
      </c>
      <c r="G9" s="3308"/>
      <c r="H9" s="3283"/>
      <c r="I9" s="3284"/>
      <c r="J9" s="3843"/>
      <c r="K9" s="3845"/>
      <c r="L9" s="3318" t="s">
        <v>3040</v>
      </c>
      <c r="M9" s="3319"/>
      <c r="N9" s="3295"/>
      <c r="O9" s="3320"/>
      <c r="P9" s="3320"/>
      <c r="Q9" s="3321">
        <v>365</v>
      </c>
      <c r="R9" s="3322">
        <f t="shared" si="0"/>
        <v>0</v>
      </c>
      <c r="S9" s="3278"/>
      <c r="T9" s="3278"/>
      <c r="U9" s="3278"/>
      <c r="V9" s="3284"/>
    </row>
    <row r="10" spans="1:22" s="3288" customFormat="1" ht="13.15" customHeight="1">
      <c r="A10" s="3323">
        <v>2</v>
      </c>
      <c r="B10" s="3847" t="s">
        <v>3041</v>
      </c>
      <c r="C10" s="3848"/>
      <c r="D10" s="3324">
        <f>ROUND(D6*E10,0)</f>
        <v>0</v>
      </c>
      <c r="E10" s="3328"/>
      <c r="F10" s="3329" t="s">
        <v>3042</v>
      </c>
      <c r="G10" s="3308"/>
      <c r="H10" s="3283"/>
      <c r="I10" s="3284"/>
      <c r="J10" s="3843"/>
      <c r="K10" s="3845"/>
      <c r="L10" s="3318" t="s">
        <v>3043</v>
      </c>
      <c r="M10" s="3319"/>
      <c r="N10" s="3295"/>
      <c r="O10" s="3320"/>
      <c r="P10" s="3320"/>
      <c r="Q10" s="3321">
        <v>365</v>
      </c>
      <c r="R10" s="3322">
        <f t="shared" si="0"/>
        <v>0</v>
      </c>
      <c r="S10" s="3278"/>
      <c r="T10" s="3278"/>
      <c r="U10" s="3278"/>
      <c r="V10" s="3284"/>
    </row>
    <row r="11" spans="1:22" s="3288" customFormat="1" ht="13.15" customHeight="1">
      <c r="A11" s="3323">
        <v>3</v>
      </c>
      <c r="B11" s="3847" t="s">
        <v>3044</v>
      </c>
      <c r="C11" s="3848"/>
      <c r="D11" s="3324">
        <f>D12+D14+D15+D16</f>
        <v>0</v>
      </c>
      <c r="E11" s="3330" t="e">
        <f>D11/D6</f>
        <v>#DIV/0!</v>
      </c>
      <c r="F11" s="3326"/>
      <c r="G11" s="3327"/>
      <c r="H11" s="3283"/>
      <c r="I11" s="3284"/>
      <c r="J11" s="3843"/>
      <c r="K11" s="3845"/>
      <c r="L11" s="3318" t="s">
        <v>3045</v>
      </c>
      <c r="M11" s="3319"/>
      <c r="N11" s="3295"/>
      <c r="O11" s="3320"/>
      <c r="P11" s="3320"/>
      <c r="Q11" s="3321">
        <v>365</v>
      </c>
      <c r="R11" s="3322">
        <f t="shared" si="0"/>
        <v>0</v>
      </c>
      <c r="S11" s="3278"/>
      <c r="T11" s="3278"/>
      <c r="U11" s="3278"/>
      <c r="V11" s="3284"/>
    </row>
    <row r="12" spans="1:22" s="3288" customFormat="1" ht="13.15" customHeight="1">
      <c r="A12" s="3331" t="s">
        <v>3046</v>
      </c>
      <c r="B12" s="3849" t="s">
        <v>3047</v>
      </c>
      <c r="C12" s="3850"/>
      <c r="D12" s="3332">
        <f>ROUND(D13*1.2%*(1-30%),0)</f>
        <v>0</v>
      </c>
      <c r="E12" s="3333">
        <v>1.2E-2</v>
      </c>
      <c r="F12" s="3326" t="s">
        <v>3048</v>
      </c>
      <c r="G12" s="3327"/>
      <c r="H12" s="3283"/>
      <c r="I12" s="3284"/>
      <c r="J12" s="3843"/>
      <c r="K12" s="3845"/>
      <c r="L12" s="3318" t="s">
        <v>3049</v>
      </c>
      <c r="M12" s="3319"/>
      <c r="N12" s="3295"/>
      <c r="O12" s="3320"/>
      <c r="P12" s="3320"/>
      <c r="Q12" s="3321">
        <v>365</v>
      </c>
      <c r="R12" s="3322">
        <f t="shared" si="0"/>
        <v>0</v>
      </c>
      <c r="S12" s="3278"/>
      <c r="T12" s="3278"/>
      <c r="U12" s="3278"/>
      <c r="V12" s="3284"/>
    </row>
    <row r="13" spans="1:22" s="3288" customFormat="1" ht="13.15" customHeight="1">
      <c r="A13" s="3331"/>
      <c r="B13" s="3334"/>
      <c r="C13" s="3335" t="s">
        <v>3050</v>
      </c>
      <c r="D13" s="3336"/>
      <c r="E13" s="3337"/>
      <c r="F13" s="3326"/>
      <c r="G13" s="3327"/>
      <c r="H13" s="3283"/>
      <c r="I13" s="3284"/>
      <c r="J13" s="3843"/>
      <c r="K13" s="3845"/>
      <c r="L13" s="3318" t="s">
        <v>3051</v>
      </c>
      <c r="M13" s="3319"/>
      <c r="N13" s="3295"/>
      <c r="O13" s="3320"/>
      <c r="P13" s="3320"/>
      <c r="Q13" s="3321">
        <v>365</v>
      </c>
      <c r="R13" s="3322">
        <f t="shared" si="0"/>
        <v>0</v>
      </c>
      <c r="S13" s="3278"/>
      <c r="T13" s="3278"/>
      <c r="U13" s="3278"/>
      <c r="V13" s="3284"/>
    </row>
    <row r="14" spans="1:22" s="3288" customFormat="1" ht="13.15" customHeight="1">
      <c r="A14" s="3331" t="s">
        <v>3052</v>
      </c>
      <c r="B14" s="3849" t="s">
        <v>3053</v>
      </c>
      <c r="C14" s="3850"/>
      <c r="D14" s="3332">
        <f>ROUND(E14*B5/10000,0)</f>
        <v>0</v>
      </c>
      <c r="E14" s="3321"/>
      <c r="F14" s="3326" t="s">
        <v>3054</v>
      </c>
      <c r="G14" s="3327"/>
      <c r="H14" s="3283"/>
      <c r="I14" s="3284"/>
      <c r="J14" s="3843"/>
      <c r="K14" s="3846"/>
      <c r="L14" s="3338" t="s">
        <v>3055</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3056</v>
      </c>
      <c r="B15" s="3849" t="s">
        <v>3057</v>
      </c>
      <c r="C15" s="3850"/>
      <c r="D15" s="3332">
        <f>ROUND(D6*E15,0)</f>
        <v>0</v>
      </c>
      <c r="E15" s="3333">
        <v>5.5E-2</v>
      </c>
      <c r="F15" s="3326" t="s">
        <v>3058</v>
      </c>
      <c r="G15" s="3308"/>
      <c r="H15" s="3283"/>
      <c r="I15" s="3284"/>
      <c r="J15" s="3843">
        <v>2</v>
      </c>
      <c r="K15" s="3844" t="s">
        <v>3059</v>
      </c>
      <c r="L15" s="3318" t="s">
        <v>3060</v>
      </c>
      <c r="M15" s="3319" t="s">
        <v>3061</v>
      </c>
      <c r="N15" s="3319" t="s">
        <v>3062</v>
      </c>
      <c r="O15" s="3320" t="s">
        <v>3063</v>
      </c>
      <c r="P15" s="3320" t="s">
        <v>3025</v>
      </c>
      <c r="Q15" s="3295" t="s">
        <v>3064</v>
      </c>
      <c r="R15" s="3342" t="s">
        <v>3026</v>
      </c>
      <c r="S15" s="3278"/>
      <c r="T15" s="3278"/>
      <c r="U15" s="3278"/>
      <c r="V15" s="3284"/>
    </row>
    <row r="16" spans="1:22" s="3288" customFormat="1" ht="13.15" customHeight="1">
      <c r="A16" s="3331" t="s">
        <v>3065</v>
      </c>
      <c r="B16" s="3849" t="s">
        <v>3066</v>
      </c>
      <c r="C16" s="3850"/>
      <c r="D16" s="3343">
        <f>D6*E16</f>
        <v>0</v>
      </c>
      <c r="E16" s="3344"/>
      <c r="F16" s="3329" t="s">
        <v>3067</v>
      </c>
      <c r="G16" s="3308"/>
      <c r="H16" s="3283"/>
      <c r="I16" s="3284"/>
      <c r="J16" s="3843"/>
      <c r="K16" s="3845"/>
      <c r="L16" s="3318" t="s">
        <v>3068</v>
      </c>
      <c r="M16" s="3319"/>
      <c r="N16" s="3319"/>
      <c r="O16" s="3320"/>
      <c r="P16" s="3321">
        <v>365</v>
      </c>
      <c r="Q16" s="3295"/>
      <c r="R16" s="3342">
        <f>ROUND(M16*N16*O16*P16/10000,0)</f>
        <v>0</v>
      </c>
      <c r="S16" s="3278"/>
      <c r="T16" s="3278"/>
      <c r="U16" s="3278"/>
      <c r="V16" s="3284"/>
    </row>
    <row r="17" spans="1:22" s="3288" customFormat="1" ht="13.15" customHeight="1" thickBot="1">
      <c r="A17" s="3345">
        <v>4</v>
      </c>
      <c r="B17" s="3851" t="s">
        <v>3069</v>
      </c>
      <c r="C17" s="3852"/>
      <c r="D17" s="3346">
        <f>ROUND(D6*E17,0)</f>
        <v>0</v>
      </c>
      <c r="E17" s="3347"/>
      <c r="F17" s="3348" t="s">
        <v>3070</v>
      </c>
      <c r="G17" s="3308"/>
      <c r="H17" s="3283"/>
      <c r="I17" s="3284"/>
      <c r="J17" s="3843"/>
      <c r="K17" s="3845"/>
      <c r="L17" s="3318" t="s">
        <v>3071</v>
      </c>
      <c r="M17" s="3319"/>
      <c r="N17" s="3319"/>
      <c r="O17" s="3320"/>
      <c r="P17" s="3321">
        <v>365</v>
      </c>
      <c r="Q17" s="3295"/>
      <c r="R17" s="3342">
        <f>ROUND(M17*N17*O17*P17/10000,0)</f>
        <v>0</v>
      </c>
      <c r="S17" s="3278"/>
      <c r="T17" s="3278"/>
      <c r="U17" s="3278"/>
      <c r="V17" s="3284"/>
    </row>
    <row r="18" spans="1:22" s="3288" customFormat="1" ht="13.15" customHeight="1" thickBot="1">
      <c r="A18" s="3311" t="s">
        <v>3072</v>
      </c>
      <c r="B18" s="3312"/>
      <c r="C18" s="3312"/>
      <c r="D18" s="3349">
        <f>ROUND(D6*E18,0)</f>
        <v>0</v>
      </c>
      <c r="E18" s="3350"/>
      <c r="F18" s="3351" t="s">
        <v>3073</v>
      </c>
      <c r="G18" s="3308"/>
      <c r="H18" s="3283"/>
      <c r="I18" s="3284"/>
      <c r="J18" s="3843"/>
      <c r="K18" s="3845"/>
      <c r="L18" s="3318" t="s">
        <v>3074</v>
      </c>
      <c r="M18" s="3319"/>
      <c r="N18" s="3319"/>
      <c r="O18" s="3320"/>
      <c r="P18" s="3321">
        <v>365</v>
      </c>
      <c r="Q18" s="3295"/>
      <c r="R18" s="3342">
        <f>ROUND(M18*N18*O18*P18/10000,0)</f>
        <v>0</v>
      </c>
      <c r="S18" s="3278"/>
      <c r="T18" s="3278"/>
      <c r="U18" s="3278"/>
      <c r="V18" s="3284"/>
    </row>
    <row r="19" spans="1:22" s="3288" customFormat="1" ht="13.15" customHeight="1" thickBot="1">
      <c r="A19" s="3352" t="s">
        <v>3075</v>
      </c>
      <c r="B19" s="3306"/>
      <c r="C19" s="3306"/>
      <c r="D19" s="3306"/>
      <c r="E19" s="3306"/>
      <c r="F19" s="3307"/>
      <c r="G19" s="3327"/>
      <c r="H19" s="3283"/>
      <c r="I19" s="3284"/>
      <c r="J19" s="3843"/>
      <c r="K19" s="3846"/>
      <c r="L19" s="3338" t="s">
        <v>3055</v>
      </c>
      <c r="M19" s="3339"/>
      <c r="N19" s="3339">
        <f>SUM(N16:N18)</f>
        <v>0</v>
      </c>
      <c r="O19" s="3340"/>
      <c r="P19" s="3353" t="s">
        <v>3076</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43">
        <v>3</v>
      </c>
      <c r="K20" s="3844" t="s">
        <v>3077</v>
      </c>
      <c r="L20" s="3318" t="s">
        <v>3078</v>
      </c>
      <c r="M20" s="3319" t="s">
        <v>3079</v>
      </c>
      <c r="N20" s="3356" t="s">
        <v>3080</v>
      </c>
      <c r="O20" s="3320" t="s">
        <v>3081</v>
      </c>
      <c r="P20" s="3321" t="s">
        <v>3082</v>
      </c>
      <c r="Q20" s="3295" t="s">
        <v>3083</v>
      </c>
      <c r="R20" s="3342" t="s">
        <v>3084</v>
      </c>
      <c r="S20" s="3357"/>
      <c r="T20" s="3357"/>
      <c r="U20" s="3357"/>
      <c r="V20" s="3284"/>
    </row>
    <row r="21" spans="1:22" s="3288" customFormat="1" ht="13.15" customHeight="1">
      <c r="A21" s="3311"/>
      <c r="B21" s="3312"/>
      <c r="C21" s="3358" t="s">
        <v>3085</v>
      </c>
      <c r="D21" s="3359" t="s">
        <v>3086</v>
      </c>
      <c r="E21" s="3360" t="s">
        <v>3087</v>
      </c>
      <c r="F21" s="3355"/>
      <c r="G21" s="3327"/>
      <c r="H21" s="3283"/>
      <c r="I21" s="3284"/>
      <c r="J21" s="3843"/>
      <c r="K21" s="3845"/>
      <c r="L21" s="3318" t="s">
        <v>3088</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3089</v>
      </c>
      <c r="D22" s="3363" t="s">
        <v>3090</v>
      </c>
      <c r="E22" s="3364" t="s">
        <v>3091</v>
      </c>
      <c r="F22" s="3355"/>
      <c r="G22" s="3365"/>
      <c r="H22" s="3283"/>
      <c r="I22" s="3284"/>
      <c r="J22" s="3843"/>
      <c r="K22" s="3845"/>
      <c r="L22" s="3318" t="s">
        <v>3092</v>
      </c>
      <c r="M22" s="3319"/>
      <c r="N22" s="3319"/>
      <c r="O22" s="3320"/>
      <c r="P22" s="3321">
        <v>365</v>
      </c>
      <c r="Q22" s="3295"/>
      <c r="R22" s="3361">
        <f>ROUND(M22*N22*O22*P22/10000,0)</f>
        <v>0</v>
      </c>
      <c r="S22" s="3357"/>
      <c r="T22" s="3357"/>
      <c r="U22" s="3357"/>
      <c r="V22" s="3284"/>
    </row>
    <row r="23" spans="1:22" s="3288" customFormat="1" ht="13.15" customHeight="1">
      <c r="A23" s="3366">
        <v>1</v>
      </c>
      <c r="B23" s="3367" t="s">
        <v>3093</v>
      </c>
      <c r="C23" s="3368">
        <f>D6</f>
        <v>0</v>
      </c>
      <c r="D23" s="3369">
        <f>C23*(1+D24)</f>
        <v>0</v>
      </c>
      <c r="E23" s="3370">
        <f>D23*(1+E24)</f>
        <v>0</v>
      </c>
      <c r="F23" s="3371"/>
      <c r="G23" s="3372"/>
      <c r="H23" s="3283"/>
      <c r="I23" s="3284"/>
      <c r="J23" s="3843"/>
      <c r="K23" s="3845"/>
      <c r="L23" s="3318" t="s">
        <v>3094</v>
      </c>
      <c r="M23" s="3319"/>
      <c r="N23" s="3319"/>
      <c r="O23" s="3320"/>
      <c r="P23" s="3321">
        <v>365</v>
      </c>
      <c r="Q23" s="3295"/>
      <c r="R23" s="3361">
        <f>ROUND(M23*N23*O23*P23/10000,0)</f>
        <v>0</v>
      </c>
      <c r="S23" s="3278"/>
      <c r="T23" s="3278"/>
      <c r="U23" s="3278"/>
      <c r="V23" s="3284"/>
    </row>
    <row r="24" spans="1:22" s="3288" customFormat="1" ht="13.15" customHeight="1">
      <c r="A24" s="3373"/>
      <c r="B24" s="3374" t="s">
        <v>3095</v>
      </c>
      <c r="C24" s="3375"/>
      <c r="D24" s="3376"/>
      <c r="E24" s="3377"/>
      <c r="F24" s="3378"/>
      <c r="G24" s="3372"/>
      <c r="H24" s="3283"/>
      <c r="I24" s="3284"/>
      <c r="J24" s="3843"/>
      <c r="K24" s="3846"/>
      <c r="L24" s="3338" t="s">
        <v>3055</v>
      </c>
      <c r="M24" s="3339">
        <f>SUM(M21:M23)</f>
        <v>0</v>
      </c>
      <c r="N24" s="3339"/>
      <c r="O24" s="3340"/>
      <c r="P24" s="3353" t="s">
        <v>3076</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3096</v>
      </c>
      <c r="L25" s="3381"/>
      <c r="M25" s="3381"/>
      <c r="N25" s="3381"/>
      <c r="O25" s="3381"/>
      <c r="P25" s="3382"/>
      <c r="Q25" s="3383"/>
      <c r="R25" s="3354">
        <f>ROUND(R14*Q25,0)</f>
        <v>0</v>
      </c>
      <c r="S25" s="3278"/>
      <c r="T25" s="3278"/>
      <c r="U25" s="3278"/>
      <c r="V25" s="3384"/>
    </row>
    <row r="26" spans="1:22" s="3385" customFormat="1" ht="13.15" customHeight="1">
      <c r="A26" s="3366">
        <v>2</v>
      </c>
      <c r="B26" s="3367" t="s">
        <v>3097</v>
      </c>
      <c r="C26" s="3368">
        <f>D7</f>
        <v>0</v>
      </c>
      <c r="D26" s="3369">
        <f>D23*D27</f>
        <v>0</v>
      </c>
      <c r="E26" s="3370">
        <f>E23*E27</f>
        <v>0</v>
      </c>
      <c r="F26" s="3371"/>
      <c r="G26" s="3372"/>
      <c r="H26" s="3283"/>
      <c r="I26" s="3284"/>
      <c r="J26" s="3853">
        <v>5</v>
      </c>
      <c r="K26" s="3386" t="s">
        <v>3098</v>
      </c>
      <c r="L26" s="3387"/>
      <c r="M26" s="3388"/>
      <c r="N26" s="3389" t="s">
        <v>3099</v>
      </c>
      <c r="O26" s="3389" t="s">
        <v>3100</v>
      </c>
      <c r="P26" s="3390" t="s">
        <v>3101</v>
      </c>
      <c r="Q26" s="3390" t="s">
        <v>3102</v>
      </c>
      <c r="R26" s="3293" t="s">
        <v>3026</v>
      </c>
      <c r="S26" s="3391"/>
      <c r="T26" s="3391"/>
      <c r="U26" s="3391"/>
      <c r="V26" s="3384"/>
    </row>
    <row r="27" spans="1:22" s="3288" customFormat="1" ht="13.15" customHeight="1">
      <c r="A27" s="3373"/>
      <c r="B27" s="3374" t="s">
        <v>3103</v>
      </c>
      <c r="C27" s="3392" t="e">
        <f>E7</f>
        <v>#DIV/0!</v>
      </c>
      <c r="D27" s="3376"/>
      <c r="E27" s="3377"/>
      <c r="F27" s="3378"/>
      <c r="G27" s="3372"/>
      <c r="H27" s="3393"/>
      <c r="I27" s="3384"/>
      <c r="J27" s="3854"/>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3104</v>
      </c>
      <c r="F28" s="3378"/>
      <c r="G28" s="3365"/>
      <c r="H28" s="3393"/>
      <c r="I28" s="3384"/>
      <c r="J28" s="3399">
        <v>6</v>
      </c>
      <c r="K28" s="3400" t="s">
        <v>3105</v>
      </c>
      <c r="L28" s="3401" t="s">
        <v>3106</v>
      </c>
      <c r="M28" s="3402"/>
      <c r="N28" s="3401" t="s">
        <v>3107</v>
      </c>
      <c r="O28" s="3403"/>
      <c r="P28" s="3401" t="s">
        <v>3108</v>
      </c>
      <c r="Q28" s="3404">
        <v>1.4999999999999999E-2</v>
      </c>
      <c r="R28" s="3405"/>
      <c r="S28" s="3357"/>
      <c r="T28" s="3357"/>
      <c r="U28" s="3357"/>
      <c r="V28" s="3384"/>
    </row>
    <row r="29" spans="1:22" s="3385" customFormat="1" ht="13.15" customHeight="1">
      <c r="A29" s="3366">
        <v>3</v>
      </c>
      <c r="B29" s="3367" t="s">
        <v>3109</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3103</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3110</v>
      </c>
      <c r="K31" s="3276"/>
      <c r="L31" s="3276"/>
      <c r="M31" s="3276"/>
      <c r="N31" s="3276"/>
      <c r="O31" s="3276"/>
      <c r="P31" s="3276"/>
      <c r="Q31" s="3276"/>
      <c r="R31" s="3277"/>
      <c r="S31" s="3357"/>
      <c r="T31" s="3278"/>
      <c r="U31" s="3278"/>
      <c r="V31" s="3384"/>
    </row>
    <row r="32" spans="1:22" s="3385" customFormat="1" ht="13.15" customHeight="1">
      <c r="A32" s="3366">
        <v>4</v>
      </c>
      <c r="B32" s="3367" t="s">
        <v>3111</v>
      </c>
      <c r="C32" s="3368">
        <f>C23-C26-C29</f>
        <v>0</v>
      </c>
      <c r="D32" s="3369">
        <f>D23-D26-D29</f>
        <v>0</v>
      </c>
      <c r="E32" s="3370">
        <f>E23-E26-E29</f>
        <v>0</v>
      </c>
      <c r="F32" s="3371"/>
      <c r="G32" s="3365"/>
      <c r="H32" s="3283"/>
      <c r="I32" s="3284"/>
      <c r="J32" s="3836" t="s">
        <v>3002</v>
      </c>
      <c r="K32" s="3837"/>
      <c r="L32" s="3285" t="s">
        <v>3003</v>
      </c>
      <c r="M32" s="3285" t="s">
        <v>3004</v>
      </c>
      <c r="N32" s="3285" t="s">
        <v>3005</v>
      </c>
      <c r="O32" s="3285" t="s">
        <v>3006</v>
      </c>
      <c r="P32" s="3285" t="s">
        <v>3007</v>
      </c>
      <c r="Q32" s="3286" t="s">
        <v>3008</v>
      </c>
      <c r="R32" s="3408" t="s">
        <v>3009</v>
      </c>
      <c r="S32" s="3357"/>
      <c r="T32" s="3278"/>
      <c r="U32" s="3278"/>
      <c r="V32" s="3384"/>
    </row>
    <row r="33" spans="1:23" s="3288" customFormat="1" ht="13.15" customHeight="1">
      <c r="A33" s="3366"/>
      <c r="B33" s="3367"/>
      <c r="C33" s="3368"/>
      <c r="D33" s="3409"/>
      <c r="E33" s="3410"/>
      <c r="F33" s="3371"/>
      <c r="G33" s="3365"/>
      <c r="H33" s="3393"/>
      <c r="I33" s="3384"/>
      <c r="J33" s="3838" t="s">
        <v>3012</v>
      </c>
      <c r="K33" s="3839"/>
      <c r="L33" s="3291"/>
      <c r="M33" s="3291"/>
      <c r="N33" s="3291"/>
      <c r="O33" s="3291"/>
      <c r="P33" s="3291"/>
      <c r="Q33" s="3292"/>
      <c r="R33" s="3411">
        <f>SUM(L33:Q33)</f>
        <v>0</v>
      </c>
      <c r="S33" s="3357"/>
      <c r="T33" s="3278"/>
      <c r="U33" s="3278"/>
      <c r="V33" s="3284"/>
    </row>
    <row r="34" spans="1:23" s="3288" customFormat="1" ht="13.15" customHeight="1">
      <c r="A34" s="3366">
        <v>5</v>
      </c>
      <c r="B34" s="3367" t="s">
        <v>3112</v>
      </c>
      <c r="C34" s="3412"/>
      <c r="D34" s="3413"/>
      <c r="E34" s="3414"/>
      <c r="F34" s="3371"/>
      <c r="G34" s="3365"/>
      <c r="H34" s="3393"/>
      <c r="I34" s="3384"/>
      <c r="J34" s="3838" t="s">
        <v>3014</v>
      </c>
      <c r="K34" s="3839"/>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3113</v>
      </c>
      <c r="C35" s="3416"/>
      <c r="D35" s="3417"/>
      <c r="E35" s="3418"/>
      <c r="F35" s="3371"/>
      <c r="G35" s="3419"/>
      <c r="H35" s="3283"/>
      <c r="I35" s="3384"/>
      <c r="J35" s="3302" t="s">
        <v>3016</v>
      </c>
      <c r="K35" s="3303"/>
      <c r="L35" s="3303"/>
      <c r="M35" s="3304"/>
      <c r="N35" s="3304"/>
      <c r="O35" s="3304"/>
      <c r="P35" s="3304"/>
      <c r="Q35" s="3304"/>
      <c r="R35" s="3420">
        <f>R40+R41+R43</f>
        <v>0</v>
      </c>
      <c r="S35" s="3357"/>
      <c r="T35" s="3278" t="s">
        <v>3017</v>
      </c>
      <c r="U35" s="3278"/>
      <c r="V35" s="3284"/>
    </row>
    <row r="36" spans="1:23" s="3288" customFormat="1" ht="13.15" customHeight="1" thickBot="1">
      <c r="A36" s="3366">
        <v>7</v>
      </c>
      <c r="B36" s="3421" t="s">
        <v>3114</v>
      </c>
      <c r="C36" s="3422"/>
      <c r="D36" s="3423"/>
      <c r="E36" s="3424"/>
      <c r="F36" s="3425">
        <f>C36+D36+E36</f>
        <v>0</v>
      </c>
      <c r="G36" s="3365"/>
      <c r="H36" s="3283"/>
      <c r="I36" s="3284"/>
      <c r="J36" s="3843">
        <v>1</v>
      </c>
      <c r="K36" s="3844" t="s">
        <v>3115</v>
      </c>
      <c r="L36" s="3309"/>
      <c r="M36" s="3310"/>
      <c r="N36" s="3310"/>
      <c r="O36" s="3310"/>
      <c r="P36" s="3310"/>
      <c r="Q36" s="3310"/>
      <c r="R36" s="3293" t="s">
        <v>3026</v>
      </c>
      <c r="S36" s="3357"/>
      <c r="T36" s="3278" t="s">
        <v>3027</v>
      </c>
      <c r="U36" s="3278"/>
      <c r="V36" s="3284"/>
    </row>
    <row r="37" spans="1:23" s="3288" customFormat="1" ht="13.15" customHeight="1">
      <c r="A37" s="3366"/>
      <c r="B37" s="3367"/>
      <c r="C37" s="3367"/>
      <c r="D37" s="3367"/>
      <c r="E37" s="3367"/>
      <c r="F37" s="3371"/>
      <c r="G37" s="3365"/>
      <c r="H37" s="3283"/>
      <c r="I37" s="3284"/>
      <c r="J37" s="3843"/>
      <c r="K37" s="3845"/>
      <c r="L37" s="3318"/>
      <c r="M37" s="3319"/>
      <c r="N37" s="3295"/>
      <c r="O37" s="3320"/>
      <c r="P37" s="3320"/>
      <c r="Q37" s="3321"/>
      <c r="R37" s="3322"/>
      <c r="S37" s="3357"/>
      <c r="T37" s="3278" t="s">
        <v>3030</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43"/>
      <c r="K38" s="3845"/>
      <c r="L38" s="3318"/>
      <c r="M38" s="3319"/>
      <c r="N38" s="3295"/>
      <c r="O38" s="3320"/>
      <c r="P38" s="3320"/>
      <c r="Q38" s="3321"/>
      <c r="R38" s="3322"/>
      <c r="S38" s="3357"/>
      <c r="T38" s="3278" t="s">
        <v>3037</v>
      </c>
      <c r="U38" s="3278"/>
      <c r="V38" s="3284"/>
    </row>
    <row r="39" spans="1:23" s="3288" customFormat="1" ht="13.15" customHeight="1">
      <c r="A39" s="3366">
        <v>9</v>
      </c>
      <c r="B39" s="3367" t="s">
        <v>3116</v>
      </c>
      <c r="C39" s="3332" t="e">
        <f>C38</f>
        <v>#DIV/0!</v>
      </c>
      <c r="D39" s="3367">
        <f>D38/(1+D34)^C36</f>
        <v>0</v>
      </c>
      <c r="E39" s="3367">
        <f>E38/(1+E34)^(C36+D36)</f>
        <v>0</v>
      </c>
      <c r="F39" s="3371"/>
      <c r="G39" s="3426"/>
      <c r="H39" s="3283"/>
      <c r="I39" s="3284"/>
      <c r="J39" s="3843"/>
      <c r="K39" s="3845"/>
      <c r="L39" s="3318"/>
      <c r="M39" s="3319"/>
      <c r="N39" s="3295"/>
      <c r="O39" s="3320"/>
      <c r="P39" s="3320"/>
      <c r="Q39" s="3321"/>
      <c r="R39" s="3322"/>
      <c r="S39" s="3357"/>
      <c r="T39" s="3278"/>
      <c r="U39" s="3278"/>
      <c r="V39" s="3284"/>
    </row>
    <row r="40" spans="1:23" s="3288" customFormat="1" ht="13.15" customHeight="1">
      <c r="A40" s="3427">
        <v>10</v>
      </c>
      <c r="B40" s="3367" t="s">
        <v>3117</v>
      </c>
      <c r="C40" s="3428" t="e">
        <f>C39+D39+E39</f>
        <v>#DIV/0!</v>
      </c>
      <c r="D40" s="3429"/>
      <c r="E40" s="3429"/>
      <c r="F40" s="3430"/>
      <c r="G40" s="3365"/>
      <c r="H40" s="3283"/>
      <c r="I40" s="3284"/>
      <c r="J40" s="3843"/>
      <c r="K40" s="3846"/>
      <c r="L40" s="3338" t="s">
        <v>3055</v>
      </c>
      <c r="M40" s="3339"/>
      <c r="N40" s="3339"/>
      <c r="O40" s="3340"/>
      <c r="P40" s="3340"/>
      <c r="Q40" s="3341"/>
      <c r="R40" s="3287">
        <f>SUM(R37:R39)</f>
        <v>0</v>
      </c>
      <c r="S40" s="3357"/>
      <c r="T40" s="3278"/>
      <c r="U40" s="3278"/>
      <c r="V40" s="3284"/>
    </row>
    <row r="41" spans="1:23" s="3288" customFormat="1" ht="13.15" customHeight="1" thickBot="1">
      <c r="A41" s="3431">
        <v>11</v>
      </c>
      <c r="B41" s="3432" t="s">
        <v>3118</v>
      </c>
      <c r="C41" s="3432" t="e">
        <f>ROUND(C40*10000/B4,0)</f>
        <v>#DIV/0!</v>
      </c>
      <c r="D41" s="3433"/>
      <c r="E41" s="3433"/>
      <c r="F41" s="3434"/>
      <c r="G41" s="3435"/>
      <c r="H41" s="3283"/>
      <c r="I41" s="3284"/>
      <c r="J41" s="3379">
        <v>2</v>
      </c>
      <c r="K41" s="3380" t="s">
        <v>3096</v>
      </c>
      <c r="L41" s="3381"/>
      <c r="M41" s="3381"/>
      <c r="N41" s="3381"/>
      <c r="O41" s="3381"/>
      <c r="P41" s="3382"/>
      <c r="Q41" s="3383"/>
      <c r="R41" s="3354">
        <f>ROUND(R40*Q41,0)</f>
        <v>0</v>
      </c>
      <c r="S41" s="3357"/>
      <c r="T41" s="3278"/>
      <c r="U41" s="3391"/>
      <c r="V41" s="3284"/>
    </row>
    <row r="42" spans="1:23" s="3288" customFormat="1" ht="13.15" customHeight="1">
      <c r="G42" s="3435"/>
      <c r="H42" s="3283"/>
      <c r="I42" s="3284"/>
      <c r="J42" s="3853">
        <v>3</v>
      </c>
      <c r="K42" s="3386" t="s">
        <v>3098</v>
      </c>
      <c r="L42" s="3387"/>
      <c r="M42" s="3388"/>
      <c r="N42" s="3389" t="s">
        <v>3099</v>
      </c>
      <c r="O42" s="3389" t="s">
        <v>3100</v>
      </c>
      <c r="P42" s="3390" t="s">
        <v>3101</v>
      </c>
      <c r="Q42" s="3390" t="s">
        <v>3102</v>
      </c>
      <c r="R42" s="3293" t="s">
        <v>3026</v>
      </c>
      <c r="S42" s="3391"/>
      <c r="T42" s="3391"/>
      <c r="U42" s="3278"/>
      <c r="V42" s="3284"/>
    </row>
    <row r="43" spans="1:23" ht="13.15" customHeight="1">
      <c r="A43" s="3288"/>
      <c r="B43" s="3288"/>
      <c r="C43" s="3288"/>
      <c r="D43" s="3288"/>
      <c r="E43" s="3288"/>
      <c r="F43" s="3288"/>
      <c r="I43" s="3273"/>
      <c r="J43" s="3854"/>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3105</v>
      </c>
      <c r="L44" s="3439" t="s">
        <v>3106</v>
      </c>
      <c r="M44" s="3402"/>
      <c r="N44" s="3439" t="s">
        <v>3107</v>
      </c>
      <c r="O44" s="3402"/>
      <c r="P44" s="3439" t="s">
        <v>3108</v>
      </c>
      <c r="Q44" s="3404">
        <v>1.4999999999999999E-2</v>
      </c>
      <c r="R44" s="34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1871</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受贵公司委托，我公司对储备国有建设用地使用权进行了预评估。</v>
      </c>
    </row>
    <row r="5" spans="1:4" ht="18.75">
      <c r="A5" s="1681" t="s">
        <v>1872</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储备国有建设用地使用权。根据《国有土地使用证》[]，估价对象（分摊）出让国有建设用地使用权面积为155413.55平方米。根据《建设工程规划许可证》[]、《出让合同》[]，估价对象规划建筑面积为155413.55平方米。</v>
      </c>
    </row>
    <row r="7" spans="1:4" ht="93.75">
      <c r="A7" s="2557" t="s">
        <v>2699</v>
      </c>
    </row>
    <row r="8" spans="1:4" ht="18.75">
      <c r="A8" s="1681" t="s">
        <v>1873</v>
      </c>
    </row>
    <row r="9" spans="1:4" ht="37.5">
      <c r="A9" s="1683" t="str">
        <f>IF(项目基本情况!B8="抵押",IF(项目基本情况!B5=项目基本情况!B6,定义!C51,定义!B51),定义!D51)</f>
        <v>本次评估为委托估价方了解标的物之市场价格提供参考依据而评估储备国有建设用地使用权市场价格。</v>
      </c>
    </row>
    <row r="10" spans="1:4" ht="18.75">
      <c r="A10" s="1684" t="s">
        <v>1991</v>
      </c>
    </row>
    <row r="11" spans="1:4" ht="18.75">
      <c r="A11" s="1667" t="str">
        <f>TEXT(项目基本情况!D3,"yyyy年m月d日;;")&amp;IF(项目基本情况!B3=项目基本情况!D3,"（评估专业人员勘察现场之日）","")</f>
        <v>2022年3月3日</v>
      </c>
    </row>
    <row r="12" spans="1:4" ht="18.75">
      <c r="A12" s="1684" t="s">
        <v>1990</v>
      </c>
    </row>
    <row r="13" spans="1:4" ht="18.75">
      <c r="A13" s="1678" t="s">
        <v>2036</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2037</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2038</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根据《国有土地使用证》[]，估价对象（分摊）出让国有建设用地使用权面积为155413.55平方米。根据《建设工程规划许可证》[]、《出让合同》[]，估价对象规划建筑面积为155413.55平方米。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2039</v>
      </c>
    </row>
    <row r="23" spans="1:1" ht="18.75">
      <c r="A23" s="2559" t="s">
        <v>2700</v>
      </c>
    </row>
    <row r="24" spans="1:1" ht="18.75">
      <c r="A24" s="1678" t="s">
        <v>2040</v>
      </c>
    </row>
    <row r="25" spans="1:1" ht="150">
      <c r="A25" s="167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67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1992</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685"/>
    </row>
    <row r="32" spans="1:1" ht="18.75">
      <c r="A32" s="1686"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871" t="s">
        <v>2423</v>
      </c>
      <c r="B1" s="3872"/>
      <c r="C1" s="3873"/>
      <c r="D1" s="3874">
        <f>SUM(I10,I15,I20,I21,I23)</f>
        <v>0</v>
      </c>
      <c r="E1" s="3874"/>
      <c r="F1" s="3874"/>
      <c r="G1" s="3874"/>
      <c r="H1" s="3874"/>
      <c r="I1" s="3875"/>
    </row>
    <row r="2" spans="1:9">
      <c r="A2" s="3861" t="s">
        <v>2424</v>
      </c>
      <c r="B2" s="3862" t="s">
        <v>2425</v>
      </c>
      <c r="C2" s="3862"/>
      <c r="D2" s="2328" t="s">
        <v>2426</v>
      </c>
      <c r="E2" s="2328" t="s">
        <v>2427</v>
      </c>
      <c r="F2" s="2328" t="s">
        <v>2428</v>
      </c>
      <c r="G2" s="2328" t="s">
        <v>2429</v>
      </c>
      <c r="H2" s="2328" t="s">
        <v>2430</v>
      </c>
      <c r="I2" s="2329" t="s">
        <v>2431</v>
      </c>
    </row>
    <row r="3" spans="1:9">
      <c r="A3" s="3861"/>
      <c r="B3" s="3862" t="s">
        <v>2432</v>
      </c>
      <c r="C3" s="3862"/>
      <c r="D3" s="2330"/>
      <c r="E3" s="2328"/>
      <c r="F3" s="2331"/>
      <c r="G3" s="2331"/>
      <c r="H3" s="2332"/>
      <c r="I3" s="2333">
        <f>ROUND(D3*E3*F3*G3*H3/10000,0)</f>
        <v>0</v>
      </c>
    </row>
    <row r="4" spans="1:9">
      <c r="A4" s="3861"/>
      <c r="B4" s="3862" t="s">
        <v>2433</v>
      </c>
      <c r="C4" s="3862"/>
      <c r="D4" s="2330"/>
      <c r="E4" s="2328"/>
      <c r="F4" s="2331"/>
      <c r="G4" s="2331"/>
      <c r="H4" s="2332"/>
      <c r="I4" s="2333">
        <f t="shared" ref="I4:I9" si="0">ROUND(D4*E4*F4*G4*H4/10000,0)</f>
        <v>0</v>
      </c>
    </row>
    <row r="5" spans="1:9">
      <c r="A5" s="3861"/>
      <c r="B5" s="3862" t="s">
        <v>2434</v>
      </c>
      <c r="C5" s="3862"/>
      <c r="D5" s="2330"/>
      <c r="E5" s="2328"/>
      <c r="F5" s="2331"/>
      <c r="G5" s="2331"/>
      <c r="H5" s="2332"/>
      <c r="I5" s="2333">
        <f t="shared" si="0"/>
        <v>0</v>
      </c>
    </row>
    <row r="6" spans="1:9">
      <c r="A6" s="3861"/>
      <c r="B6" s="3862" t="s">
        <v>2435</v>
      </c>
      <c r="C6" s="3862"/>
      <c r="D6" s="2330"/>
      <c r="E6" s="2328"/>
      <c r="F6" s="2331"/>
      <c r="G6" s="2331"/>
      <c r="H6" s="2332"/>
      <c r="I6" s="2333">
        <f t="shared" si="0"/>
        <v>0</v>
      </c>
    </row>
    <row r="7" spans="1:9">
      <c r="A7" s="3861"/>
      <c r="B7" s="3862" t="s">
        <v>2436</v>
      </c>
      <c r="C7" s="3862"/>
      <c r="D7" s="2330"/>
      <c r="E7" s="2328"/>
      <c r="F7" s="2331"/>
      <c r="G7" s="2331"/>
      <c r="H7" s="2332"/>
      <c r="I7" s="2333">
        <f t="shared" si="0"/>
        <v>0</v>
      </c>
    </row>
    <row r="8" spans="1:9">
      <c r="A8" s="3861"/>
      <c r="B8" s="3862" t="s">
        <v>2437</v>
      </c>
      <c r="C8" s="3862"/>
      <c r="D8" s="2330"/>
      <c r="E8" s="2328"/>
      <c r="F8" s="2331"/>
      <c r="G8" s="2331"/>
      <c r="H8" s="2332"/>
      <c r="I8" s="2333">
        <f t="shared" si="0"/>
        <v>0</v>
      </c>
    </row>
    <row r="9" spans="1:9">
      <c r="A9" s="3861"/>
      <c r="B9" s="3862" t="s">
        <v>2438</v>
      </c>
      <c r="C9" s="3862"/>
      <c r="D9" s="2330"/>
      <c r="E9" s="2328"/>
      <c r="F9" s="2331"/>
      <c r="G9" s="2331"/>
      <c r="H9" s="2332"/>
      <c r="I9" s="2333">
        <f t="shared" si="0"/>
        <v>0</v>
      </c>
    </row>
    <row r="10" spans="1:9">
      <c r="A10" s="3861"/>
      <c r="B10" s="3863" t="s">
        <v>2439</v>
      </c>
      <c r="C10" s="3863"/>
      <c r="D10" s="2334">
        <v>527</v>
      </c>
      <c r="E10" s="2334" t="e">
        <f>ROUND(D1*10000/D10/H9,0)</f>
        <v>#DIV/0!</v>
      </c>
      <c r="F10" s="2335"/>
      <c r="G10" s="2335"/>
      <c r="H10" s="2336"/>
      <c r="I10" s="2337">
        <f>SUM(I3:I9)</f>
        <v>0</v>
      </c>
    </row>
    <row r="11" spans="1:9" ht="14.25">
      <c r="A11" s="3861" t="s">
        <v>2440</v>
      </c>
      <c r="B11" s="3862" t="s">
        <v>2441</v>
      </c>
      <c r="C11" s="3862"/>
      <c r="D11" s="2330" t="s">
        <v>2442</v>
      </c>
      <c r="E11" s="2330" t="s">
        <v>2443</v>
      </c>
      <c r="F11" s="2331" t="s">
        <v>2444</v>
      </c>
      <c r="G11" s="2331" t="s">
        <v>2445</v>
      </c>
      <c r="H11" s="2338" t="s">
        <v>2446</v>
      </c>
      <c r="I11" s="2329" t="s">
        <v>2447</v>
      </c>
    </row>
    <row r="12" spans="1:9">
      <c r="A12" s="3861"/>
      <c r="B12" s="3862" t="s">
        <v>2448</v>
      </c>
      <c r="C12" s="3862"/>
      <c r="D12" s="2330"/>
      <c r="E12" s="2330"/>
      <c r="F12" s="2331"/>
      <c r="G12" s="2332"/>
      <c r="H12" s="2339"/>
      <c r="I12" s="2329">
        <f>ROUND(D12*E12*F12*G12/10000,0)</f>
        <v>0</v>
      </c>
    </row>
    <row r="13" spans="1:9">
      <c r="A13" s="3861"/>
      <c r="B13" s="3862" t="s">
        <v>2449</v>
      </c>
      <c r="C13" s="3862"/>
      <c r="D13" s="2330"/>
      <c r="E13" s="2330"/>
      <c r="F13" s="2331"/>
      <c r="G13" s="2332"/>
      <c r="H13" s="2339"/>
      <c r="I13" s="2329">
        <f>ROUND(D13*E13*F13*G13/10000,0)</f>
        <v>0</v>
      </c>
    </row>
    <row r="14" spans="1:9">
      <c r="A14" s="3861"/>
      <c r="B14" s="3862" t="s">
        <v>2450</v>
      </c>
      <c r="C14" s="3862"/>
      <c r="D14" s="2330"/>
      <c r="E14" s="2330"/>
      <c r="F14" s="2331"/>
      <c r="G14" s="2332"/>
      <c r="H14" s="2339"/>
      <c r="I14" s="2329">
        <f>ROUND(D14*E14*F14*G14/10000,0)</f>
        <v>0</v>
      </c>
    </row>
    <row r="15" spans="1:9">
      <c r="A15" s="3861"/>
      <c r="B15" s="3863" t="s">
        <v>2439</v>
      </c>
      <c r="C15" s="3863"/>
      <c r="D15" s="2334"/>
      <c r="E15" s="2334">
        <f>SUM(E12:E14)</f>
        <v>0</v>
      </c>
      <c r="F15" s="2335"/>
      <c r="G15" s="2332"/>
      <c r="H15" s="2339"/>
      <c r="I15" s="2340">
        <f>SUM(I12:I14)</f>
        <v>0</v>
      </c>
    </row>
    <row r="16" spans="1:9" ht="24">
      <c r="A16" s="3861" t="s">
        <v>2451</v>
      </c>
      <c r="B16" s="3862" t="s">
        <v>2452</v>
      </c>
      <c r="C16" s="3862"/>
      <c r="D16" s="2330" t="s">
        <v>2453</v>
      </c>
      <c r="E16" s="2341" t="s">
        <v>2454</v>
      </c>
      <c r="F16" s="2331" t="s">
        <v>2455</v>
      </c>
      <c r="G16" s="2332" t="s">
        <v>2445</v>
      </c>
      <c r="H16" s="2338" t="s">
        <v>2446</v>
      </c>
      <c r="I16" s="2329" t="s">
        <v>2447</v>
      </c>
    </row>
    <row r="17" spans="1:9" ht="14.25">
      <c r="A17" s="3861"/>
      <c r="B17" s="3862" t="s">
        <v>2456</v>
      </c>
      <c r="C17" s="3862"/>
      <c r="D17" s="2330"/>
      <c r="E17" s="2330"/>
      <c r="F17" s="2331"/>
      <c r="G17" s="2332"/>
      <c r="H17" s="2342"/>
      <c r="I17" s="2343">
        <f>ROUND(D17*E17*F17*G17/10000,0)</f>
        <v>0</v>
      </c>
    </row>
    <row r="18" spans="1:9" ht="14.25">
      <c r="A18" s="3861"/>
      <c r="B18" s="3862" t="s">
        <v>2457</v>
      </c>
      <c r="C18" s="3862"/>
      <c r="D18" s="2330"/>
      <c r="E18" s="2330"/>
      <c r="F18" s="2331"/>
      <c r="G18" s="2332"/>
      <c r="H18" s="2342"/>
      <c r="I18" s="2343">
        <f>ROUND(D18*E18*F18*G18/10000,0)</f>
        <v>0</v>
      </c>
    </row>
    <row r="19" spans="1:9" ht="14.25">
      <c r="A19" s="3861"/>
      <c r="B19" s="3862" t="s">
        <v>2458</v>
      </c>
      <c r="C19" s="3862"/>
      <c r="D19" s="2330"/>
      <c r="E19" s="2330"/>
      <c r="F19" s="2331"/>
      <c r="G19" s="2332"/>
      <c r="H19" s="2342"/>
      <c r="I19" s="2343">
        <f>ROUND(D19*E19*F19*G19/10000,0)</f>
        <v>0</v>
      </c>
    </row>
    <row r="20" spans="1:9">
      <c r="A20" s="3861"/>
      <c r="B20" s="3863" t="s">
        <v>2439</v>
      </c>
      <c r="C20" s="3863"/>
      <c r="D20" s="2334">
        <f>SUM(D17:D19)</f>
        <v>0</v>
      </c>
      <c r="E20" s="2334"/>
      <c r="F20" s="2335"/>
      <c r="G20" s="2332"/>
      <c r="H20" s="2339"/>
      <c r="I20" s="2340">
        <f>SUM(I17:I19)</f>
        <v>0</v>
      </c>
    </row>
    <row r="21" spans="1:9">
      <c r="A21" s="3861" t="s">
        <v>2459</v>
      </c>
      <c r="B21" s="3864"/>
      <c r="C21" s="3864"/>
      <c r="D21" s="3864"/>
      <c r="E21" s="3864"/>
      <c r="F21" s="3864"/>
      <c r="G21" s="3864"/>
      <c r="H21" s="2344">
        <v>0.1</v>
      </c>
      <c r="I21" s="2337">
        <f>ROUND(I10*H21,0)</f>
        <v>0</v>
      </c>
    </row>
    <row r="22" spans="1:9" ht="14.25">
      <c r="A22" s="3865" t="s">
        <v>2460</v>
      </c>
      <c r="B22" s="3866"/>
      <c r="C22" s="3867"/>
      <c r="D22" s="2345" t="s">
        <v>2461</v>
      </c>
      <c r="E22" s="2345" t="s">
        <v>2462</v>
      </c>
      <c r="F22" s="2346" t="s">
        <v>2463</v>
      </c>
      <c r="G22" s="2346" t="s">
        <v>2464</v>
      </c>
      <c r="H22" s="2338" t="s">
        <v>2465</v>
      </c>
      <c r="I22" s="2329" t="s">
        <v>2466</v>
      </c>
    </row>
    <row r="23" spans="1:9" ht="14.25" thickBot="1">
      <c r="A23" s="3868"/>
      <c r="B23" s="3869"/>
      <c r="C23" s="3870"/>
      <c r="D23" s="2347"/>
      <c r="E23" s="2347"/>
      <c r="F23" s="2347"/>
      <c r="G23" s="2348"/>
      <c r="H23" s="2349"/>
      <c r="I23" s="2350">
        <f>ROUND(E23*D23*F23*(1-G23)/10000,0)</f>
        <v>0</v>
      </c>
    </row>
    <row r="26" spans="1:9">
      <c r="A26" s="2351" t="s">
        <v>2467</v>
      </c>
      <c r="B26" s="2351"/>
      <c r="C26" s="2351"/>
      <c r="D26" s="2351"/>
      <c r="E26" s="3858">
        <f>C27-C30-C31-C32</f>
        <v>0</v>
      </c>
      <c r="F26" s="3858"/>
      <c r="G26" s="3858"/>
      <c r="H26" s="2720" t="s">
        <v>2790</v>
      </c>
    </row>
    <row r="27" spans="1:9">
      <c r="A27" s="2352">
        <v>1</v>
      </c>
      <c r="B27" s="2353" t="s">
        <v>2468</v>
      </c>
      <c r="C27" s="2353"/>
      <c r="D27" s="2353"/>
      <c r="E27" s="3859"/>
      <c r="F27" s="3859"/>
      <c r="G27" s="3859"/>
    </row>
    <row r="28" spans="1:9">
      <c r="A28" s="2354" t="s">
        <v>2469</v>
      </c>
      <c r="B28" s="2353" t="s">
        <v>2470</v>
      </c>
      <c r="C28" s="2353"/>
      <c r="D28" s="2353"/>
      <c r="E28" s="3859"/>
      <c r="F28" s="3859"/>
      <c r="G28" s="3859"/>
    </row>
    <row r="29" spans="1:9">
      <c r="A29" s="2354" t="s">
        <v>2471</v>
      </c>
      <c r="B29" s="2353" t="s">
        <v>2412</v>
      </c>
      <c r="C29" s="2353"/>
      <c r="D29" s="2353"/>
      <c r="E29" s="2353" t="s">
        <v>2472</v>
      </c>
      <c r="F29" s="2353"/>
      <c r="G29" s="2353"/>
    </row>
    <row r="30" spans="1:9">
      <c r="A30" s="2352">
        <v>2</v>
      </c>
      <c r="B30" s="2353" t="s">
        <v>2473</v>
      </c>
      <c r="C30" s="2353">
        <f>C27*D30</f>
        <v>0</v>
      </c>
      <c r="D30" s="2355">
        <v>0.2</v>
      </c>
      <c r="E30" s="2353" t="s">
        <v>2474</v>
      </c>
      <c r="F30" s="2353"/>
      <c r="G30" s="2353"/>
    </row>
    <row r="31" spans="1:9">
      <c r="A31" s="2352">
        <v>3</v>
      </c>
      <c r="B31" s="2353" t="s">
        <v>2475</v>
      </c>
      <c r="C31" s="2353">
        <f>C25*D31</f>
        <v>0</v>
      </c>
      <c r="D31" s="2355">
        <v>0.15</v>
      </c>
      <c r="E31" s="2353" t="s">
        <v>2476</v>
      </c>
      <c r="F31" s="2353"/>
      <c r="G31" s="2353"/>
    </row>
    <row r="32" spans="1:9">
      <c r="A32" s="2352">
        <v>4</v>
      </c>
      <c r="B32" s="2353" t="s">
        <v>2477</v>
      </c>
      <c r="C32" s="2353">
        <f>C27*D32</f>
        <v>0</v>
      </c>
      <c r="D32" s="2355">
        <v>0.05</v>
      </c>
      <c r="E32" s="3860"/>
      <c r="F32" s="3860"/>
      <c r="G32" s="3860"/>
    </row>
    <row r="33" spans="1:7" hidden="1">
      <c r="A33" s="3855" t="s">
        <v>2478</v>
      </c>
      <c r="B33" s="3856"/>
      <c r="C33" s="3856"/>
      <c r="D33" s="3857"/>
      <c r="E33" s="3858"/>
      <c r="F33" s="3858"/>
      <c r="G33" s="3858"/>
    </row>
    <row r="34" spans="1:7" hidden="1">
      <c r="A34" s="2356">
        <v>1</v>
      </c>
      <c r="B34" s="2353" t="s">
        <v>2479</v>
      </c>
      <c r="C34" s="2353"/>
      <c r="D34" s="2353"/>
      <c r="E34" s="3859"/>
      <c r="F34" s="3859"/>
      <c r="G34" s="3859"/>
    </row>
    <row r="35" spans="1:7" hidden="1">
      <c r="A35" s="2356">
        <v>2</v>
      </c>
      <c r="B35" s="2353" t="s">
        <v>2480</v>
      </c>
      <c r="C35" s="2353"/>
      <c r="D35" s="2353"/>
      <c r="E35" s="3859"/>
      <c r="F35" s="3859"/>
      <c r="G35" s="3859"/>
    </row>
    <row r="36" spans="1:7" hidden="1">
      <c r="A36" s="2356">
        <v>3</v>
      </c>
      <c r="B36" s="2353" t="s">
        <v>2481</v>
      </c>
      <c r="C36" s="2353"/>
      <c r="D36" s="2353"/>
      <c r="E36" s="3859"/>
      <c r="F36" s="3859"/>
      <c r="G36" s="3859"/>
    </row>
    <row r="37" spans="1:7" hidden="1">
      <c r="A37" s="2356">
        <v>4</v>
      </c>
      <c r="B37" s="2353" t="s">
        <v>2482</v>
      </c>
      <c r="C37" s="2353"/>
      <c r="D37" s="2353"/>
      <c r="E37" s="3859"/>
      <c r="F37" s="3859"/>
      <c r="G37" s="3859"/>
    </row>
    <row r="38" spans="1:7" hidden="1">
      <c r="A38" s="3855" t="s">
        <v>2483</v>
      </c>
      <c r="B38" s="3856"/>
      <c r="C38" s="3856"/>
      <c r="D38" s="3857"/>
      <c r="E38" s="3858"/>
      <c r="F38" s="3858"/>
      <c r="G38" s="38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493</v>
      </c>
      <c r="B1" s="479"/>
      <c r="C1" s="480" t="s">
        <v>574</v>
      </c>
      <c r="D1" s="481" t="s">
        <v>495</v>
      </c>
      <c r="E1" s="711"/>
      <c r="F1" s="712"/>
      <c r="G1" s="711"/>
      <c r="H1" s="711"/>
      <c r="I1" s="711"/>
      <c r="J1" s="711"/>
      <c r="K1" s="71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460</v>
      </c>
      <c r="B2" s="484" t="e">
        <f>F63</f>
        <v>#DIV/0!</v>
      </c>
      <c r="C2" s="3184"/>
      <c r="D2" s="3184"/>
      <c r="E2" s="3184"/>
      <c r="F2" s="3185"/>
      <c r="G2" s="3184"/>
      <c r="H2" s="3184"/>
      <c r="I2" s="3184"/>
      <c r="J2" s="3184"/>
      <c r="K2" s="3186"/>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c r="A3" s="1306" t="s">
        <v>1658</v>
      </c>
      <c r="B3" s="486" t="e">
        <f>ROUND(B2*10000/'数据-汇总表'!E3,0)</f>
        <v>#DIV/0!</v>
      </c>
      <c r="C3" s="3183"/>
      <c r="D3" s="3183"/>
      <c r="E3" s="3183"/>
      <c r="F3" s="3183"/>
      <c r="G3" s="3184"/>
      <c r="H3" s="3184"/>
      <c r="I3" s="3184"/>
      <c r="J3" s="3184"/>
      <c r="K3" s="3186"/>
      <c r="L3" s="1983"/>
      <c r="M3" s="1984"/>
      <c r="N3" s="1984"/>
      <c r="O3" s="1984"/>
      <c r="P3" s="1984"/>
      <c r="Q3" s="1984"/>
      <c r="R3" s="1984"/>
      <c r="S3" s="1984"/>
      <c r="T3" s="1984"/>
      <c r="U3" s="1984"/>
      <c r="V3" s="1984"/>
      <c r="W3" s="1984"/>
      <c r="X3" s="1984"/>
      <c r="Y3" s="1984"/>
      <c r="Z3" s="1984"/>
      <c r="AA3" s="1984"/>
      <c r="AB3" s="1915"/>
      <c r="AC3" s="1915"/>
    </row>
    <row r="4" spans="1:29" s="1264" customFormat="1" ht="28.5" customHeight="1">
      <c r="A4" s="487" t="s">
        <v>497</v>
      </c>
      <c r="B4" s="421" t="e">
        <f>IF(B43="单位面积地价",C45,ROUND(B2*10000/'数据-汇总表'!D3,0))</f>
        <v>#DIV/0!</v>
      </c>
      <c r="C4" s="3183"/>
      <c r="D4" s="3183"/>
      <c r="E4" s="3183"/>
      <c r="F4" s="3183"/>
      <c r="G4" s="3184"/>
      <c r="H4" s="3184"/>
      <c r="I4" s="3184"/>
      <c r="J4" s="3184"/>
      <c r="K4" s="3186"/>
      <c r="L4" s="1983"/>
      <c r="M4" s="1984"/>
      <c r="N4" s="1984"/>
      <c r="O4" s="1984"/>
      <c r="P4" s="1984"/>
      <c r="Q4" s="1984"/>
      <c r="R4" s="1984"/>
      <c r="S4" s="1984"/>
      <c r="T4" s="1984"/>
      <c r="U4" s="1984"/>
      <c r="V4" s="1984"/>
      <c r="W4" s="1984"/>
      <c r="X4" s="1984"/>
      <c r="Y4" s="1984"/>
      <c r="Z4" s="1984"/>
      <c r="AA4" s="1984"/>
      <c r="AB4" s="1984"/>
      <c r="AC4" s="1915"/>
    </row>
    <row r="5" spans="1:29" s="1264" customFormat="1" ht="28.5" customHeight="1" thickBot="1">
      <c r="A5" s="423"/>
      <c r="B5" s="424" t="e">
        <f>ROUND(B2/('数据-汇总表'!D3/666.67),0)</f>
        <v>#DIV/0!</v>
      </c>
      <c r="C5" s="425" t="s">
        <v>462</v>
      </c>
      <c r="D5" s="3183"/>
      <c r="E5" s="3183"/>
      <c r="F5" s="3183"/>
      <c r="G5" s="3184"/>
      <c r="H5" s="3184"/>
      <c r="I5" s="3184"/>
      <c r="J5" s="3184"/>
      <c r="K5" s="3186"/>
      <c r="L5" s="1983"/>
      <c r="M5" s="1984"/>
      <c r="N5" s="1984"/>
      <c r="O5" s="1984"/>
      <c r="P5" s="1984"/>
      <c r="Q5" s="1984"/>
      <c r="R5" s="1984"/>
      <c r="S5" s="1984"/>
      <c r="T5" s="1984"/>
      <c r="U5" s="1984"/>
      <c r="V5" s="1984"/>
      <c r="W5" s="1984"/>
      <c r="X5" s="1984"/>
      <c r="Y5" s="1984"/>
      <c r="Z5" s="1984"/>
      <c r="AA5" s="1984"/>
      <c r="AB5" s="3175"/>
      <c r="AC5" s="1915"/>
    </row>
    <row r="6" spans="1:29" ht="15">
      <c r="A6" s="488" t="s">
        <v>498</v>
      </c>
      <c r="B6" s="489"/>
      <c r="C6" s="3777" t="s">
        <v>499</v>
      </c>
      <c r="D6" s="3778"/>
      <c r="E6" s="3882" t="s">
        <v>500</v>
      </c>
      <c r="F6" s="3883"/>
      <c r="G6" s="3777" t="s">
        <v>501</v>
      </c>
      <c r="H6" s="3778"/>
      <c r="I6" s="3777" t="s">
        <v>502</v>
      </c>
      <c r="J6" s="3778"/>
      <c r="K6" s="490" t="s">
        <v>503</v>
      </c>
      <c r="L6" s="1985"/>
      <c r="M6" s="1986"/>
      <c r="N6" s="1986"/>
      <c r="O6" s="1986"/>
      <c r="P6" s="3779" t="s">
        <v>504</v>
      </c>
      <c r="Q6" s="3780"/>
      <c r="R6" s="3765" t="s">
        <v>500</v>
      </c>
      <c r="S6" s="3766"/>
      <c r="T6" s="3765" t="s">
        <v>501</v>
      </c>
      <c r="U6" s="3766"/>
      <c r="V6" s="3785" t="s">
        <v>502</v>
      </c>
      <c r="W6" s="3785"/>
      <c r="X6" s="1475"/>
      <c r="Y6" s="3765" t="s">
        <v>504</v>
      </c>
      <c r="Z6" s="3766"/>
      <c r="AA6" s="3760" t="s">
        <v>500</v>
      </c>
      <c r="AB6" s="3761" t="s">
        <v>501</v>
      </c>
      <c r="AC6" s="3760" t="s">
        <v>502</v>
      </c>
    </row>
    <row r="7" spans="1:29" ht="15">
      <c r="A7" s="491"/>
      <c r="B7" s="492"/>
      <c r="C7" s="3788" t="s">
        <v>2865</v>
      </c>
      <c r="D7" s="3789"/>
      <c r="E7" s="3884" t="s">
        <v>2866</v>
      </c>
      <c r="F7" s="3885"/>
      <c r="G7" s="3788" t="s">
        <v>2867</v>
      </c>
      <c r="H7" s="3789"/>
      <c r="I7" s="3788" t="s">
        <v>2868</v>
      </c>
      <c r="J7" s="3789"/>
      <c r="K7" s="490"/>
      <c r="L7" s="1985"/>
      <c r="M7" s="1986"/>
      <c r="N7" s="1986"/>
      <c r="O7" s="1986"/>
      <c r="P7" s="3781"/>
      <c r="Q7" s="3782"/>
      <c r="R7" s="3767"/>
      <c r="S7" s="3768"/>
      <c r="T7" s="3767"/>
      <c r="U7" s="3768"/>
      <c r="V7" s="3785"/>
      <c r="W7" s="3785"/>
      <c r="X7" s="1475"/>
      <c r="Y7" s="3767"/>
      <c r="Z7" s="3768"/>
      <c r="AA7" s="3761"/>
      <c r="AB7" s="3761"/>
      <c r="AC7" s="3761"/>
    </row>
    <row r="8" spans="1:29" ht="15.75" thickBot="1">
      <c r="A8" s="493"/>
      <c r="B8" s="494"/>
      <c r="C8" s="3786" t="s">
        <v>2869</v>
      </c>
      <c r="D8" s="3787"/>
      <c r="E8" s="3886" t="s">
        <v>2869</v>
      </c>
      <c r="F8" s="3887"/>
      <c r="G8" s="3786" t="s">
        <v>2869</v>
      </c>
      <c r="H8" s="3787"/>
      <c r="I8" s="3786" t="s">
        <v>2869</v>
      </c>
      <c r="J8" s="3787"/>
      <c r="K8" s="490" t="s">
        <v>505</v>
      </c>
      <c r="L8" s="1985"/>
      <c r="M8" s="1986"/>
      <c r="N8" s="1986"/>
      <c r="O8" s="1986"/>
      <c r="P8" s="3783"/>
      <c r="Q8" s="3784"/>
      <c r="R8" s="3767"/>
      <c r="S8" s="3768"/>
      <c r="T8" s="3769"/>
      <c r="U8" s="3770"/>
      <c r="V8" s="3785"/>
      <c r="W8" s="3785"/>
      <c r="X8" s="1475"/>
      <c r="Y8" s="3769"/>
      <c r="Z8" s="3770"/>
      <c r="AA8" s="3762"/>
      <c r="AB8" s="3762"/>
      <c r="AC8" s="3762"/>
    </row>
    <row r="9" spans="1:29" s="1185" customFormat="1" ht="15.75" thickBot="1">
      <c r="A9" s="2596"/>
      <c r="B9" s="2603" t="s">
        <v>506</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7"/>
      <c r="M9" s="1988"/>
      <c r="N9" s="1988"/>
      <c r="O9" s="1988"/>
      <c r="P9" s="3763" t="s">
        <v>507</v>
      </c>
      <c r="Q9" s="3772"/>
      <c r="R9" s="1476" t="s">
        <v>8</v>
      </c>
      <c r="S9" s="1477">
        <f t="shared" ref="S9:S17" si="0">F9</f>
        <v>0</v>
      </c>
      <c r="T9" s="1476" t="s">
        <v>8</v>
      </c>
      <c r="U9" s="1477">
        <f t="shared" ref="U9:U17" si="1">H9</f>
        <v>0</v>
      </c>
      <c r="V9" s="1476" t="s">
        <v>8</v>
      </c>
      <c r="W9" s="1477">
        <f t="shared" ref="W9:W17" si="2">J9</f>
        <v>0</v>
      </c>
      <c r="X9" s="1478"/>
      <c r="Y9" s="3763" t="s">
        <v>507</v>
      </c>
      <c r="Z9" s="3764"/>
      <c r="AA9" s="1479" t="e">
        <f>D9/F9</f>
        <v>#DIV/0!</v>
      </c>
      <c r="AB9" s="1479" t="e">
        <f>D9/H9</f>
        <v>#DIV/0!</v>
      </c>
      <c r="AC9" s="1479" t="e">
        <f>D9/J9</f>
        <v>#DIV/0!</v>
      </c>
    </row>
    <row r="10" spans="1:29" s="1185" customFormat="1" ht="15.75" thickBot="1">
      <c r="A10" s="2597"/>
      <c r="B10" s="2604" t="s">
        <v>508</v>
      </c>
      <c r="C10" s="501" t="s">
        <v>509</v>
      </c>
      <c r="D10" s="496">
        <v>100</v>
      </c>
      <c r="E10" s="501"/>
      <c r="F10" s="498">
        <f>SUMIF(70:70,E10,71:71)-SUMIF(70:70,C10,71:71)+100</f>
        <v>0</v>
      </c>
      <c r="G10" s="501"/>
      <c r="H10" s="496">
        <f>SUMIF(70:70,G10,71:71)-SUMIF(70:70,C10,71:71)+100</f>
        <v>0</v>
      </c>
      <c r="I10" s="501"/>
      <c r="J10" s="496">
        <f>SUMIF(70:70,I10,71:71)-SUMIF(70:70,C10,71:71)+100</f>
        <v>0</v>
      </c>
      <c r="K10" s="500"/>
      <c r="L10" s="1987"/>
      <c r="M10" s="1988"/>
      <c r="N10" s="1988"/>
      <c r="O10" s="1988"/>
      <c r="P10" s="3763" t="s">
        <v>510</v>
      </c>
      <c r="Q10" s="3764"/>
      <c r="R10" s="1476" t="s">
        <v>8</v>
      </c>
      <c r="S10" s="1477">
        <f t="shared" si="0"/>
        <v>0</v>
      </c>
      <c r="T10" s="1476" t="s">
        <v>8</v>
      </c>
      <c r="U10" s="1477">
        <f t="shared" si="1"/>
        <v>0</v>
      </c>
      <c r="V10" s="1476" t="s">
        <v>8</v>
      </c>
      <c r="W10" s="1477">
        <f t="shared" si="2"/>
        <v>0</v>
      </c>
      <c r="X10" s="1478"/>
      <c r="Y10" s="3763" t="s">
        <v>510</v>
      </c>
      <c r="Z10" s="3764"/>
      <c r="AA10" s="1479" t="e">
        <f t="shared" ref="AA10:AA42" si="3">D10/F10</f>
        <v>#DIV/0!</v>
      </c>
      <c r="AB10" s="1479" t="e">
        <f t="shared" ref="AB10:AB42" si="4">D10/H10</f>
        <v>#DIV/0!</v>
      </c>
      <c r="AC10" s="1479" t="e">
        <f t="shared" ref="AC10:AC42" si="5">D10/J10</f>
        <v>#DIV/0!</v>
      </c>
    </row>
    <row r="11" spans="1:29" s="1185" customFormat="1" ht="15">
      <c r="A11" s="2598"/>
      <c r="B11" s="2605" t="s">
        <v>2707</v>
      </c>
      <c r="C11" s="502"/>
      <c r="D11" s="252">
        <v>100</v>
      </c>
      <c r="E11" s="502"/>
      <c r="F11" s="252">
        <f>SUMIF(72:72,E11,73:73)-SUMIF(72:72,C11,73:73)+100</f>
        <v>100</v>
      </c>
      <c r="G11" s="502"/>
      <c r="H11" s="252">
        <f>SUMIF(72:72,G11,73:73)-SUMIF(72:72,C11,73:73)+100</f>
        <v>100</v>
      </c>
      <c r="I11" s="502"/>
      <c r="J11" s="252">
        <f>SUMIF(72:72,I11,73:73)-SUMIF(72:72,C11,73:73)+100</f>
        <v>100</v>
      </c>
      <c r="K11" s="500"/>
      <c r="L11" s="1987"/>
      <c r="M11" s="1988"/>
      <c r="N11" s="1988"/>
      <c r="O11" s="1989"/>
      <c r="P11" s="3771" t="s">
        <v>512</v>
      </c>
      <c r="Q11" s="1116" t="str">
        <f t="shared" ref="Q11:Q17" si="6">B11</f>
        <v>用途</v>
      </c>
      <c r="R11" s="1476" t="s">
        <v>8</v>
      </c>
      <c r="S11" s="1477">
        <f t="shared" si="0"/>
        <v>100</v>
      </c>
      <c r="T11" s="1476" t="s">
        <v>8</v>
      </c>
      <c r="U11" s="1477">
        <f t="shared" si="1"/>
        <v>100</v>
      </c>
      <c r="V11" s="1476" t="s">
        <v>8</v>
      </c>
      <c r="W11" s="1477">
        <f t="shared" si="2"/>
        <v>100</v>
      </c>
      <c r="X11" s="1478"/>
      <c r="Y11" s="3712" t="s">
        <v>513</v>
      </c>
      <c r="Z11" s="1115" t="str">
        <f t="shared" ref="Z11:Z17" si="7">Q11</f>
        <v>用途</v>
      </c>
      <c r="AA11" s="1479">
        <f t="shared" si="3"/>
        <v>1</v>
      </c>
      <c r="AB11" s="1479">
        <f t="shared" si="4"/>
        <v>1</v>
      </c>
      <c r="AC11" s="1479">
        <f t="shared" si="5"/>
        <v>1</v>
      </c>
    </row>
    <row r="12" spans="1:29" s="1266" customFormat="1" ht="27">
      <c r="A12" s="2599"/>
      <c r="B12" s="2604" t="s">
        <v>2708</v>
      </c>
      <c r="C12" s="504"/>
      <c r="D12" s="253">
        <v>100</v>
      </c>
      <c r="E12" s="504"/>
      <c r="F12" s="253" t="e">
        <f>ROUND(100/'数据-取费表'!G16,0)</f>
        <v>#DIV/0!</v>
      </c>
      <c r="G12" s="504"/>
      <c r="H12" s="253" t="e">
        <f>ROUND(100/'数据-取费表'!G16,0)</f>
        <v>#DIV/0!</v>
      </c>
      <c r="I12" s="504"/>
      <c r="J12" s="253" t="e">
        <f>ROUND(100/'数据-取费表'!G16,0)</f>
        <v>#DIV/0!</v>
      </c>
      <c r="K12" s="507"/>
      <c r="L12" s="1990"/>
      <c r="M12" s="2029"/>
      <c r="N12" s="2029"/>
      <c r="O12" s="1991"/>
      <c r="P12" s="3771"/>
      <c r="Q12" s="1116" t="str">
        <f t="shared" si="6"/>
        <v>土地使用年限（年）</v>
      </c>
      <c r="R12" s="1476" t="s">
        <v>8</v>
      </c>
      <c r="S12" s="1477" t="e">
        <f t="shared" si="0"/>
        <v>#DIV/0!</v>
      </c>
      <c r="T12" s="1476" t="s">
        <v>8</v>
      </c>
      <c r="U12" s="1477" t="e">
        <f t="shared" si="1"/>
        <v>#DIV/0!</v>
      </c>
      <c r="V12" s="1476" t="s">
        <v>8</v>
      </c>
      <c r="W12" s="1477" t="e">
        <f t="shared" si="2"/>
        <v>#DIV/0!</v>
      </c>
      <c r="X12" s="1478"/>
      <c r="Y12" s="3712"/>
      <c r="Z12" s="1115" t="str">
        <f t="shared" si="7"/>
        <v>土地使用年限（年）</v>
      </c>
      <c r="AA12" s="1479" t="e">
        <f t="shared" si="3"/>
        <v>#DIV/0!</v>
      </c>
      <c r="AB12" s="1479" t="e">
        <f t="shared" si="4"/>
        <v>#DIV/0!</v>
      </c>
      <c r="AC12" s="1479" t="e">
        <f t="shared" si="5"/>
        <v>#DIV/0!</v>
      </c>
    </row>
    <row r="13" spans="1:29" ht="15">
      <c r="A13" s="2600"/>
      <c r="B13" s="2604" t="s">
        <v>2709</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2"/>
      <c r="M13" s="1986"/>
      <c r="N13" s="1986"/>
      <c r="O13" s="1993"/>
      <c r="P13" s="3771"/>
      <c r="Q13" s="1116" t="str">
        <f t="shared" si="6"/>
        <v>容积率</v>
      </c>
      <c r="R13" s="1476" t="s">
        <v>8</v>
      </c>
      <c r="S13" s="1477" t="e">
        <f t="shared" si="0"/>
        <v>#N/A</v>
      </c>
      <c r="T13" s="1476" t="s">
        <v>8</v>
      </c>
      <c r="U13" s="1477" t="e">
        <f t="shared" si="1"/>
        <v>#N/A</v>
      </c>
      <c r="V13" s="1476" t="s">
        <v>8</v>
      </c>
      <c r="W13" s="1477" t="e">
        <f t="shared" si="2"/>
        <v>#N/A</v>
      </c>
      <c r="X13" s="1478"/>
      <c r="Y13" s="3712"/>
      <c r="Z13" s="1115" t="str">
        <f t="shared" si="7"/>
        <v>容积率</v>
      </c>
      <c r="AA13" s="1479" t="e">
        <f t="shared" si="3"/>
        <v>#N/A</v>
      </c>
      <c r="AB13" s="1479" t="e">
        <f t="shared" si="4"/>
        <v>#N/A</v>
      </c>
      <c r="AC13" s="1479" t="e">
        <f t="shared" si="5"/>
        <v>#N/A</v>
      </c>
    </row>
    <row r="14" spans="1:29" s="1185" customFormat="1" ht="15">
      <c r="A14" s="2601"/>
      <c r="B14" s="2607">
        <v>111</v>
      </c>
      <c r="C14" s="504"/>
      <c r="D14" s="514">
        <v>100</v>
      </c>
      <c r="E14" s="517"/>
      <c r="F14" s="253">
        <f>SUMIF(79:79,E14,80:80)-SUMIF(79:79,C14,80:80)+100</f>
        <v>100</v>
      </c>
      <c r="G14" s="518"/>
      <c r="H14" s="253">
        <f>SUMIF(79:79,G14,80:80)-SUMIF(79:79,C14,80:80)+100</f>
        <v>100</v>
      </c>
      <c r="I14" s="517"/>
      <c r="J14" s="253">
        <f>SUMIF(79:79,I14,80:80)-SUMIF(79:79,C14,80:80)+100</f>
        <v>100</v>
      </c>
      <c r="K14" s="507"/>
      <c r="L14" s="1987"/>
      <c r="M14" s="1988"/>
      <c r="N14" s="1988"/>
      <c r="O14" s="1989"/>
      <c r="P14" s="3771"/>
      <c r="Q14" s="1116">
        <f t="shared" si="6"/>
        <v>111</v>
      </c>
      <c r="R14" s="1476" t="s">
        <v>8</v>
      </c>
      <c r="S14" s="1477">
        <f t="shared" si="0"/>
        <v>100</v>
      </c>
      <c r="T14" s="1476" t="s">
        <v>8</v>
      </c>
      <c r="U14" s="1477">
        <f t="shared" si="1"/>
        <v>100</v>
      </c>
      <c r="V14" s="1476" t="s">
        <v>8</v>
      </c>
      <c r="W14" s="1477">
        <f t="shared" si="2"/>
        <v>100</v>
      </c>
      <c r="X14" s="1478"/>
      <c r="Y14" s="3712"/>
      <c r="Z14" s="1115">
        <f t="shared" si="7"/>
        <v>111</v>
      </c>
      <c r="AA14" s="1479">
        <f>D14/F14</f>
        <v>1</v>
      </c>
      <c r="AB14" s="1479">
        <f>D14/H14</f>
        <v>1</v>
      </c>
      <c r="AC14" s="1479">
        <f>D14/J14</f>
        <v>1</v>
      </c>
    </row>
    <row r="15" spans="1:29" ht="15">
      <c r="A15" s="2601"/>
      <c r="B15" s="2607">
        <v>111</v>
      </c>
      <c r="C15" s="515"/>
      <c r="D15" s="516">
        <v>100</v>
      </c>
      <c r="E15" s="517"/>
      <c r="F15" s="253">
        <f>SUMIF(81:81,E15,82:82)-SUMIF(81:81,C15,82:82)+100</f>
        <v>100</v>
      </c>
      <c r="G15" s="518"/>
      <c r="H15" s="516">
        <f>SUMIF(81:81,G15,82:82)-SUMIF(81:81,C15,82:82)+100</f>
        <v>100</v>
      </c>
      <c r="I15" s="517"/>
      <c r="J15" s="516">
        <f>SUMIF(81:81,I15,82:82)-SUMIF(81:81,C15,82:82)+100</f>
        <v>100</v>
      </c>
      <c r="K15" s="507"/>
      <c r="L15" s="1994"/>
      <c r="M15" s="1986"/>
      <c r="N15" s="1986"/>
      <c r="O15" s="1993"/>
      <c r="P15" s="3771"/>
      <c r="Q15" s="1116">
        <f t="shared" si="6"/>
        <v>111</v>
      </c>
      <c r="R15" s="1476" t="s">
        <v>8</v>
      </c>
      <c r="S15" s="1477">
        <f t="shared" si="0"/>
        <v>100</v>
      </c>
      <c r="T15" s="1476" t="s">
        <v>8</v>
      </c>
      <c r="U15" s="1477">
        <f t="shared" si="1"/>
        <v>100</v>
      </c>
      <c r="V15" s="1476" t="s">
        <v>8</v>
      </c>
      <c r="W15" s="1477">
        <f t="shared" si="2"/>
        <v>100</v>
      </c>
      <c r="X15" s="1478"/>
      <c r="Y15" s="3712"/>
      <c r="Z15" s="1115">
        <f t="shared" si="7"/>
        <v>111</v>
      </c>
      <c r="AA15" s="1479">
        <f t="shared" si="3"/>
        <v>1</v>
      </c>
      <c r="AB15" s="1479">
        <f t="shared" si="4"/>
        <v>1</v>
      </c>
      <c r="AC15" s="1479">
        <f t="shared" si="5"/>
        <v>1</v>
      </c>
    </row>
    <row r="16" spans="1:29" ht="15.75" thickBot="1">
      <c r="A16" s="2602"/>
      <c r="B16" s="2608">
        <v>111</v>
      </c>
      <c r="C16" s="521"/>
      <c r="D16" s="522">
        <v>100</v>
      </c>
      <c r="E16" s="517"/>
      <c r="F16" s="522">
        <f>SUMIF(83:83,E16,84:84)-SUMIF(83:83,C16,84:84)+100</f>
        <v>100</v>
      </c>
      <c r="G16" s="518"/>
      <c r="H16" s="522">
        <f>SUMIF(83:83,G16,84:84)-SUMIF(83:83,C16,84:84)+100</f>
        <v>100</v>
      </c>
      <c r="I16" s="517"/>
      <c r="J16" s="522">
        <f>SUMIF(83:83,I16,84:84)-SUMIF(83:83,C16,84:84)+100</f>
        <v>100</v>
      </c>
      <c r="K16" s="507"/>
      <c r="L16" s="1994"/>
      <c r="M16" s="1986"/>
      <c r="N16" s="1986"/>
      <c r="O16" s="1993"/>
      <c r="P16" s="3771"/>
      <c r="Q16" s="1116">
        <f t="shared" si="6"/>
        <v>111</v>
      </c>
      <c r="R16" s="1476" t="s">
        <v>8</v>
      </c>
      <c r="S16" s="1477">
        <f t="shared" si="0"/>
        <v>100</v>
      </c>
      <c r="T16" s="1476" t="s">
        <v>8</v>
      </c>
      <c r="U16" s="1477">
        <f t="shared" si="1"/>
        <v>100</v>
      </c>
      <c r="V16" s="1476" t="s">
        <v>8</v>
      </c>
      <c r="W16" s="1477">
        <f t="shared" si="2"/>
        <v>100</v>
      </c>
      <c r="X16" s="1478"/>
      <c r="Y16" s="3712"/>
      <c r="Z16" s="1115">
        <f t="shared" si="7"/>
        <v>111</v>
      </c>
      <c r="AA16" s="1479">
        <f t="shared" si="3"/>
        <v>1</v>
      </c>
      <c r="AB16" s="1479">
        <f t="shared" si="4"/>
        <v>1</v>
      </c>
      <c r="AC16" s="1479">
        <f t="shared" si="5"/>
        <v>1</v>
      </c>
    </row>
    <row r="17" spans="1:29" ht="57">
      <c r="A17" s="2594" t="s">
        <v>2705</v>
      </c>
      <c r="B17" s="164" t="s">
        <v>575</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4"/>
      <c r="M17" s="1986"/>
      <c r="N17" s="1986"/>
      <c r="O17" s="1993"/>
      <c r="P17" s="3773" t="s">
        <v>517</v>
      </c>
      <c r="Q17" s="1480" t="str">
        <f t="shared" si="6"/>
        <v>产业集聚程度</v>
      </c>
      <c r="R17" s="1481" t="s">
        <v>8</v>
      </c>
      <c r="S17" s="1482">
        <f t="shared" si="0"/>
        <v>100</v>
      </c>
      <c r="T17" s="1481" t="s">
        <v>8</v>
      </c>
      <c r="U17" s="1482">
        <f t="shared" si="1"/>
        <v>100</v>
      </c>
      <c r="V17" s="1481" t="s">
        <v>8</v>
      </c>
      <c r="W17" s="1482">
        <f t="shared" si="2"/>
        <v>100</v>
      </c>
      <c r="X17" s="1475"/>
      <c r="Y17" s="3773" t="s">
        <v>517</v>
      </c>
      <c r="Z17" s="1483" t="str">
        <f t="shared" si="7"/>
        <v>产业集聚程度</v>
      </c>
      <c r="AA17" s="1484">
        <f t="shared" si="3"/>
        <v>1</v>
      </c>
      <c r="AB17" s="1484">
        <f t="shared" si="4"/>
        <v>1</v>
      </c>
      <c r="AC17" s="1484">
        <f t="shared" si="5"/>
        <v>1</v>
      </c>
    </row>
    <row r="18" spans="1:29" ht="15">
      <c r="A18" s="508"/>
      <c r="B18" s="840"/>
      <c r="C18" s="552"/>
      <c r="D18" s="531"/>
      <c r="E18" s="530"/>
      <c r="F18" s="531"/>
      <c r="G18" s="530"/>
      <c r="H18" s="535"/>
      <c r="I18" s="530"/>
      <c r="J18" s="531"/>
      <c r="K18" s="507"/>
      <c r="L18" s="1994"/>
      <c r="M18" s="1986"/>
      <c r="N18" s="1986"/>
      <c r="O18" s="1993"/>
      <c r="P18" s="3774"/>
      <c r="Q18" s="1480"/>
      <c r="R18" s="1481"/>
      <c r="S18" s="1482"/>
      <c r="T18" s="1481"/>
      <c r="U18" s="1482"/>
      <c r="V18" s="1481"/>
      <c r="W18" s="1482"/>
      <c r="X18" s="1475"/>
      <c r="Y18" s="3774"/>
      <c r="Z18" s="1483"/>
      <c r="AA18" s="1484">
        <v>1</v>
      </c>
      <c r="AB18" s="1484">
        <v>1</v>
      </c>
      <c r="AC18" s="1484">
        <v>1</v>
      </c>
    </row>
    <row r="19" spans="1:29" ht="85.5">
      <c r="A19" s="508"/>
      <c r="B19" s="842" t="s">
        <v>520</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4"/>
      <c r="M19" s="1986"/>
      <c r="N19" s="1986"/>
      <c r="O19" s="1993"/>
      <c r="P19" s="3774"/>
      <c r="Q19" s="1480" t="str">
        <f>B19</f>
        <v>交通便捷度</v>
      </c>
      <c r="R19" s="1481" t="s">
        <v>8</v>
      </c>
      <c r="S19" s="1482">
        <f>F19</f>
        <v>100</v>
      </c>
      <c r="T19" s="1481" t="s">
        <v>8</v>
      </c>
      <c r="U19" s="1482">
        <f>H19</f>
        <v>100</v>
      </c>
      <c r="V19" s="1481" t="s">
        <v>8</v>
      </c>
      <c r="W19" s="1482">
        <f>J19</f>
        <v>100</v>
      </c>
      <c r="X19" s="1475"/>
      <c r="Y19" s="3774"/>
      <c r="Z19" s="1483" t="str">
        <f>Q19</f>
        <v>交通便捷度</v>
      </c>
      <c r="AA19" s="1484">
        <f t="shared" si="3"/>
        <v>1</v>
      </c>
      <c r="AB19" s="1484">
        <f t="shared" si="4"/>
        <v>1</v>
      </c>
      <c r="AC19" s="1484">
        <f t="shared" si="5"/>
        <v>1</v>
      </c>
    </row>
    <row r="20" spans="1:29" ht="15">
      <c r="A20" s="508"/>
      <c r="B20" s="893"/>
      <c r="C20" s="552"/>
      <c r="D20" s="531"/>
      <c r="E20" s="532"/>
      <c r="F20" s="531"/>
      <c r="G20" s="532"/>
      <c r="H20" s="531"/>
      <c r="I20" s="534"/>
      <c r="J20" s="531"/>
      <c r="K20" s="507"/>
      <c r="L20" s="1994"/>
      <c r="M20" s="1986"/>
      <c r="N20" s="1986"/>
      <c r="O20" s="1993"/>
      <c r="P20" s="3774"/>
      <c r="Q20" s="1480"/>
      <c r="R20" s="1481"/>
      <c r="S20" s="1482"/>
      <c r="T20" s="1481"/>
      <c r="U20" s="1482"/>
      <c r="V20" s="1481"/>
      <c r="W20" s="1482"/>
      <c r="X20" s="1475"/>
      <c r="Y20" s="3774"/>
      <c r="Z20" s="1483"/>
      <c r="AA20" s="1484">
        <v>1</v>
      </c>
      <c r="AB20" s="1484">
        <v>1</v>
      </c>
      <c r="AC20" s="1484">
        <v>1</v>
      </c>
    </row>
    <row r="21" spans="1:29" ht="27">
      <c r="A21" s="491"/>
      <c r="B21" s="842" t="s">
        <v>521</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4"/>
      <c r="M21" s="1986"/>
      <c r="N21" s="1986"/>
      <c r="O21" s="1993"/>
      <c r="P21" s="3774"/>
      <c r="Q21" s="1480" t="str">
        <f t="shared" ref="Q21:Q35" si="8">B21</f>
        <v>区域土地利用方向</v>
      </c>
      <c r="R21" s="1481" t="s">
        <v>8</v>
      </c>
      <c r="S21" s="1482">
        <f>F21</f>
        <v>100</v>
      </c>
      <c r="T21" s="1481" t="s">
        <v>8</v>
      </c>
      <c r="U21" s="1482">
        <f>H21</f>
        <v>100</v>
      </c>
      <c r="V21" s="1481" t="s">
        <v>8</v>
      </c>
      <c r="W21" s="1482">
        <f>J21</f>
        <v>100</v>
      </c>
      <c r="X21" s="1475"/>
      <c r="Y21" s="3774"/>
      <c r="Z21" s="1483" t="str">
        <f>Q21</f>
        <v>区域土地利用方向</v>
      </c>
      <c r="AA21" s="1484">
        <f t="shared" si="3"/>
        <v>1</v>
      </c>
      <c r="AB21" s="1484">
        <f t="shared" si="4"/>
        <v>1</v>
      </c>
      <c r="AC21" s="1484">
        <f t="shared" si="5"/>
        <v>1</v>
      </c>
    </row>
    <row r="22" spans="1:29" ht="15">
      <c r="A22" s="491"/>
      <c r="B22" s="571"/>
      <c r="C22" s="552"/>
      <c r="D22" s="531"/>
      <c r="E22" s="532"/>
      <c r="F22" s="533"/>
      <c r="G22" s="534"/>
      <c r="H22" s="533"/>
      <c r="I22" s="534"/>
      <c r="J22" s="533"/>
      <c r="K22" s="1275"/>
      <c r="L22" s="1994"/>
      <c r="M22" s="1986"/>
      <c r="N22" s="1986"/>
      <c r="O22" s="1993"/>
      <c r="P22" s="3774"/>
      <c r="Q22" s="1480"/>
      <c r="R22" s="1481"/>
      <c r="S22" s="1482"/>
      <c r="T22" s="1481"/>
      <c r="U22" s="1482"/>
      <c r="V22" s="1481"/>
      <c r="W22" s="1482"/>
      <c r="X22" s="1475"/>
      <c r="Y22" s="3774"/>
      <c r="Z22" s="1483"/>
      <c r="AA22" s="1484"/>
      <c r="AB22" s="1484"/>
      <c r="AC22" s="1484"/>
    </row>
    <row r="23" spans="1:29" ht="71.25">
      <c r="A23" s="491"/>
      <c r="B23" s="893" t="s">
        <v>576</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4"/>
      <c r="M23" s="1986"/>
      <c r="N23" s="1986"/>
      <c r="O23" s="1993"/>
      <c r="P23" s="3774"/>
      <c r="Q23" s="1480" t="str">
        <f t="shared" si="8"/>
        <v>环境状况</v>
      </c>
      <c r="R23" s="1481" t="s">
        <v>8</v>
      </c>
      <c r="S23" s="1482">
        <f>F23</f>
        <v>100</v>
      </c>
      <c r="T23" s="1481" t="s">
        <v>8</v>
      </c>
      <c r="U23" s="1482">
        <f>H23</f>
        <v>100</v>
      </c>
      <c r="V23" s="1481" t="s">
        <v>8</v>
      </c>
      <c r="W23" s="1482">
        <f>J23</f>
        <v>100</v>
      </c>
      <c r="X23" s="1475"/>
      <c r="Y23" s="3774"/>
      <c r="Z23" s="1483" t="str">
        <f>Q23</f>
        <v>环境状况</v>
      </c>
      <c r="AA23" s="1484">
        <f t="shared" si="3"/>
        <v>1</v>
      </c>
      <c r="AB23" s="1484">
        <f t="shared" si="4"/>
        <v>1</v>
      </c>
      <c r="AC23" s="1484">
        <f t="shared" si="5"/>
        <v>1</v>
      </c>
    </row>
    <row r="24" spans="1:29" ht="15">
      <c r="A24" s="491"/>
      <c r="B24" s="571"/>
      <c r="C24" s="552"/>
      <c r="D24" s="531"/>
      <c r="E24" s="530"/>
      <c r="F24" s="531"/>
      <c r="G24" s="530"/>
      <c r="H24" s="531"/>
      <c r="I24" s="552"/>
      <c r="J24" s="531"/>
      <c r="K24" s="507"/>
      <c r="L24" s="1994"/>
      <c r="M24" s="1986"/>
      <c r="N24" s="1986"/>
      <c r="O24" s="1993"/>
      <c r="P24" s="3774"/>
      <c r="Q24" s="1480"/>
      <c r="R24" s="1481"/>
      <c r="S24" s="1482"/>
      <c r="T24" s="1481"/>
      <c r="U24" s="1482"/>
      <c r="V24" s="1481"/>
      <c r="W24" s="1482"/>
      <c r="X24" s="1475"/>
      <c r="Y24" s="3774"/>
      <c r="Z24" s="1483"/>
      <c r="AA24" s="1484">
        <v>1</v>
      </c>
      <c r="AB24" s="1484">
        <v>1</v>
      </c>
      <c r="AC24" s="1484">
        <v>1</v>
      </c>
    </row>
    <row r="25" spans="1:29" s="1185" customFormat="1" ht="42.75">
      <c r="A25" s="553"/>
      <c r="B25" s="2404" t="s">
        <v>2500</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7"/>
      <c r="M25" s="1988"/>
      <c r="N25" s="1988"/>
      <c r="O25" s="1989"/>
      <c r="P25" s="3774"/>
      <c r="Q25" s="1116" t="str">
        <f t="shared" si="8"/>
        <v>公共配套设施</v>
      </c>
      <c r="R25" s="1476" t="s">
        <v>8</v>
      </c>
      <c r="S25" s="1477">
        <f>F25</f>
        <v>100</v>
      </c>
      <c r="T25" s="1476" t="s">
        <v>8</v>
      </c>
      <c r="U25" s="1477">
        <f>H25</f>
        <v>100</v>
      </c>
      <c r="V25" s="1476" t="s">
        <v>8</v>
      </c>
      <c r="W25" s="1477">
        <f>J25</f>
        <v>100</v>
      </c>
      <c r="X25" s="1478"/>
      <c r="Y25" s="3774"/>
      <c r="Z25" s="1115" t="str">
        <f>Q25</f>
        <v>公共配套设施</v>
      </c>
      <c r="AA25" s="1484">
        <f>D25/F25</f>
        <v>1</v>
      </c>
      <c r="AB25" s="1484">
        <f>D25/H25</f>
        <v>1</v>
      </c>
      <c r="AC25" s="1484">
        <f>D25/J25</f>
        <v>1</v>
      </c>
    </row>
    <row r="26" spans="1:29" s="1185" customFormat="1" ht="15">
      <c r="A26" s="553"/>
      <c r="B26" s="571"/>
      <c r="C26" s="2403"/>
      <c r="D26" s="531"/>
      <c r="E26" s="530"/>
      <c r="F26" s="531"/>
      <c r="G26" s="530"/>
      <c r="H26" s="531"/>
      <c r="I26" s="552"/>
      <c r="J26" s="531"/>
      <c r="K26" s="507"/>
      <c r="L26" s="1987"/>
      <c r="M26" s="1988"/>
      <c r="N26" s="1988"/>
      <c r="O26" s="1989"/>
      <c r="P26" s="3774"/>
      <c r="Q26" s="1116"/>
      <c r="R26" s="1476"/>
      <c r="S26" s="1477"/>
      <c r="T26" s="1476"/>
      <c r="U26" s="1477"/>
      <c r="V26" s="1476"/>
      <c r="W26" s="1477"/>
      <c r="X26" s="1478"/>
      <c r="Y26" s="3774"/>
      <c r="Z26" s="1115"/>
      <c r="AA26" s="1479">
        <v>1</v>
      </c>
      <c r="AB26" s="1479">
        <v>1</v>
      </c>
      <c r="AC26" s="1479">
        <v>1</v>
      </c>
    </row>
    <row r="27" spans="1:29" s="1185" customFormat="1" ht="28.5">
      <c r="A27" s="553"/>
      <c r="B27" s="2404" t="s">
        <v>2501</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7"/>
      <c r="M27" s="1988"/>
      <c r="N27" s="1988"/>
      <c r="O27" s="1989"/>
      <c r="P27" s="3774"/>
      <c r="Q27" s="2395" t="str">
        <f t="shared" ref="Q27" si="9">B27</f>
        <v>基础设施水平</v>
      </c>
      <c r="R27" s="1476" t="s">
        <v>8</v>
      </c>
      <c r="S27" s="1477">
        <f>F27</f>
        <v>100</v>
      </c>
      <c r="T27" s="1476" t="s">
        <v>8</v>
      </c>
      <c r="U27" s="1477">
        <f>H27</f>
        <v>100</v>
      </c>
      <c r="V27" s="1476" t="s">
        <v>8</v>
      </c>
      <c r="W27" s="1477">
        <f>J27</f>
        <v>100</v>
      </c>
      <c r="X27" s="1478"/>
      <c r="Y27" s="3774"/>
      <c r="Z27" s="2394" t="str">
        <f>Q27</f>
        <v>基础设施水平</v>
      </c>
      <c r="AA27" s="1484">
        <f>D27/F27</f>
        <v>1</v>
      </c>
      <c r="AB27" s="1484">
        <f>D27/H27</f>
        <v>1</v>
      </c>
      <c r="AC27" s="1484">
        <f>D27/J27</f>
        <v>1</v>
      </c>
    </row>
    <row r="28" spans="1:29" s="1185" customFormat="1" ht="15">
      <c r="A28" s="553"/>
      <c r="B28" s="571"/>
      <c r="C28" s="2403"/>
      <c r="D28" s="531"/>
      <c r="E28" s="555"/>
      <c r="F28" s="531"/>
      <c r="G28" s="555"/>
      <c r="H28" s="531"/>
      <c r="I28" s="555"/>
      <c r="J28" s="531"/>
      <c r="K28" s="507"/>
      <c r="L28" s="1987"/>
      <c r="M28" s="1988"/>
      <c r="N28" s="1988"/>
      <c r="O28" s="1989"/>
      <c r="P28" s="3774"/>
      <c r="Q28" s="2395"/>
      <c r="R28" s="1476"/>
      <c r="S28" s="1477"/>
      <c r="T28" s="1476"/>
      <c r="U28" s="1477"/>
      <c r="V28" s="1476"/>
      <c r="W28" s="1477"/>
      <c r="X28" s="1478"/>
      <c r="Y28" s="3774"/>
      <c r="Z28" s="2394"/>
      <c r="AA28" s="1479">
        <v>1</v>
      </c>
      <c r="AB28" s="1479">
        <v>1</v>
      </c>
      <c r="AC28" s="1479">
        <v>1</v>
      </c>
    </row>
    <row r="29" spans="1:29" ht="15">
      <c r="A29" s="508"/>
      <c r="B29" s="571" t="s">
        <v>524</v>
      </c>
      <c r="C29" s="559"/>
      <c r="D29" s="516">
        <v>100</v>
      </c>
      <c r="E29" s="556"/>
      <c r="F29" s="516">
        <f>SUMIF(97:97,E29,98:98)-SUMIF(97:97,C29,98:98)+100</f>
        <v>100</v>
      </c>
      <c r="G29" s="556"/>
      <c r="H29" s="516">
        <f>SUMIF(97:97,G29,98:98)-SUMIF(97:97,C29,98:98)+100</f>
        <v>100</v>
      </c>
      <c r="I29" s="556"/>
      <c r="J29" s="516">
        <f>SUMIF(97:97,I29,98:98)-SUMIF(97:97,C29,98:98)+100</f>
        <v>100</v>
      </c>
      <c r="K29" s="511"/>
      <c r="L29" s="1994"/>
      <c r="M29" s="1986"/>
      <c r="N29" s="1986"/>
      <c r="O29" s="1993"/>
      <c r="P29" s="3774"/>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774"/>
      <c r="Z29" s="1483" t="str">
        <f t="shared" ref="Z29:Z42" si="13">Q29</f>
        <v>临街状况</v>
      </c>
      <c r="AA29" s="1484">
        <f t="shared" si="3"/>
        <v>1</v>
      </c>
      <c r="AB29" s="1484">
        <f t="shared" si="4"/>
        <v>1</v>
      </c>
      <c r="AC29" s="1484">
        <f t="shared" si="5"/>
        <v>1</v>
      </c>
    </row>
    <row r="30" spans="1:29" ht="27">
      <c r="A30" s="508"/>
      <c r="B30" s="893" t="s">
        <v>525</v>
      </c>
      <c r="C30" s="240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4"/>
      <c r="M30" s="1986"/>
      <c r="N30" s="1986"/>
      <c r="O30" s="1993"/>
      <c r="P30" s="3774"/>
      <c r="Q30" s="1480" t="str">
        <f t="shared" si="8"/>
        <v>毗邻道路的类型与等级</v>
      </c>
      <c r="R30" s="1481" t="s">
        <v>8</v>
      </c>
      <c r="S30" s="1482">
        <f t="shared" si="10"/>
        <v>100</v>
      </c>
      <c r="T30" s="1481" t="s">
        <v>8</v>
      </c>
      <c r="U30" s="1482">
        <f t="shared" si="11"/>
        <v>100</v>
      </c>
      <c r="V30" s="1481" t="s">
        <v>8</v>
      </c>
      <c r="W30" s="1482">
        <f t="shared" si="12"/>
        <v>100</v>
      </c>
      <c r="X30" s="1475"/>
      <c r="Y30" s="3774"/>
      <c r="Z30" s="1483" t="str">
        <f t="shared" si="13"/>
        <v>毗邻道路的类型与等级</v>
      </c>
      <c r="AA30" s="1484">
        <f t="shared" si="3"/>
        <v>1</v>
      </c>
      <c r="AB30" s="1484">
        <f t="shared" si="4"/>
        <v>1</v>
      </c>
      <c r="AC30" s="1484">
        <f t="shared" si="5"/>
        <v>1</v>
      </c>
    </row>
    <row r="31" spans="1:29" ht="15">
      <c r="A31" s="508"/>
      <c r="B31" s="571"/>
      <c r="C31" s="552"/>
      <c r="D31" s="531"/>
      <c r="E31" s="552"/>
      <c r="F31" s="531"/>
      <c r="G31" s="552"/>
      <c r="H31" s="531"/>
      <c r="I31" s="552"/>
      <c r="J31" s="531"/>
      <c r="K31" s="557"/>
      <c r="L31" s="1994"/>
      <c r="M31" s="1986"/>
      <c r="N31" s="1986"/>
      <c r="O31" s="1993"/>
      <c r="P31" s="3774"/>
      <c r="Q31" s="1480"/>
      <c r="R31" s="1481"/>
      <c r="S31" s="1482"/>
      <c r="T31" s="1481"/>
      <c r="U31" s="1482"/>
      <c r="V31" s="1481"/>
      <c r="W31" s="1482"/>
      <c r="X31" s="1475"/>
      <c r="Y31" s="3774"/>
      <c r="Z31" s="1483"/>
      <c r="AA31" s="1484">
        <v>1</v>
      </c>
      <c r="AB31" s="1484">
        <v>1</v>
      </c>
      <c r="AC31" s="1484">
        <v>1</v>
      </c>
    </row>
    <row r="32" spans="1:29" ht="15">
      <c r="A32" s="508"/>
      <c r="B32" s="503" t="s">
        <v>526</v>
      </c>
      <c r="C32" s="240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4"/>
      <c r="M32" s="1986"/>
      <c r="N32" s="1986"/>
      <c r="O32" s="1993"/>
      <c r="P32" s="3774"/>
      <c r="Q32" s="1480" t="str">
        <f t="shared" si="8"/>
        <v>土地级别</v>
      </c>
      <c r="R32" s="1481" t="s">
        <v>8</v>
      </c>
      <c r="S32" s="1482">
        <f t="shared" si="10"/>
        <v>100</v>
      </c>
      <c r="T32" s="1481" t="s">
        <v>8</v>
      </c>
      <c r="U32" s="1482">
        <f t="shared" si="11"/>
        <v>100</v>
      </c>
      <c r="V32" s="1481" t="s">
        <v>8</v>
      </c>
      <c r="W32" s="1482">
        <f t="shared" si="12"/>
        <v>100</v>
      </c>
      <c r="X32" s="1475"/>
      <c r="Y32" s="3774"/>
      <c r="Z32" s="1483" t="str">
        <f t="shared" si="13"/>
        <v>土地级别</v>
      </c>
      <c r="AA32" s="1484">
        <f t="shared" si="3"/>
        <v>1</v>
      </c>
      <c r="AB32" s="1484">
        <f t="shared" si="4"/>
        <v>1</v>
      </c>
      <c r="AC32" s="1484">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4"/>
      <c r="M33" s="1986"/>
      <c r="N33" s="1986"/>
      <c r="O33" s="1993"/>
      <c r="P33" s="3774"/>
      <c r="Q33" s="1480">
        <f t="shared" si="8"/>
        <v>111</v>
      </c>
      <c r="R33" s="1481" t="s">
        <v>8</v>
      </c>
      <c r="S33" s="1482">
        <f t="shared" si="10"/>
        <v>100</v>
      </c>
      <c r="T33" s="1481" t="s">
        <v>8</v>
      </c>
      <c r="U33" s="1482">
        <f t="shared" si="11"/>
        <v>100</v>
      </c>
      <c r="V33" s="1481" t="s">
        <v>8</v>
      </c>
      <c r="W33" s="1482">
        <f t="shared" si="12"/>
        <v>100</v>
      </c>
      <c r="X33" s="1475"/>
      <c r="Y33" s="3774"/>
      <c r="Z33" s="1483">
        <f t="shared" si="13"/>
        <v>111</v>
      </c>
      <c r="AA33" s="1484">
        <f t="shared" si="3"/>
        <v>1</v>
      </c>
      <c r="AB33" s="1484">
        <f t="shared" si="4"/>
        <v>1</v>
      </c>
      <c r="AC33" s="1484">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4"/>
      <c r="M34" s="1986"/>
      <c r="N34" s="1986"/>
      <c r="O34" s="1993"/>
      <c r="P34" s="3775" t="s">
        <v>527</v>
      </c>
      <c r="Q34" s="1480">
        <f t="shared" si="8"/>
        <v>111</v>
      </c>
      <c r="R34" s="1481" t="s">
        <v>8</v>
      </c>
      <c r="S34" s="1482">
        <f t="shared" si="10"/>
        <v>100</v>
      </c>
      <c r="T34" s="1481" t="s">
        <v>8</v>
      </c>
      <c r="U34" s="1482">
        <f t="shared" si="11"/>
        <v>100</v>
      </c>
      <c r="V34" s="1481" t="s">
        <v>8</v>
      </c>
      <c r="W34" s="1482">
        <f t="shared" si="12"/>
        <v>100</v>
      </c>
      <c r="X34" s="1475"/>
      <c r="Y34" s="3776" t="s">
        <v>527</v>
      </c>
      <c r="Z34" s="1483">
        <f t="shared" si="13"/>
        <v>111</v>
      </c>
      <c r="AA34" s="1484">
        <f t="shared" si="3"/>
        <v>1</v>
      </c>
      <c r="AB34" s="1484">
        <f t="shared" si="4"/>
        <v>1</v>
      </c>
      <c r="AC34" s="1484">
        <f t="shared" si="5"/>
        <v>1</v>
      </c>
    </row>
    <row r="35" spans="1:29" s="1267" customFormat="1" ht="15.75" thickBot="1">
      <c r="A35" s="565"/>
      <c r="B35" s="2405">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2"/>
      <c r="M35" s="2022"/>
      <c r="N35" s="2022"/>
      <c r="O35" s="1995"/>
      <c r="P35" s="3776"/>
      <c r="Q35" s="1480">
        <f t="shared" si="8"/>
        <v>111</v>
      </c>
      <c r="R35" s="1485" t="s">
        <v>8</v>
      </c>
      <c r="S35" s="1486">
        <f t="shared" si="10"/>
        <v>100</v>
      </c>
      <c r="T35" s="1485" t="s">
        <v>8</v>
      </c>
      <c r="U35" s="1486">
        <f t="shared" si="11"/>
        <v>100</v>
      </c>
      <c r="V35" s="1485" t="s">
        <v>8</v>
      </c>
      <c r="W35" s="1486">
        <f t="shared" si="12"/>
        <v>100</v>
      </c>
      <c r="X35" s="1487"/>
      <c r="Y35" s="3776"/>
      <c r="Z35" s="1488">
        <f t="shared" si="13"/>
        <v>111</v>
      </c>
      <c r="AA35" s="1484">
        <f t="shared" si="3"/>
        <v>1</v>
      </c>
      <c r="AB35" s="1484">
        <f t="shared" si="4"/>
        <v>1</v>
      </c>
      <c r="AC35" s="1484">
        <f t="shared" si="5"/>
        <v>1</v>
      </c>
    </row>
    <row r="36" spans="1:29" ht="15">
      <c r="A36" s="2591" t="s">
        <v>2706</v>
      </c>
      <c r="B36" s="571" t="s">
        <v>529</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4"/>
      <c r="M36" s="1986"/>
      <c r="N36" s="1986"/>
      <c r="O36" s="1993"/>
      <c r="P36" s="3776"/>
      <c r="Q36" s="1480" t="str">
        <f>B36</f>
        <v>宗地面积</v>
      </c>
      <c r="R36" s="1481" t="s">
        <v>8</v>
      </c>
      <c r="S36" s="1482" t="e">
        <f t="shared" si="10"/>
        <v>#N/A</v>
      </c>
      <c r="T36" s="1481" t="s">
        <v>8</v>
      </c>
      <c r="U36" s="1482" t="e">
        <f t="shared" si="11"/>
        <v>#N/A</v>
      </c>
      <c r="V36" s="1481" t="s">
        <v>8</v>
      </c>
      <c r="W36" s="1482" t="e">
        <f t="shared" si="12"/>
        <v>#N/A</v>
      </c>
      <c r="X36" s="1475"/>
      <c r="Y36" s="3776"/>
      <c r="Z36" s="1483" t="str">
        <f t="shared" si="13"/>
        <v>宗地面积</v>
      </c>
      <c r="AA36" s="1484" t="e">
        <f t="shared" si="3"/>
        <v>#N/A</v>
      </c>
      <c r="AB36" s="1484" t="e">
        <f t="shared" si="4"/>
        <v>#N/A</v>
      </c>
      <c r="AC36" s="1484" t="e">
        <f t="shared" si="5"/>
        <v>#N/A</v>
      </c>
    </row>
    <row r="37" spans="1:29" ht="15">
      <c r="A37" s="570"/>
      <c r="B37" s="503" t="s">
        <v>530</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4"/>
      <c r="M37" s="1986"/>
      <c r="N37" s="1986"/>
      <c r="O37" s="1993"/>
      <c r="P37" s="3776"/>
      <c r="Q37" s="1480" t="str">
        <f t="shared" ref="Q37:Q42" si="14">B37</f>
        <v>宗地形状</v>
      </c>
      <c r="R37" s="1481" t="s">
        <v>8</v>
      </c>
      <c r="S37" s="1482">
        <f t="shared" si="10"/>
        <v>100</v>
      </c>
      <c r="T37" s="1481" t="s">
        <v>8</v>
      </c>
      <c r="U37" s="1482">
        <f t="shared" si="11"/>
        <v>100</v>
      </c>
      <c r="V37" s="1481" t="s">
        <v>8</v>
      </c>
      <c r="W37" s="1482">
        <f t="shared" si="12"/>
        <v>100</v>
      </c>
      <c r="X37" s="1475"/>
      <c r="Y37" s="3776"/>
      <c r="Z37" s="1483" t="str">
        <f t="shared" si="13"/>
        <v>宗地形状</v>
      </c>
      <c r="AA37" s="1484">
        <f t="shared" si="3"/>
        <v>1</v>
      </c>
      <c r="AB37" s="1484">
        <f t="shared" si="4"/>
        <v>1</v>
      </c>
      <c r="AC37" s="1484">
        <f t="shared" si="5"/>
        <v>1</v>
      </c>
    </row>
    <row r="38" spans="1:29" s="1185" customFormat="1" ht="15">
      <c r="A38" s="576"/>
      <c r="B38" s="1781" t="s">
        <v>2384</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7"/>
      <c r="M38" s="1988"/>
      <c r="N38" s="1988"/>
      <c r="O38" s="1989"/>
      <c r="P38" s="3776"/>
      <c r="Q38" s="1480" t="str">
        <f t="shared" si="14"/>
        <v>宗地开发程度</v>
      </c>
      <c r="R38" s="1476" t="s">
        <v>8</v>
      </c>
      <c r="S38" s="1477">
        <f t="shared" si="10"/>
        <v>100</v>
      </c>
      <c r="T38" s="1476" t="s">
        <v>8</v>
      </c>
      <c r="U38" s="1477">
        <f t="shared" si="11"/>
        <v>100</v>
      </c>
      <c r="V38" s="1476" t="s">
        <v>8</v>
      </c>
      <c r="W38" s="1477">
        <f t="shared" si="12"/>
        <v>100</v>
      </c>
      <c r="X38" s="1478"/>
      <c r="Y38" s="3776"/>
      <c r="Z38" s="1115" t="str">
        <f t="shared" si="13"/>
        <v>宗地开发程度</v>
      </c>
      <c r="AA38" s="1479">
        <f t="shared" si="3"/>
        <v>1</v>
      </c>
      <c r="AB38" s="1479">
        <f t="shared" si="4"/>
        <v>1</v>
      </c>
      <c r="AC38" s="1479">
        <f t="shared" si="5"/>
        <v>1</v>
      </c>
    </row>
    <row r="39" spans="1:29" ht="15">
      <c r="A39" s="570"/>
      <c r="B39" s="503" t="s">
        <v>532</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776" t="s">
        <v>578</v>
      </c>
      <c r="Q39" s="1480" t="str">
        <f t="shared" si="14"/>
        <v>工程地质条件</v>
      </c>
      <c r="R39" s="1481" t="s">
        <v>8</v>
      </c>
      <c r="S39" s="1482">
        <f t="shared" si="10"/>
        <v>100</v>
      </c>
      <c r="T39" s="1481" t="s">
        <v>8</v>
      </c>
      <c r="U39" s="1482">
        <f t="shared" si="11"/>
        <v>100</v>
      </c>
      <c r="V39" s="1481" t="s">
        <v>8</v>
      </c>
      <c r="W39" s="1482">
        <f t="shared" si="12"/>
        <v>100</v>
      </c>
      <c r="X39" s="1475"/>
      <c r="Y39" s="3776" t="s">
        <v>578</v>
      </c>
      <c r="Z39" s="1483" t="str">
        <f t="shared" si="13"/>
        <v>工程地质条件</v>
      </c>
      <c r="AA39" s="1484">
        <f t="shared" si="3"/>
        <v>1</v>
      </c>
      <c r="AB39" s="1484">
        <f t="shared" si="4"/>
        <v>1</v>
      </c>
      <c r="AC39" s="1484">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4"/>
      <c r="M40" s="1986"/>
      <c r="N40" s="1986"/>
      <c r="O40" s="1993"/>
      <c r="P40" s="3776"/>
      <c r="Q40" s="1480">
        <f t="shared" si="14"/>
        <v>111</v>
      </c>
      <c r="R40" s="1481" t="s">
        <v>8</v>
      </c>
      <c r="S40" s="1482">
        <f t="shared" si="10"/>
        <v>100</v>
      </c>
      <c r="T40" s="1481" t="s">
        <v>8</v>
      </c>
      <c r="U40" s="1482">
        <f t="shared" si="11"/>
        <v>100</v>
      </c>
      <c r="V40" s="1481" t="s">
        <v>8</v>
      </c>
      <c r="W40" s="1482">
        <f t="shared" si="12"/>
        <v>100</v>
      </c>
      <c r="X40" s="1475"/>
      <c r="Y40" s="3776"/>
      <c r="Z40" s="1483">
        <f t="shared" si="13"/>
        <v>111</v>
      </c>
      <c r="AA40" s="1484">
        <f t="shared" si="3"/>
        <v>1</v>
      </c>
      <c r="AB40" s="1484">
        <f t="shared" si="4"/>
        <v>1</v>
      </c>
      <c r="AC40" s="1484">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4"/>
      <c r="M41" s="1986"/>
      <c r="N41" s="1986"/>
      <c r="O41" s="1993"/>
      <c r="P41" s="3776"/>
      <c r="Q41" s="1480">
        <f t="shared" si="14"/>
        <v>111</v>
      </c>
      <c r="R41" s="1481" t="s">
        <v>8</v>
      </c>
      <c r="S41" s="1482">
        <f t="shared" si="10"/>
        <v>100</v>
      </c>
      <c r="T41" s="1481" t="s">
        <v>8</v>
      </c>
      <c r="U41" s="1482">
        <f t="shared" si="11"/>
        <v>100</v>
      </c>
      <c r="V41" s="1481" t="s">
        <v>8</v>
      </c>
      <c r="W41" s="1482">
        <f t="shared" si="12"/>
        <v>100</v>
      </c>
      <c r="X41" s="1475"/>
      <c r="Y41" s="3776"/>
      <c r="Z41" s="1483">
        <f t="shared" si="13"/>
        <v>111</v>
      </c>
      <c r="AA41" s="1484">
        <f t="shared" si="3"/>
        <v>1</v>
      </c>
      <c r="AB41" s="1484">
        <f t="shared" si="4"/>
        <v>1</v>
      </c>
      <c r="AC41" s="1484">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2"/>
      <c r="M42" s="2022"/>
      <c r="N42" s="2022"/>
      <c r="O42" s="1995"/>
      <c r="P42" s="3776"/>
      <c r="Q42" s="1480">
        <f t="shared" si="14"/>
        <v>111</v>
      </c>
      <c r="R42" s="1485" t="s">
        <v>8</v>
      </c>
      <c r="S42" s="1486">
        <f t="shared" si="10"/>
        <v>100</v>
      </c>
      <c r="T42" s="1485" t="s">
        <v>8</v>
      </c>
      <c r="U42" s="1486">
        <f t="shared" si="11"/>
        <v>100</v>
      </c>
      <c r="V42" s="1485" t="s">
        <v>8</v>
      </c>
      <c r="W42" s="1486">
        <f t="shared" si="12"/>
        <v>100</v>
      </c>
      <c r="X42" s="1487"/>
      <c r="Y42" s="3776"/>
      <c r="Z42" s="1488">
        <f t="shared" si="13"/>
        <v>111</v>
      </c>
      <c r="AA42" s="1484">
        <f t="shared" si="3"/>
        <v>1</v>
      </c>
      <c r="AB42" s="1484">
        <f t="shared" si="4"/>
        <v>1</v>
      </c>
      <c r="AC42" s="1484">
        <f t="shared" si="5"/>
        <v>1</v>
      </c>
    </row>
    <row r="43" spans="1:29" ht="15">
      <c r="A43" s="583" t="s">
        <v>533</v>
      </c>
      <c r="B43" s="584" t="s">
        <v>2870</v>
      </c>
      <c r="C43" s="585" t="s">
        <v>1</v>
      </c>
      <c r="D43" s="586"/>
      <c r="E43" s="587"/>
      <c r="F43" s="588"/>
      <c r="G43" s="589"/>
      <c r="H43" s="590"/>
      <c r="I43" s="587"/>
      <c r="J43" s="590"/>
      <c r="K43" s="1268"/>
      <c r="L43" s="1996"/>
      <c r="M43" s="1986"/>
      <c r="N43" s="1986"/>
      <c r="O43" s="1997"/>
      <c r="P43" s="3771" t="str">
        <f>A43</f>
        <v>成交单价</v>
      </c>
      <c r="Q43" s="3771"/>
      <c r="R43" s="3785">
        <f>E43</f>
        <v>0</v>
      </c>
      <c r="S43" s="3785"/>
      <c r="T43" s="3785">
        <f>G43</f>
        <v>0</v>
      </c>
      <c r="U43" s="3785"/>
      <c r="V43" s="3785">
        <f>I43</f>
        <v>0</v>
      </c>
      <c r="W43" s="3785"/>
      <c r="X43" s="1470"/>
      <c r="Y43" s="1489"/>
      <c r="Z43" s="1470"/>
      <c r="AA43" s="1470"/>
      <c r="AB43" s="1470"/>
      <c r="AC43" s="1470"/>
    </row>
    <row r="44" spans="1:29" ht="15.75" thickBot="1">
      <c r="A44" s="591" t="s">
        <v>2644</v>
      </c>
      <c r="B44" s="592"/>
      <c r="C44" s="593" t="e">
        <f>R45</f>
        <v>#DIV/0!</v>
      </c>
      <c r="D44" s="2977" t="s">
        <v>2935</v>
      </c>
      <c r="E44" s="593" t="e">
        <f>R44</f>
        <v>#DIV/0!</v>
      </c>
      <c r="F44" s="2978"/>
      <c r="G44" s="594" t="e">
        <f>T44</f>
        <v>#DIV/0!</v>
      </c>
      <c r="H44" s="2978"/>
      <c r="I44" s="593" t="e">
        <f>V44</f>
        <v>#DIV/0!</v>
      </c>
      <c r="J44" s="2978"/>
      <c r="K44" s="2979">
        <f>F44+H44+J44</f>
        <v>0</v>
      </c>
      <c r="L44" s="1996"/>
      <c r="M44" s="1986"/>
      <c r="N44" s="1986"/>
      <c r="O44" s="1997"/>
      <c r="P44" s="3771" t="str">
        <f>A44</f>
        <v>比较价格（元/平方米）</v>
      </c>
      <c r="Q44" s="3771"/>
      <c r="R44" s="3795" t="e">
        <f>ROUND(PRODUCT(R43,AA9:AA42),0)</f>
        <v>#DIV/0!</v>
      </c>
      <c r="S44" s="3795"/>
      <c r="T44" s="3795" t="e">
        <f>ROUND(PRODUCT(T43,AB9:AB42),0)</f>
        <v>#DIV/0!</v>
      </c>
      <c r="U44" s="3795"/>
      <c r="V44" s="3795" t="e">
        <f>ROUND(PRODUCT(V43,AC9:AC42),0)</f>
        <v>#DIV/0!</v>
      </c>
      <c r="W44" s="3795"/>
      <c r="X44" s="1470"/>
      <c r="Y44" s="1470"/>
      <c r="Z44" s="1470"/>
      <c r="AA44" s="1470"/>
      <c r="AB44" s="1470"/>
      <c r="AC44" s="1470"/>
    </row>
    <row r="45" spans="1:29" ht="15.75" thickBot="1">
      <c r="A45" s="595" t="s">
        <v>2871</v>
      </c>
      <c r="B45" s="596"/>
      <c r="C45" s="597" t="e">
        <f>R45</f>
        <v>#DIV/0!</v>
      </c>
      <c r="D45" s="597"/>
      <c r="E45" s="597"/>
      <c r="F45" s="597"/>
      <c r="G45" s="597"/>
      <c r="H45" s="597"/>
      <c r="I45" s="597"/>
      <c r="J45" s="597"/>
      <c r="K45" s="1269"/>
      <c r="L45" s="1996"/>
      <c r="M45" s="1986"/>
      <c r="N45" s="1986"/>
      <c r="O45" s="1997"/>
      <c r="P45" s="3792" t="str">
        <f>A45</f>
        <v>估价对象XX用房的比较价格（楼面单价，元/平方米）</v>
      </c>
      <c r="Q45" s="3793"/>
      <c r="R45" s="3881" t="e">
        <f>ROUND(IF(D44="简单平均",AVERAGE(R44:W44),R44*F44+T44*H44+V44*J44),0)</f>
        <v>#DIV/0!</v>
      </c>
      <c r="S45" s="3881"/>
      <c r="T45" s="3881"/>
      <c r="U45" s="3881"/>
      <c r="V45" s="3881"/>
      <c r="W45" s="3881"/>
      <c r="X45" s="1470"/>
      <c r="Y45" s="1470"/>
      <c r="Z45" s="1470"/>
      <c r="AA45" s="1470"/>
      <c r="AB45" s="1470"/>
      <c r="AC45" s="1470"/>
    </row>
    <row r="46" spans="1:29">
      <c r="A46" s="3176"/>
      <c r="B46" s="3176"/>
      <c r="C46" s="3176"/>
      <c r="D46" s="3176"/>
      <c r="E46" s="3176"/>
      <c r="F46" s="3176"/>
      <c r="G46" s="3178"/>
      <c r="H46" s="3176"/>
      <c r="I46" s="3176"/>
      <c r="J46" s="3176"/>
      <c r="K46" s="3179"/>
      <c r="L46" s="2001"/>
      <c r="M46" s="1986"/>
      <c r="N46" s="1986"/>
      <c r="O46" s="1997"/>
      <c r="P46" s="1997"/>
      <c r="Q46" s="1997"/>
      <c r="R46" s="1997"/>
      <c r="S46" s="1997"/>
      <c r="T46" s="1997"/>
      <c r="U46" s="1997"/>
      <c r="V46" s="1997"/>
      <c r="W46" s="1997"/>
      <c r="X46" s="1997"/>
      <c r="Y46" s="1997"/>
      <c r="Z46" s="1997"/>
      <c r="AA46" s="1997"/>
      <c r="AB46" s="1997"/>
      <c r="AC46" s="1997"/>
    </row>
    <row r="47" spans="1:29">
      <c r="A47" s="3176"/>
      <c r="B47" s="3176"/>
      <c r="C47" s="3176"/>
      <c r="D47" s="3176"/>
      <c r="E47" s="3176"/>
      <c r="F47" s="3176"/>
      <c r="G47" s="3176"/>
      <c r="H47" s="3176"/>
      <c r="I47" s="3176"/>
      <c r="J47" s="3176"/>
      <c r="K47" s="317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6"/>
      <c r="B48" s="3176"/>
      <c r="C48" s="598" t="s">
        <v>534</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6"/>
      <c r="B49" s="3176"/>
      <c r="C49" s="598" t="s">
        <v>535</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1"/>
      <c r="M49" s="1997"/>
      <c r="N49" s="1997"/>
      <c r="O49" s="1997"/>
      <c r="P49" s="1997"/>
      <c r="Q49" s="1997"/>
      <c r="R49" s="1997"/>
      <c r="S49" s="1997"/>
      <c r="T49" s="1997"/>
      <c r="U49" s="1997"/>
      <c r="V49" s="1997"/>
      <c r="W49" s="1997"/>
      <c r="X49" s="1997"/>
      <c r="Y49" s="1997"/>
      <c r="Z49" s="1997"/>
      <c r="AA49" s="1997"/>
      <c r="AB49" s="1997"/>
      <c r="AC49" s="1997"/>
    </row>
    <row r="50" spans="1:29" s="1272" customFormat="1" ht="13.5" customHeight="1">
      <c r="A50" s="3177"/>
      <c r="B50" s="3177"/>
      <c r="C50" s="598" t="s">
        <v>536</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4"/>
      <c r="M50" s="1998"/>
      <c r="N50" s="1998"/>
      <c r="O50" s="1998"/>
      <c r="P50" s="1998"/>
      <c r="Q50" s="1998"/>
      <c r="R50" s="1998"/>
      <c r="S50" s="1998"/>
      <c r="T50" s="1998"/>
      <c r="U50" s="1998"/>
      <c r="V50" s="1998"/>
      <c r="W50" s="1998"/>
      <c r="X50" s="1998"/>
      <c r="Y50" s="1998"/>
      <c r="Z50" s="1998"/>
      <c r="AA50" s="1998"/>
      <c r="AB50" s="1998"/>
      <c r="AC50" s="1998"/>
    </row>
    <row r="51" spans="1:29" s="1272" customFormat="1" ht="15" thickBot="1">
      <c r="A51" s="3177"/>
      <c r="B51" s="3188"/>
      <c r="C51" s="2002"/>
      <c r="D51" s="1998"/>
      <c r="E51" s="1998"/>
      <c r="F51" s="1998"/>
      <c r="G51" s="1998"/>
      <c r="H51" s="1998"/>
      <c r="I51" s="1998"/>
      <c r="J51" s="1998"/>
      <c r="K51" s="3180"/>
      <c r="L51" s="2004"/>
      <c r="M51" s="1998"/>
      <c r="N51" s="1998"/>
      <c r="O51" s="1998"/>
      <c r="P51" s="1998"/>
      <c r="Q51" s="1998"/>
      <c r="R51" s="1998"/>
      <c r="S51" s="1998"/>
      <c r="T51" s="1998"/>
      <c r="U51" s="1998"/>
      <c r="V51" s="1998"/>
      <c r="W51" s="1998"/>
      <c r="X51" s="1998"/>
      <c r="Y51" s="1998"/>
      <c r="Z51" s="1998"/>
      <c r="AA51" s="1998"/>
      <c r="AB51" s="1998"/>
      <c r="AC51" s="1998"/>
    </row>
    <row r="52" spans="1:29" ht="27">
      <c r="A52" s="603" t="s">
        <v>537</v>
      </c>
      <c r="B52" s="604" t="s">
        <v>538</v>
      </c>
      <c r="C52" s="1471" t="s">
        <v>1697</v>
      </c>
      <c r="D52" s="2077" t="s">
        <v>2256</v>
      </c>
      <c r="E52" s="605" t="s">
        <v>539</v>
      </c>
      <c r="F52" s="1837" t="s">
        <v>540</v>
      </c>
      <c r="G52" s="3876" t="s">
        <v>2248</v>
      </c>
      <c r="H52" s="3877"/>
      <c r="I52" s="1838" t="s">
        <v>1910</v>
      </c>
      <c r="J52" s="1467">
        <f>项目基本情况!F41</f>
        <v>0</v>
      </c>
      <c r="K52" s="2005" t="s">
        <v>1696</v>
      </c>
      <c r="L52" s="2001"/>
      <c r="M52" s="1997"/>
      <c r="N52" s="1997"/>
      <c r="O52" s="1997"/>
      <c r="P52" s="1997"/>
      <c r="Q52" s="1997"/>
      <c r="R52" s="1997"/>
      <c r="S52" s="1997"/>
      <c r="T52" s="1997"/>
      <c r="U52" s="1997"/>
      <c r="V52" s="1997"/>
      <c r="W52" s="1997"/>
      <c r="X52" s="1997"/>
      <c r="Y52" s="1997"/>
      <c r="Z52" s="1997"/>
      <c r="AA52" s="1997"/>
      <c r="AB52" s="1997"/>
      <c r="AC52" s="1997"/>
    </row>
    <row r="53" spans="1:29" s="1273" customFormat="1" ht="12.75">
      <c r="A53" s="607" t="s">
        <v>541</v>
      </c>
      <c r="B53" s="608" t="e">
        <f>C45</f>
        <v>#DIV/0!</v>
      </c>
      <c r="C53" s="609">
        <v>1</v>
      </c>
      <c r="D53" s="2078">
        <v>1</v>
      </c>
      <c r="E53" s="609">
        <f>'数据-汇总表'!E8+'数据-汇总表'!E9</f>
        <v>155413.54999999999</v>
      </c>
      <c r="F53" s="1836" t="e">
        <f t="shared" ref="F53:F62" si="15">ROUND(B53*E53/10000,0)</f>
        <v>#DIV/0!</v>
      </c>
      <c r="G53" s="3878"/>
      <c r="H53" s="3879"/>
      <c r="I53" s="1839">
        <v>1</v>
      </c>
      <c r="J53" s="1468">
        <v>1</v>
      </c>
      <c r="K53" s="3181"/>
      <c r="L53" s="2006"/>
      <c r="M53" s="2006"/>
      <c r="N53" s="2006"/>
      <c r="O53" s="2006"/>
      <c r="P53" s="2006"/>
      <c r="Q53" s="2006"/>
      <c r="R53" s="2006"/>
      <c r="S53" s="2006"/>
      <c r="T53" s="2006"/>
      <c r="U53" s="2006"/>
      <c r="V53" s="2006"/>
      <c r="W53" s="2006"/>
      <c r="X53" s="2006"/>
      <c r="Y53" s="2006"/>
      <c r="Z53" s="2006"/>
      <c r="AA53" s="2006"/>
      <c r="AB53" s="2006"/>
      <c r="AC53" s="2006"/>
    </row>
    <row r="54" spans="1:29" s="1273" customFormat="1" ht="12.75">
      <c r="A54" s="611" t="s">
        <v>542</v>
      </c>
      <c r="B54" s="612" t="e">
        <f>ROUND($C$45*C54*D54,0)</f>
        <v>#DIV/0!</v>
      </c>
      <c r="C54" s="372">
        <f t="shared" ref="C54:C62" si="16">IF($C$52="北京市系数",I54,J54)</f>
        <v>0.6</v>
      </c>
      <c r="D54" s="2079">
        <v>0.25</v>
      </c>
      <c r="E54" s="613"/>
      <c r="F54" s="1836" t="e">
        <f t="shared" si="15"/>
        <v>#DIV/0!</v>
      </c>
      <c r="G54" s="3880" t="s">
        <v>2249</v>
      </c>
      <c r="H54" s="1840" t="str">
        <f>项目基本情况!B43</f>
        <v>八级</v>
      </c>
      <c r="I54" s="1839">
        <f>SUMIF(修正!$A$45:$A$56,H54,修正!B45:B56)</f>
        <v>0.6</v>
      </c>
      <c r="J54" s="1469"/>
      <c r="K54" s="3181"/>
      <c r="L54" s="2006"/>
      <c r="M54" s="2006"/>
      <c r="N54" s="2006"/>
      <c r="O54" s="2006"/>
      <c r="P54" s="2006"/>
      <c r="Q54" s="2006"/>
      <c r="R54" s="2006"/>
      <c r="S54" s="2006"/>
      <c r="T54" s="2006"/>
      <c r="U54" s="2006"/>
      <c r="V54" s="2006"/>
      <c r="W54" s="2006"/>
      <c r="X54" s="2006"/>
      <c r="Y54" s="2006"/>
      <c r="Z54" s="2006"/>
      <c r="AA54" s="2006"/>
      <c r="AB54" s="2006"/>
      <c r="AC54" s="2006"/>
    </row>
    <row r="55" spans="1:29" s="1273" customFormat="1" ht="12.75">
      <c r="A55" s="611" t="s">
        <v>543</v>
      </c>
      <c r="B55" s="612" t="e">
        <f t="shared" ref="B55:B62" si="17">ROUND($C$45*C55*D55,0)</f>
        <v>#DIV/0!</v>
      </c>
      <c r="C55" s="372">
        <f t="shared" si="16"/>
        <v>0.3</v>
      </c>
      <c r="D55" s="2079">
        <v>0.25</v>
      </c>
      <c r="E55" s="613"/>
      <c r="F55" s="1836" t="e">
        <f t="shared" si="15"/>
        <v>#DIV/0!</v>
      </c>
      <c r="G55" s="3880"/>
      <c r="H55" s="1841" t="str">
        <f>项目基本情况!B43</f>
        <v>八级</v>
      </c>
      <c r="I55" s="1839">
        <f>SUMIF(修正!$A$45:$A$56,H55,修正!C45:C56)</f>
        <v>0.3</v>
      </c>
      <c r="J55" s="1469"/>
      <c r="K55" s="3181"/>
      <c r="L55" s="2006"/>
      <c r="M55" s="2006"/>
      <c r="N55" s="2006"/>
      <c r="O55" s="2006"/>
      <c r="P55" s="2006"/>
      <c r="Q55" s="2006"/>
      <c r="R55" s="2006"/>
      <c r="S55" s="2006"/>
      <c r="T55" s="2006"/>
      <c r="U55" s="2006"/>
      <c r="V55" s="2006"/>
      <c r="W55" s="2006"/>
      <c r="X55" s="2006"/>
      <c r="Y55" s="2006"/>
      <c r="Z55" s="2006"/>
      <c r="AA55" s="2006"/>
      <c r="AB55" s="2006"/>
      <c r="AC55" s="2006"/>
    </row>
    <row r="56" spans="1:29" s="1273" customFormat="1" ht="12.75">
      <c r="A56" s="611" t="s">
        <v>544</v>
      </c>
      <c r="B56" s="612" t="e">
        <f t="shared" si="17"/>
        <v>#DIV/0!</v>
      </c>
      <c r="C56" s="372">
        <f t="shared" si="16"/>
        <v>0.2</v>
      </c>
      <c r="D56" s="2079">
        <v>0.25</v>
      </c>
      <c r="E56" s="613"/>
      <c r="F56" s="1836" t="e">
        <f t="shared" si="15"/>
        <v>#DIV/0!</v>
      </c>
      <c r="G56" s="3880"/>
      <c r="H56" s="1841" t="str">
        <f>项目基本情况!B43</f>
        <v>八级</v>
      </c>
      <c r="I56" s="1839">
        <f>SUMIF(修正!$A$45:$A$56,H56,修正!D45:D56)</f>
        <v>0.2</v>
      </c>
      <c r="J56" s="1469"/>
      <c r="K56" s="3181"/>
      <c r="L56" s="2006"/>
      <c r="M56" s="2006"/>
      <c r="N56" s="2006"/>
      <c r="O56" s="2006"/>
      <c r="P56" s="2006"/>
      <c r="Q56" s="2006"/>
      <c r="R56" s="2006"/>
      <c r="S56" s="2006"/>
      <c r="T56" s="2006"/>
      <c r="U56" s="2006"/>
      <c r="V56" s="2006"/>
      <c r="W56" s="2006"/>
      <c r="X56" s="2006"/>
      <c r="Y56" s="2006"/>
      <c r="Z56" s="2006"/>
      <c r="AA56" s="2006"/>
      <c r="AB56" s="2006"/>
      <c r="AC56" s="2006"/>
    </row>
    <row r="57" spans="1:29" s="1273" customFormat="1" ht="12.75">
      <c r="A57" s="611" t="s">
        <v>545</v>
      </c>
      <c r="B57" s="612" t="e">
        <f t="shared" si="17"/>
        <v>#DIV/0!</v>
      </c>
      <c r="C57" s="372">
        <f t="shared" si="16"/>
        <v>0.2</v>
      </c>
      <c r="D57" s="2079">
        <v>0.25</v>
      </c>
      <c r="E57" s="613"/>
      <c r="F57" s="1836" t="e">
        <f t="shared" si="15"/>
        <v>#DIV/0!</v>
      </c>
      <c r="G57" s="3880"/>
      <c r="H57" s="1841" t="str">
        <f>项目基本情况!B43</f>
        <v>八级</v>
      </c>
      <c r="I57" s="1839">
        <f>SUMIF(修正!$A$45:$A$56,H57,修正!E45:E56)</f>
        <v>0.2</v>
      </c>
      <c r="J57" s="1469"/>
      <c r="K57" s="3181"/>
      <c r="L57" s="2006"/>
      <c r="M57" s="2006"/>
      <c r="N57" s="2006"/>
      <c r="O57" s="2006"/>
      <c r="P57" s="2006"/>
      <c r="Q57" s="2006"/>
      <c r="R57" s="2006"/>
      <c r="S57" s="2006"/>
      <c r="T57" s="2006"/>
      <c r="U57" s="2006"/>
      <c r="V57" s="2006"/>
      <c r="W57" s="2006"/>
      <c r="X57" s="2006"/>
      <c r="Y57" s="2006"/>
      <c r="Z57" s="2006"/>
      <c r="AA57" s="2006"/>
      <c r="AB57" s="2006"/>
      <c r="AC57" s="2006"/>
    </row>
    <row r="58" spans="1:29" s="1273" customFormat="1" ht="12.75">
      <c r="A58" s="2181" t="s">
        <v>2291</v>
      </c>
      <c r="B58" s="612" t="e">
        <f t="shared" si="17"/>
        <v>#DIV/0!</v>
      </c>
      <c r="C58" s="372">
        <f t="shared" si="16"/>
        <v>0.2</v>
      </c>
      <c r="D58" s="2079">
        <v>0.25</v>
      </c>
      <c r="E58" s="615">
        <f>'数据-汇总表'!E11</f>
        <v>0</v>
      </c>
      <c r="F58" s="1836" t="e">
        <f t="shared" si="15"/>
        <v>#DIV/0!</v>
      </c>
      <c r="G58" s="1842" t="s">
        <v>2250</v>
      </c>
      <c r="H58" s="1841" t="str">
        <f>项目基本情况!C43</f>
        <v>八级</v>
      </c>
      <c r="I58" s="1839">
        <f>SUMIF(修正!$A$45:$A$56,H58,修正!F45:F56)</f>
        <v>0.2</v>
      </c>
      <c r="J58" s="1469"/>
      <c r="K58" s="3181"/>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546</v>
      </c>
      <c r="B59" s="612" t="e">
        <f t="shared" si="17"/>
        <v>#DIV/0!</v>
      </c>
      <c r="C59" s="372">
        <f t="shared" si="16"/>
        <v>0.2</v>
      </c>
      <c r="D59" s="2079">
        <v>0.25</v>
      </c>
      <c r="E59" s="615">
        <f>'数据-汇总表'!E12</f>
        <v>0</v>
      </c>
      <c r="F59" s="1836" t="e">
        <f t="shared" si="15"/>
        <v>#DIV/0!</v>
      </c>
      <c r="G59" s="1832" t="s">
        <v>1650</v>
      </c>
      <c r="H59" s="1840" t="str">
        <f>IF(G59="商业",项目基本情况!B43,IF(G59="办公",项目基本情况!C43,IF(G59="住宅",项目基本情况!D43,项目基本情况!E43)))</f>
        <v>八级</v>
      </c>
      <c r="I59" s="1839">
        <f>SUMIF(修正!$A$45:$A$56,H59,修正!G45:G56)</f>
        <v>0.2</v>
      </c>
      <c r="J59" s="1469"/>
      <c r="K59" s="3181"/>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547</v>
      </c>
      <c r="B60" s="612" t="e">
        <f t="shared" si="17"/>
        <v>#DIV/0!</v>
      </c>
      <c r="C60" s="372">
        <f t="shared" si="16"/>
        <v>0</v>
      </c>
      <c r="D60" s="2079">
        <v>0.25</v>
      </c>
      <c r="E60" s="615">
        <f>'数据-汇总表'!E13</f>
        <v>0</v>
      </c>
      <c r="F60" s="1836" t="e">
        <f t="shared" si="15"/>
        <v>#DIV/0!</v>
      </c>
      <c r="G60" s="1832" t="s">
        <v>897</v>
      </c>
      <c r="H60" s="1840">
        <f>IF(G60="商业",项目基本情况!B43,IF(G60="办公",项目基本情况!C43,IF(G60="住宅",项目基本情况!D43,项目基本情况!E43)))</f>
        <v>0</v>
      </c>
      <c r="I60" s="1839">
        <f>SUMIF(修正!$A$45:$A$56,H60,修正!H45:H56)</f>
        <v>0</v>
      </c>
      <c r="J60" s="1469"/>
      <c r="K60" s="3181"/>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548</v>
      </c>
      <c r="B61" s="612" t="e">
        <f t="shared" si="17"/>
        <v>#DIV/0!</v>
      </c>
      <c r="C61" s="372">
        <f t="shared" si="16"/>
        <v>0.15</v>
      </c>
      <c r="D61" s="2079">
        <v>0.25</v>
      </c>
      <c r="E61" s="615">
        <f>'数据-汇总表'!E14</f>
        <v>0</v>
      </c>
      <c r="F61" s="1836" t="e">
        <f t="shared" si="15"/>
        <v>#DIV/0!</v>
      </c>
      <c r="G61" s="1842" t="s">
        <v>2249</v>
      </c>
      <c r="H61" s="1841" t="str">
        <f>项目基本情况!B43</f>
        <v>八级</v>
      </c>
      <c r="I61" s="1839">
        <f>SUMIF(修正!$A$45:$A$56,H61,修正!H45:H56)</f>
        <v>0.15</v>
      </c>
      <c r="J61" s="1469"/>
      <c r="K61" s="3181"/>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3.5" thickBot="1">
      <c r="A62" s="611" t="s">
        <v>549</v>
      </c>
      <c r="B62" s="612" t="e">
        <f t="shared" si="17"/>
        <v>#DIV/0!</v>
      </c>
      <c r="C62" s="372">
        <f t="shared" si="16"/>
        <v>0.15</v>
      </c>
      <c r="D62" s="2079">
        <v>0.25</v>
      </c>
      <c r="E62" s="615">
        <f>'数据-汇总表'!E15</f>
        <v>0</v>
      </c>
      <c r="F62" s="1836" t="e">
        <f t="shared" si="15"/>
        <v>#DIV/0!</v>
      </c>
      <c r="G62" s="1843" t="s">
        <v>2250</v>
      </c>
      <c r="H62" s="1844" t="str">
        <f>项目基本情况!C43</f>
        <v>八级</v>
      </c>
      <c r="I62" s="1839">
        <f>SUMIF(修正!$A$45:$A$56,H62,修正!H45:H56)</f>
        <v>0.15</v>
      </c>
      <c r="J62" s="1469"/>
      <c r="K62" s="3181"/>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3.5" thickBot="1">
      <c r="A63" s="616" t="s">
        <v>550</v>
      </c>
      <c r="B63" s="617" t="s">
        <v>17</v>
      </c>
      <c r="C63" s="617" t="s">
        <v>18</v>
      </c>
      <c r="D63" s="617" t="s">
        <v>2257</v>
      </c>
      <c r="E63" s="617">
        <f>IF(B43="楼面地价",SUM(E53:E62),'数据-汇总表'!D3)</f>
        <v>155413.54999999999</v>
      </c>
      <c r="F63" s="618" t="e">
        <f>IF(B43="楼面地价",SUM(F53:F62),ROUND(C45*E63/10000,0))</f>
        <v>#DIV/0!</v>
      </c>
      <c r="G63" s="2007"/>
      <c r="H63" s="2007"/>
      <c r="I63" s="2007"/>
      <c r="J63" s="2007"/>
      <c r="K63" s="318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2022-3-1</v>
      </c>
      <c r="D65" s="2483">
        <f>EDATE(C65,-3)</f>
        <v>44531</v>
      </c>
      <c r="E65" s="2483">
        <f t="shared" ref="E65:N65" si="18">EDATE(D65,-3)</f>
        <v>44440</v>
      </c>
      <c r="F65" s="2483">
        <f t="shared" si="18"/>
        <v>44348</v>
      </c>
      <c r="G65" s="2483">
        <f t="shared" si="18"/>
        <v>44256</v>
      </c>
      <c r="H65" s="2483">
        <f t="shared" si="18"/>
        <v>44166</v>
      </c>
      <c r="I65" s="2483">
        <f t="shared" si="18"/>
        <v>44075</v>
      </c>
      <c r="J65" s="2483">
        <f t="shared" si="18"/>
        <v>43983</v>
      </c>
      <c r="K65" s="2483">
        <f t="shared" si="18"/>
        <v>43891</v>
      </c>
      <c r="L65" s="2483">
        <f t="shared" si="18"/>
        <v>43800</v>
      </c>
      <c r="M65" s="2483">
        <f t="shared" si="18"/>
        <v>43709</v>
      </c>
      <c r="N65" s="2483">
        <f t="shared" si="18"/>
        <v>43617</v>
      </c>
      <c r="O65" s="1997"/>
      <c r="P65" s="1997"/>
      <c r="Q65" s="1997"/>
      <c r="R65" s="1997"/>
      <c r="S65" s="1997"/>
      <c r="T65" s="1997"/>
      <c r="U65" s="1997"/>
      <c r="V65" s="1997"/>
      <c r="W65" s="1997"/>
      <c r="X65" s="1997"/>
      <c r="Y65" s="1997"/>
      <c r="Z65" s="1997"/>
      <c r="AA65" s="1997"/>
      <c r="AB65" s="1997"/>
      <c r="AC65" s="1997"/>
    </row>
    <row r="66" spans="1:29" ht="21.75" thickBot="1">
      <c r="A66" s="1492" t="s">
        <v>551</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4" customFormat="1" ht="15">
      <c r="A67" s="2388" t="s">
        <v>2485</v>
      </c>
      <c r="B67" s="620"/>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5" customFormat="1" ht="27.75" customHeight="1">
      <c r="A68" s="2482" t="s">
        <v>2600</v>
      </c>
      <c r="B68" s="472" t="str">
        <f>"北京市平均增长率"&amp;TEXT(基准地价办公!P24,"0.00%")</f>
        <v>北京市平均增长率1.20%</v>
      </c>
      <c r="C68" s="865">
        <v>100</v>
      </c>
      <c r="D68" s="704"/>
      <c r="E68" s="704"/>
      <c r="F68" s="704"/>
      <c r="G68" s="704"/>
      <c r="H68" s="704"/>
      <c r="I68" s="704"/>
      <c r="J68" s="704"/>
      <c r="K68" s="704"/>
      <c r="L68" s="704"/>
      <c r="M68" s="2478"/>
      <c r="N68" s="2479"/>
      <c r="O68" s="2013"/>
      <c r="P68" s="2009"/>
      <c r="Q68" s="1876"/>
      <c r="R68" s="1876"/>
      <c r="S68" s="1876"/>
      <c r="T68" s="1876"/>
      <c r="U68" s="1876"/>
      <c r="V68" s="1876"/>
      <c r="W68" s="1876"/>
      <c r="X68" s="1876"/>
      <c r="Y68" s="1876"/>
      <c r="Z68" s="1876"/>
      <c r="AA68" s="1876"/>
      <c r="AB68" s="1876"/>
      <c r="AC68" s="1876"/>
    </row>
    <row r="69" spans="1:29" s="1185" customFormat="1" ht="15.75" thickBot="1">
      <c r="A69" s="627" t="s">
        <v>552</v>
      </c>
      <c r="B69" s="628"/>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5" customFormat="1" ht="15">
      <c r="A70" s="633" t="s">
        <v>508</v>
      </c>
      <c r="B70" s="622"/>
      <c r="C70" s="634" t="s">
        <v>553</v>
      </c>
      <c r="D70" s="635"/>
      <c r="E70" s="635"/>
      <c r="F70" s="635"/>
      <c r="G70" s="635"/>
      <c r="H70" s="635"/>
      <c r="I70" s="635"/>
      <c r="J70" s="635"/>
      <c r="K70" s="635"/>
      <c r="L70" s="636"/>
      <c r="M70" s="637"/>
      <c r="N70" s="3190"/>
      <c r="O70" s="2013"/>
      <c r="P70" s="2014"/>
      <c r="Q70" s="2009"/>
      <c r="R70" s="1876"/>
      <c r="S70" s="1876"/>
      <c r="T70" s="1876"/>
      <c r="U70" s="1876"/>
      <c r="V70" s="1876"/>
      <c r="W70" s="1876"/>
      <c r="X70" s="1876"/>
      <c r="Y70" s="1876"/>
      <c r="Z70" s="1876"/>
      <c r="AA70" s="1876"/>
      <c r="AB70" s="1876"/>
      <c r="AC70" s="1876"/>
    </row>
    <row r="71" spans="1:29" s="1185" customFormat="1" ht="15.75" thickBot="1">
      <c r="A71" s="633"/>
      <c r="B71" s="622"/>
      <c r="C71" s="623">
        <v>100</v>
      </c>
      <c r="D71" s="624"/>
      <c r="E71" s="624"/>
      <c r="F71" s="624"/>
      <c r="G71" s="624"/>
      <c r="H71" s="624"/>
      <c r="I71" s="624"/>
      <c r="J71" s="624"/>
      <c r="K71" s="624"/>
      <c r="L71" s="624"/>
      <c r="M71" s="626"/>
      <c r="N71" s="3190"/>
      <c r="O71" s="2013"/>
      <c r="P71" s="2009"/>
      <c r="Q71" s="2009"/>
      <c r="R71" s="1876"/>
      <c r="S71" s="1876"/>
      <c r="T71" s="1876"/>
      <c r="U71" s="1876"/>
      <c r="V71" s="1876"/>
      <c r="W71" s="1876"/>
      <c r="X71" s="1876"/>
      <c r="Y71" s="1876"/>
      <c r="Z71" s="1876"/>
      <c r="AA71" s="1876"/>
      <c r="AB71" s="1876"/>
      <c r="AC71" s="1876"/>
    </row>
    <row r="72" spans="1:29">
      <c r="A72" s="638" t="s">
        <v>554</v>
      </c>
      <c r="B72" s="639" t="s">
        <v>511</v>
      </c>
      <c r="C72" s="574"/>
      <c r="D72" s="574"/>
      <c r="E72" s="574"/>
      <c r="F72" s="574"/>
      <c r="G72" s="574"/>
      <c r="H72" s="574"/>
      <c r="I72" s="574"/>
      <c r="J72" s="574"/>
      <c r="K72" s="640"/>
      <c r="L72" s="641"/>
      <c r="M72" s="642"/>
      <c r="N72" s="3191"/>
      <c r="O72" s="2015"/>
      <c r="P72" s="2016"/>
      <c r="Q72" s="2009"/>
      <c r="R72" s="1997"/>
      <c r="S72" s="1997"/>
      <c r="T72" s="1997"/>
      <c r="U72" s="1997"/>
      <c r="V72" s="1997"/>
      <c r="W72" s="1997"/>
      <c r="X72" s="1997"/>
      <c r="Y72" s="1997"/>
      <c r="Z72" s="1997"/>
      <c r="AA72" s="1997"/>
      <c r="AB72" s="1997"/>
      <c r="AC72" s="1997"/>
    </row>
    <row r="73" spans="1:29" ht="15.75" thickBot="1">
      <c r="A73" s="643"/>
      <c r="B73" s="644"/>
      <c r="C73" s="645"/>
      <c r="D73" s="645"/>
      <c r="E73" s="645"/>
      <c r="F73" s="645"/>
      <c r="G73" s="645"/>
      <c r="H73" s="645"/>
      <c r="I73" s="645"/>
      <c r="J73" s="645"/>
      <c r="K73" s="645"/>
      <c r="L73" s="645"/>
      <c r="M73" s="646"/>
      <c r="N73" s="3192"/>
      <c r="O73" s="2017"/>
      <c r="P73" s="2016"/>
      <c r="Q73" s="2009"/>
      <c r="R73" s="1997"/>
      <c r="S73" s="1997"/>
      <c r="T73" s="1997"/>
      <c r="U73" s="1997"/>
      <c r="V73" s="1997"/>
      <c r="W73" s="1997"/>
      <c r="X73" s="1997"/>
      <c r="Y73" s="1997"/>
      <c r="Z73" s="1997"/>
      <c r="AA73" s="1997"/>
      <c r="AB73" s="1997"/>
      <c r="AC73" s="1997"/>
    </row>
    <row r="74" spans="1:29" ht="27.75" thickTop="1">
      <c r="A74" s="643"/>
      <c r="B74" s="647" t="s">
        <v>514</v>
      </c>
      <c r="C74" s="648"/>
      <c r="D74" s="648"/>
      <c r="E74" s="648"/>
      <c r="F74" s="648"/>
      <c r="G74" s="648"/>
      <c r="H74" s="648"/>
      <c r="I74" s="648"/>
      <c r="J74" s="648"/>
      <c r="K74" s="649"/>
      <c r="L74" s="650"/>
      <c r="M74" s="651"/>
      <c r="N74" s="3191"/>
      <c r="O74" s="2015"/>
      <c r="P74" s="2016"/>
      <c r="Q74" s="2009"/>
      <c r="R74" s="1997"/>
      <c r="S74" s="1997"/>
      <c r="T74" s="1997"/>
      <c r="U74" s="1997"/>
      <c r="V74" s="1997"/>
      <c r="W74" s="1997"/>
      <c r="X74" s="1997"/>
      <c r="Y74" s="1997"/>
      <c r="Z74" s="1997"/>
      <c r="AA74" s="1997"/>
      <c r="AB74" s="1997"/>
      <c r="AC74" s="1997"/>
    </row>
    <row r="75" spans="1:29" ht="15.75" thickBot="1">
      <c r="A75" s="643"/>
      <c r="B75" s="652"/>
      <c r="C75" s="653"/>
      <c r="D75" s="653"/>
      <c r="E75" s="653"/>
      <c r="F75" s="653"/>
      <c r="G75" s="653"/>
      <c r="H75" s="653"/>
      <c r="I75" s="653"/>
      <c r="J75" s="653"/>
      <c r="K75" s="653"/>
      <c r="L75" s="653"/>
      <c r="M75" s="654"/>
      <c r="N75" s="3192"/>
      <c r="O75" s="2017"/>
      <c r="P75" s="2016"/>
      <c r="Q75" s="2009"/>
      <c r="R75" s="1997"/>
      <c r="S75" s="1997"/>
      <c r="T75" s="1997"/>
      <c r="U75" s="1997"/>
      <c r="V75" s="1997"/>
      <c r="W75" s="1997"/>
      <c r="X75" s="1997"/>
      <c r="Y75" s="1997"/>
      <c r="Z75" s="1997"/>
      <c r="AA75" s="1997"/>
      <c r="AB75" s="1997"/>
      <c r="AC75" s="1997"/>
    </row>
    <row r="76" spans="1:29" ht="15.75" thickTop="1">
      <c r="A76" s="643"/>
      <c r="B76" s="655" t="s">
        <v>515</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7"/>
      <c r="P76" s="2016"/>
      <c r="Q76" s="2009"/>
      <c r="R76" s="1997"/>
      <c r="S76" s="1997"/>
      <c r="T76" s="1997"/>
      <c r="U76" s="1997"/>
      <c r="V76" s="1997"/>
      <c r="W76" s="1997"/>
      <c r="X76" s="1997"/>
      <c r="Y76" s="1997"/>
      <c r="Z76" s="1997"/>
      <c r="AA76" s="1997"/>
      <c r="AB76" s="1997"/>
      <c r="AC76" s="1997"/>
    </row>
    <row r="77" spans="1:29" ht="15">
      <c r="A77" s="643"/>
      <c r="B77" s="657"/>
      <c r="C77" s="517"/>
      <c r="D77" s="517"/>
      <c r="E77" s="517"/>
      <c r="F77" s="517"/>
      <c r="G77" s="517"/>
      <c r="H77" s="517"/>
      <c r="I77" s="517"/>
      <c r="J77" s="517"/>
      <c r="K77" s="658"/>
      <c r="L77" s="659"/>
      <c r="M77" s="660"/>
      <c r="N77" s="3191"/>
      <c r="O77" s="2015"/>
      <c r="P77" s="2016"/>
      <c r="Q77" s="2009"/>
      <c r="R77" s="1997"/>
      <c r="S77" s="1997"/>
      <c r="T77" s="1997"/>
      <c r="U77" s="1997"/>
      <c r="V77" s="1997"/>
      <c r="W77" s="1997"/>
      <c r="X77" s="1997"/>
      <c r="Y77" s="1997"/>
      <c r="Z77" s="1997"/>
      <c r="AA77" s="1997"/>
      <c r="AB77" s="1997"/>
      <c r="AC77" s="1997"/>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7"/>
      <c r="P78" s="2016"/>
      <c r="Q78" s="2009"/>
      <c r="R78" s="1997"/>
      <c r="S78" s="1997"/>
      <c r="T78" s="1997"/>
      <c r="U78" s="1997"/>
      <c r="V78" s="1997"/>
      <c r="W78" s="1997"/>
      <c r="X78" s="1997"/>
      <c r="Y78" s="1997"/>
      <c r="Z78" s="1997"/>
      <c r="AA78" s="1997"/>
      <c r="AB78" s="1997"/>
      <c r="AC78" s="1997"/>
    </row>
    <row r="79" spans="1:29" s="1267" customFormat="1" ht="15.75" thickTop="1">
      <c r="A79" s="661"/>
      <c r="B79" s="647">
        <f>B14</f>
        <v>111</v>
      </c>
      <c r="C79" s="662"/>
      <c r="D79" s="662"/>
      <c r="E79" s="662"/>
      <c r="F79" s="662"/>
      <c r="G79" s="662"/>
      <c r="H79" s="663"/>
      <c r="I79" s="663"/>
      <c r="J79" s="663"/>
      <c r="K79" s="663"/>
      <c r="L79" s="664"/>
      <c r="M79" s="665"/>
      <c r="N79" s="3193"/>
      <c r="O79" s="2018"/>
      <c r="P79" s="2019"/>
      <c r="Q79" s="2020"/>
      <c r="R79" s="2021"/>
      <c r="S79" s="2021"/>
      <c r="T79" s="2021"/>
      <c r="U79" s="2021"/>
      <c r="V79" s="2021"/>
      <c r="W79" s="2021"/>
      <c r="X79" s="2021"/>
      <c r="Y79" s="2021"/>
      <c r="Z79" s="2021"/>
      <c r="AA79" s="2021"/>
      <c r="AB79" s="2021"/>
      <c r="AC79" s="2021"/>
    </row>
    <row r="80" spans="1:29" s="1267" customFormat="1" ht="15.75" thickBot="1">
      <c r="A80" s="661"/>
      <c r="B80" s="652"/>
      <c r="C80" s="666"/>
      <c r="D80" s="645"/>
      <c r="E80" s="645"/>
      <c r="F80" s="645"/>
      <c r="G80" s="645"/>
      <c r="H80" s="645"/>
      <c r="I80" s="645"/>
      <c r="J80" s="645"/>
      <c r="K80" s="645"/>
      <c r="L80" s="645"/>
      <c r="M80" s="646"/>
      <c r="N80" s="3192"/>
      <c r="O80" s="2017"/>
      <c r="P80" s="2019"/>
      <c r="Q80" s="2020"/>
      <c r="R80" s="2021"/>
      <c r="S80" s="2021"/>
      <c r="T80" s="2021"/>
      <c r="U80" s="2021"/>
      <c r="V80" s="2021"/>
      <c r="W80" s="2021"/>
      <c r="X80" s="2021"/>
      <c r="Y80" s="2021"/>
      <c r="Z80" s="2021"/>
      <c r="AA80" s="2021"/>
      <c r="AB80" s="2021"/>
      <c r="AC80" s="2021"/>
    </row>
    <row r="81" spans="1:29" s="1267" customFormat="1" ht="15.75" thickTop="1">
      <c r="A81" s="661"/>
      <c r="B81" s="647">
        <f>B15</f>
        <v>111</v>
      </c>
      <c r="C81" s="662"/>
      <c r="D81" s="662"/>
      <c r="E81" s="662"/>
      <c r="F81" s="662"/>
      <c r="G81" s="662"/>
      <c r="H81" s="663"/>
      <c r="I81" s="663"/>
      <c r="J81" s="663"/>
      <c r="K81" s="663"/>
      <c r="L81" s="664"/>
      <c r="M81" s="665"/>
      <c r="N81" s="3193"/>
      <c r="O81" s="2018"/>
      <c r="P81" s="2022"/>
      <c r="Q81" s="2023"/>
      <c r="R81" s="2021"/>
      <c r="S81" s="2021"/>
      <c r="T81" s="2021"/>
      <c r="U81" s="2021"/>
      <c r="V81" s="2021"/>
      <c r="W81" s="2021"/>
      <c r="X81" s="2021"/>
      <c r="Y81" s="2021"/>
      <c r="Z81" s="2021"/>
      <c r="AA81" s="2021"/>
      <c r="AB81" s="2021"/>
      <c r="AC81" s="2021"/>
    </row>
    <row r="82" spans="1:29" s="1267" customFormat="1" ht="15.75" thickBot="1">
      <c r="A82" s="661"/>
      <c r="B82" s="652"/>
      <c r="C82" s="666"/>
      <c r="D82" s="666"/>
      <c r="E82" s="666"/>
      <c r="F82" s="666"/>
      <c r="G82" s="666"/>
      <c r="H82" s="667"/>
      <c r="I82" s="667"/>
      <c r="J82" s="667"/>
      <c r="K82" s="667"/>
      <c r="L82" s="667"/>
      <c r="M82" s="668"/>
      <c r="N82" s="3193"/>
      <c r="O82" s="2018"/>
      <c r="P82" s="2019"/>
      <c r="Q82" s="2020"/>
      <c r="R82" s="2021"/>
      <c r="S82" s="2021"/>
      <c r="T82" s="2021"/>
      <c r="U82" s="2021"/>
      <c r="V82" s="2021"/>
      <c r="W82" s="2021"/>
      <c r="X82" s="2021"/>
      <c r="Y82" s="2021"/>
      <c r="Z82" s="2021"/>
      <c r="AA82" s="2021"/>
      <c r="AB82" s="2021"/>
      <c r="AC82" s="2021"/>
    </row>
    <row r="83" spans="1:29" s="1267" customFormat="1" ht="15.75" thickTop="1">
      <c r="A83" s="661"/>
      <c r="B83" s="655">
        <f>B16</f>
        <v>111</v>
      </c>
      <c r="C83" s="635"/>
      <c r="D83" s="635"/>
      <c r="E83" s="635"/>
      <c r="F83" s="635"/>
      <c r="G83" s="635"/>
      <c r="H83" s="669"/>
      <c r="I83" s="669"/>
      <c r="J83" s="669"/>
      <c r="K83" s="669"/>
      <c r="L83" s="670"/>
      <c r="M83" s="671"/>
      <c r="N83" s="3193"/>
      <c r="O83" s="2018"/>
      <c r="P83" s="2024"/>
      <c r="Q83" s="2020"/>
      <c r="R83" s="2021"/>
      <c r="S83" s="2021"/>
      <c r="T83" s="2021"/>
      <c r="U83" s="2021"/>
      <c r="V83" s="2021"/>
      <c r="W83" s="2021"/>
      <c r="X83" s="2021"/>
      <c r="Y83" s="2021"/>
      <c r="Z83" s="2021"/>
      <c r="AA83" s="2021"/>
      <c r="AB83" s="2021"/>
      <c r="AC83" s="2021"/>
    </row>
    <row r="84" spans="1:29" s="1267" customFormat="1" ht="15.75" thickBot="1">
      <c r="A84" s="672"/>
      <c r="B84" s="673"/>
      <c r="C84" s="674"/>
      <c r="D84" s="674"/>
      <c r="E84" s="674"/>
      <c r="F84" s="674"/>
      <c r="G84" s="674"/>
      <c r="H84" s="675"/>
      <c r="I84" s="675"/>
      <c r="J84" s="675"/>
      <c r="K84" s="675"/>
      <c r="L84" s="675"/>
      <c r="M84" s="676"/>
      <c r="N84" s="3193"/>
      <c r="O84" s="2018"/>
      <c r="P84" s="2019"/>
      <c r="Q84" s="2020"/>
      <c r="R84" s="2021"/>
      <c r="S84" s="2021"/>
      <c r="T84" s="2021"/>
      <c r="U84" s="2021"/>
      <c r="V84" s="2021"/>
      <c r="W84" s="2021"/>
      <c r="X84" s="2021"/>
      <c r="Y84" s="2021"/>
      <c r="Z84" s="2021"/>
      <c r="AA84" s="2021"/>
      <c r="AB84" s="2021"/>
      <c r="AC84" s="2021"/>
    </row>
    <row r="85" spans="1:29">
      <c r="A85" s="638" t="s">
        <v>516</v>
      </c>
      <c r="B85" s="639" t="s">
        <v>579</v>
      </c>
      <c r="C85" s="677" t="s">
        <v>556</v>
      </c>
      <c r="D85" s="677" t="s">
        <v>557</v>
      </c>
      <c r="E85" s="677" t="s">
        <v>558</v>
      </c>
      <c r="F85" s="677" t="s">
        <v>559</v>
      </c>
      <c r="G85" s="677" t="s">
        <v>560</v>
      </c>
      <c r="H85" s="678"/>
      <c r="I85" s="678"/>
      <c r="J85" s="678"/>
      <c r="K85" s="679"/>
      <c r="L85" s="680"/>
      <c r="M85" s="681"/>
      <c r="N85" s="3191"/>
      <c r="O85" s="2015"/>
      <c r="P85" s="2025"/>
      <c r="Q85" s="2009"/>
      <c r="R85" s="1997"/>
      <c r="S85" s="1997"/>
      <c r="T85" s="1997"/>
      <c r="U85" s="1997"/>
      <c r="V85" s="1997"/>
      <c r="W85" s="1997"/>
      <c r="X85" s="1997"/>
      <c r="Y85" s="1997"/>
      <c r="Z85" s="1997"/>
      <c r="AA85" s="1997"/>
      <c r="AB85" s="1997"/>
      <c r="AC85" s="1997"/>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7"/>
      <c r="P86" s="2016"/>
      <c r="Q86" s="2009"/>
      <c r="R86" s="1997"/>
      <c r="S86" s="1997"/>
      <c r="T86" s="1997"/>
      <c r="U86" s="1997"/>
      <c r="V86" s="1997"/>
      <c r="W86" s="1997"/>
      <c r="X86" s="1997"/>
      <c r="Y86" s="1997"/>
      <c r="Z86" s="1997"/>
      <c r="AA86" s="1997"/>
      <c r="AB86" s="1997"/>
      <c r="AC86" s="1997"/>
    </row>
    <row r="87" spans="1:29" ht="15.75" thickTop="1">
      <c r="A87" s="643"/>
      <c r="B87" s="647" t="s">
        <v>563</v>
      </c>
      <c r="C87" s="682" t="s">
        <v>556</v>
      </c>
      <c r="D87" s="682" t="s">
        <v>557</v>
      </c>
      <c r="E87" s="682" t="s">
        <v>558</v>
      </c>
      <c r="F87" s="682" t="s">
        <v>559</v>
      </c>
      <c r="G87" s="682" t="s">
        <v>560</v>
      </c>
      <c r="H87" s="648"/>
      <c r="I87" s="648"/>
      <c r="J87" s="648"/>
      <c r="K87" s="649"/>
      <c r="L87" s="650"/>
      <c r="M87" s="651"/>
      <c r="N87" s="3191"/>
      <c r="O87" s="2015"/>
      <c r="P87" s="2016"/>
      <c r="Q87" s="2009"/>
      <c r="R87" s="1997"/>
      <c r="S87" s="1997"/>
      <c r="T87" s="1997"/>
      <c r="U87" s="1997"/>
      <c r="V87" s="1997"/>
      <c r="W87" s="1997"/>
      <c r="X87" s="1997"/>
      <c r="Y87" s="1997"/>
      <c r="Z87" s="1997"/>
      <c r="AA87" s="1997"/>
      <c r="AB87" s="1997"/>
      <c r="AC87" s="1997"/>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7"/>
      <c r="P88" s="2016"/>
      <c r="Q88" s="2009"/>
      <c r="R88" s="1997"/>
      <c r="S88" s="1997"/>
      <c r="T88" s="1997"/>
      <c r="U88" s="1997"/>
      <c r="V88" s="1997"/>
      <c r="W88" s="1997"/>
      <c r="X88" s="1997"/>
      <c r="Y88" s="1997"/>
      <c r="Z88" s="1997"/>
      <c r="AA88" s="1997"/>
      <c r="AB88" s="1997"/>
      <c r="AC88" s="1997"/>
    </row>
    <row r="89" spans="1:29" s="1185" customFormat="1" ht="27.75" thickTop="1">
      <c r="A89" s="683"/>
      <c r="B89" s="647" t="s">
        <v>564</v>
      </c>
      <c r="C89" s="682" t="s">
        <v>556</v>
      </c>
      <c r="D89" s="682" t="s">
        <v>557</v>
      </c>
      <c r="E89" s="682" t="s">
        <v>558</v>
      </c>
      <c r="F89" s="682" t="s">
        <v>559</v>
      </c>
      <c r="G89" s="682" t="s">
        <v>560</v>
      </c>
      <c r="H89" s="682"/>
      <c r="I89" s="682"/>
      <c r="J89" s="682"/>
      <c r="K89" s="682"/>
      <c r="L89" s="684"/>
      <c r="M89" s="685"/>
      <c r="N89" s="3190"/>
      <c r="O89" s="2013"/>
      <c r="P89" s="2016"/>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7"/>
      <c r="P90" s="2016"/>
      <c r="Q90" s="2009"/>
      <c r="R90" s="1876"/>
      <c r="S90" s="1876"/>
      <c r="T90" s="1876"/>
      <c r="U90" s="1876"/>
      <c r="V90" s="1876"/>
      <c r="W90" s="1876"/>
      <c r="X90" s="1876"/>
      <c r="Y90" s="1876"/>
      <c r="Z90" s="1876"/>
      <c r="AA90" s="1876"/>
      <c r="AB90" s="1876"/>
      <c r="AC90" s="1876"/>
    </row>
    <row r="91" spans="1:29" s="1185" customFormat="1" ht="27.75" thickTop="1">
      <c r="A91" s="683"/>
      <c r="B91" s="647" t="s">
        <v>565</v>
      </c>
      <c r="C91" s="677" t="s">
        <v>556</v>
      </c>
      <c r="D91" s="677" t="s">
        <v>557</v>
      </c>
      <c r="E91" s="677" t="s">
        <v>558</v>
      </c>
      <c r="F91" s="677" t="s">
        <v>559</v>
      </c>
      <c r="G91" s="677" t="s">
        <v>560</v>
      </c>
      <c r="H91" s="682"/>
      <c r="I91" s="682"/>
      <c r="J91" s="682"/>
      <c r="K91" s="682"/>
      <c r="L91" s="682"/>
      <c r="M91" s="685"/>
      <c r="N91" s="3190"/>
      <c r="O91" s="2013"/>
      <c r="P91" s="2016"/>
      <c r="Q91" s="2009"/>
      <c r="R91" s="1876"/>
      <c r="S91" s="1876"/>
      <c r="T91" s="1876"/>
      <c r="U91" s="1876"/>
      <c r="V91" s="1876"/>
      <c r="W91" s="1876"/>
      <c r="X91" s="1876"/>
      <c r="Y91" s="1876"/>
      <c r="Z91" s="1876"/>
      <c r="AA91" s="1876"/>
      <c r="AB91" s="1876"/>
      <c r="AC91" s="1876"/>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7"/>
      <c r="P92" s="2016"/>
      <c r="Q92" s="2009"/>
      <c r="R92" s="1876"/>
      <c r="S92" s="1876"/>
      <c r="T92" s="1876"/>
      <c r="U92" s="1876"/>
      <c r="V92" s="1876"/>
      <c r="W92" s="1876"/>
      <c r="X92" s="1876"/>
      <c r="Y92" s="1876"/>
      <c r="Z92" s="1876"/>
      <c r="AA92" s="1876"/>
      <c r="AB92" s="1876"/>
      <c r="AC92" s="1876"/>
    </row>
    <row r="93" spans="1:29" s="1267" customFormat="1" ht="15.75" thickTop="1">
      <c r="A93" s="661"/>
      <c r="B93" s="1782" t="s">
        <v>2500</v>
      </c>
      <c r="C93" s="677" t="s">
        <v>556</v>
      </c>
      <c r="D93" s="677" t="s">
        <v>557</v>
      </c>
      <c r="E93" s="677" t="s">
        <v>558</v>
      </c>
      <c r="F93" s="677" t="s">
        <v>559</v>
      </c>
      <c r="G93" s="677" t="s">
        <v>560</v>
      </c>
      <c r="H93" s="687"/>
      <c r="I93" s="687"/>
      <c r="J93" s="687"/>
      <c r="K93" s="687"/>
      <c r="L93" s="688"/>
      <c r="M93" s="689"/>
      <c r="N93" s="3193"/>
      <c r="O93" s="2018"/>
      <c r="P93" s="2019"/>
      <c r="Q93" s="2020"/>
      <c r="R93" s="2021"/>
      <c r="S93" s="2021"/>
      <c r="T93" s="2021"/>
      <c r="U93" s="2021"/>
      <c r="V93" s="2021"/>
      <c r="W93" s="2021"/>
      <c r="X93" s="2021"/>
      <c r="Y93" s="2021"/>
      <c r="Z93" s="2021"/>
      <c r="AA93" s="2021"/>
      <c r="AB93" s="2021"/>
      <c r="AC93" s="2021"/>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8"/>
      <c r="P94" s="2019"/>
      <c r="Q94" s="2020"/>
      <c r="R94" s="2021"/>
      <c r="S94" s="2021"/>
      <c r="T94" s="2021"/>
      <c r="U94" s="2021"/>
      <c r="V94" s="2021"/>
      <c r="W94" s="2021"/>
      <c r="X94" s="2021"/>
      <c r="Y94" s="2021"/>
      <c r="Z94" s="2021"/>
      <c r="AA94" s="2021"/>
      <c r="AB94" s="2021"/>
      <c r="AC94" s="2021"/>
    </row>
    <row r="95" spans="1:29" s="1267" customFormat="1" ht="15.75" thickTop="1">
      <c r="A95" s="661"/>
      <c r="B95" s="2408" t="s">
        <v>2502</v>
      </c>
      <c r="C95" s="2409" t="s">
        <v>2503</v>
      </c>
      <c r="D95" s="2409" t="s">
        <v>2504</v>
      </c>
      <c r="E95" s="2409" t="s">
        <v>2505</v>
      </c>
      <c r="F95" s="2409" t="s">
        <v>2506</v>
      </c>
      <c r="G95" s="2409" t="s">
        <v>2507</v>
      </c>
      <c r="H95" s="687"/>
      <c r="I95" s="687"/>
      <c r="J95" s="687"/>
      <c r="K95" s="687"/>
      <c r="L95" s="687"/>
      <c r="M95" s="689"/>
      <c r="N95" s="3193"/>
      <c r="O95" s="2018"/>
      <c r="P95" s="2019"/>
      <c r="Q95" s="2020"/>
      <c r="R95" s="2021"/>
      <c r="S95" s="2021"/>
      <c r="T95" s="2021"/>
      <c r="U95" s="2021"/>
      <c r="V95" s="2021"/>
      <c r="W95" s="2021"/>
      <c r="X95" s="2021"/>
      <c r="Y95" s="2021"/>
      <c r="Z95" s="2021"/>
      <c r="AA95" s="2021"/>
      <c r="AB95" s="2021"/>
      <c r="AC95" s="2021"/>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1"/>
      <c r="N96" s="3193"/>
      <c r="O96" s="2018"/>
      <c r="P96" s="2019"/>
      <c r="Q96" s="2020"/>
      <c r="R96" s="2021"/>
      <c r="S96" s="2021"/>
      <c r="T96" s="2021"/>
      <c r="U96" s="2021"/>
      <c r="V96" s="2021"/>
      <c r="W96" s="2021"/>
      <c r="X96" s="2021"/>
      <c r="Y96" s="2021"/>
      <c r="Z96" s="2021"/>
      <c r="AA96" s="2021"/>
      <c r="AB96" s="2021"/>
      <c r="AC96" s="2021"/>
    </row>
    <row r="97" spans="1:29" ht="15.75" thickTop="1">
      <c r="A97" s="643"/>
      <c r="B97" s="647" t="str">
        <f>B29</f>
        <v>临街状况</v>
      </c>
      <c r="C97" s="648" t="s">
        <v>566</v>
      </c>
      <c r="D97" s="648" t="s">
        <v>567</v>
      </c>
      <c r="E97" s="648" t="s">
        <v>568</v>
      </c>
      <c r="F97" s="648" t="s">
        <v>569</v>
      </c>
      <c r="G97" s="648"/>
      <c r="H97" s="648"/>
      <c r="I97" s="648"/>
      <c r="J97" s="648"/>
      <c r="K97" s="649"/>
      <c r="L97" s="650"/>
      <c r="M97" s="651"/>
      <c r="N97" s="3191"/>
      <c r="O97" s="2015"/>
      <c r="P97" s="2016"/>
      <c r="Q97" s="2009"/>
      <c r="R97" s="1997"/>
      <c r="S97" s="1997"/>
      <c r="T97" s="1997"/>
      <c r="U97" s="1997"/>
      <c r="V97" s="1997"/>
      <c r="W97" s="1997"/>
      <c r="X97" s="1997"/>
      <c r="Y97" s="1997"/>
      <c r="Z97" s="1997"/>
      <c r="AA97" s="1997"/>
      <c r="AB97" s="1997"/>
      <c r="AC97" s="1997"/>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7"/>
      <c r="P98" s="2016"/>
      <c r="Q98" s="2009"/>
      <c r="R98" s="1997"/>
      <c r="S98" s="1997"/>
      <c r="T98" s="1997"/>
      <c r="U98" s="1997"/>
      <c r="V98" s="1997"/>
      <c r="W98" s="1997"/>
      <c r="X98" s="1997"/>
      <c r="Y98" s="1997"/>
      <c r="Z98" s="1997"/>
      <c r="AA98" s="1997"/>
      <c r="AB98" s="1997"/>
      <c r="AC98" s="1997"/>
    </row>
    <row r="99" spans="1:29" ht="27.75" thickTop="1">
      <c r="A99" s="643"/>
      <c r="B99" s="647" t="s">
        <v>525</v>
      </c>
      <c r="C99" s="662"/>
      <c r="D99" s="662"/>
      <c r="E99" s="662"/>
      <c r="F99" s="662"/>
      <c r="G99" s="662"/>
      <c r="H99" s="692"/>
      <c r="I99" s="692"/>
      <c r="J99" s="692"/>
      <c r="K99" s="693"/>
      <c r="L99" s="694"/>
      <c r="M99" s="695"/>
      <c r="N99" s="3191"/>
      <c r="O99" s="2015"/>
      <c r="P99" s="2016"/>
      <c r="Q99" s="2009"/>
      <c r="R99" s="1997"/>
      <c r="S99" s="1997"/>
      <c r="T99" s="1997"/>
      <c r="U99" s="1997"/>
      <c r="V99" s="1997"/>
      <c r="W99" s="1997"/>
      <c r="X99" s="1997"/>
      <c r="Y99" s="1997"/>
      <c r="Z99" s="1997"/>
      <c r="AA99" s="1997"/>
      <c r="AB99" s="1997"/>
      <c r="AC99" s="1997"/>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7"/>
      <c r="P100" s="2016"/>
      <c r="Q100" s="2009"/>
      <c r="R100" s="1997"/>
      <c r="S100" s="1997"/>
      <c r="T100" s="1997"/>
      <c r="U100" s="1997"/>
      <c r="V100" s="1997"/>
      <c r="W100" s="1997"/>
      <c r="X100" s="1997"/>
      <c r="Y100" s="1997"/>
      <c r="Z100" s="1997"/>
      <c r="AA100" s="1997"/>
      <c r="AB100" s="1997"/>
      <c r="AC100" s="1997"/>
    </row>
    <row r="101" spans="1:29" ht="15.75" thickTop="1">
      <c r="A101" s="643"/>
      <c r="B101" s="647" t="s">
        <v>526</v>
      </c>
      <c r="C101" s="692"/>
      <c r="D101" s="692"/>
      <c r="E101" s="692"/>
      <c r="F101" s="692"/>
      <c r="G101" s="692"/>
      <c r="H101" s="692"/>
      <c r="I101" s="692"/>
      <c r="J101" s="692"/>
      <c r="K101" s="693"/>
      <c r="L101" s="694"/>
      <c r="M101" s="695"/>
      <c r="N101" s="3191"/>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7"/>
      <c r="P102" s="2016"/>
      <c r="Q102" s="2009"/>
      <c r="R102" s="1997"/>
      <c r="S102" s="1997"/>
      <c r="T102" s="1997"/>
      <c r="U102" s="1997"/>
      <c r="V102" s="1997"/>
      <c r="W102" s="1997"/>
      <c r="X102" s="1997"/>
      <c r="Y102" s="1997"/>
      <c r="Z102" s="1997"/>
      <c r="AA102" s="1997"/>
      <c r="AB102" s="1997"/>
      <c r="AC102" s="1997"/>
    </row>
    <row r="103" spans="1:29" ht="15.75" thickTop="1">
      <c r="A103" s="643"/>
      <c r="B103" s="655">
        <f>B33</f>
        <v>111</v>
      </c>
      <c r="C103" s="662"/>
      <c r="D103" s="662"/>
      <c r="E103" s="662"/>
      <c r="F103" s="662"/>
      <c r="G103" s="696"/>
      <c r="H103" s="696"/>
      <c r="I103" s="696"/>
      <c r="J103" s="696"/>
      <c r="K103" s="697"/>
      <c r="L103" s="698"/>
      <c r="M103" s="699"/>
      <c r="N103" s="3191"/>
      <c r="O103" s="2015"/>
      <c r="P103" s="2016"/>
      <c r="Q103" s="2009"/>
      <c r="R103" s="1997"/>
      <c r="S103" s="1997"/>
      <c r="T103" s="1997"/>
      <c r="U103" s="1997"/>
      <c r="V103" s="1997"/>
      <c r="W103" s="1997"/>
      <c r="X103" s="1997"/>
      <c r="Y103" s="1997"/>
      <c r="Z103" s="1997"/>
      <c r="AA103" s="1997"/>
      <c r="AB103" s="1997"/>
      <c r="AC103" s="1997"/>
    </row>
    <row r="104" spans="1:29" ht="15.75" thickBot="1">
      <c r="A104" s="643"/>
      <c r="B104" s="673"/>
      <c r="C104" s="666"/>
      <c r="D104" s="645"/>
      <c r="E104" s="645"/>
      <c r="F104" s="645"/>
      <c r="G104" s="700"/>
      <c r="H104" s="700"/>
      <c r="I104" s="700"/>
      <c r="J104" s="700"/>
      <c r="K104" s="700"/>
      <c r="L104" s="700"/>
      <c r="M104" s="701"/>
      <c r="N104" s="3192"/>
      <c r="O104" s="2017"/>
      <c r="P104" s="2016"/>
      <c r="Q104" s="2009"/>
      <c r="R104" s="1997"/>
      <c r="S104" s="1997"/>
      <c r="T104" s="1997"/>
      <c r="U104" s="1997"/>
      <c r="V104" s="1997"/>
      <c r="W104" s="1997"/>
      <c r="X104" s="1997"/>
      <c r="Y104" s="1997"/>
      <c r="Z104" s="1997"/>
      <c r="AA104" s="1997"/>
      <c r="AB104" s="1997"/>
      <c r="AC104" s="1997"/>
    </row>
    <row r="105" spans="1:29" ht="15" thickTop="1">
      <c r="A105" s="563"/>
      <c r="B105" s="647">
        <f>B34</f>
        <v>111</v>
      </c>
      <c r="C105" s="662"/>
      <c r="D105" s="662"/>
      <c r="E105" s="662"/>
      <c r="F105" s="662"/>
      <c r="G105" s="692"/>
      <c r="H105" s="692"/>
      <c r="I105" s="692"/>
      <c r="J105" s="692"/>
      <c r="K105" s="693"/>
      <c r="L105" s="694"/>
      <c r="M105" s="695"/>
      <c r="N105" s="3191"/>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66"/>
      <c r="D106" s="666"/>
      <c r="E106" s="666"/>
      <c r="F106" s="666"/>
      <c r="G106" s="645"/>
      <c r="H106" s="645"/>
      <c r="I106" s="645"/>
      <c r="J106" s="645"/>
      <c r="K106" s="645"/>
      <c r="L106" s="645"/>
      <c r="M106" s="646"/>
      <c r="N106" s="3192"/>
      <c r="O106" s="2017"/>
      <c r="P106" s="2016"/>
      <c r="Q106" s="2009"/>
      <c r="R106" s="1997"/>
      <c r="S106" s="1997"/>
      <c r="T106" s="1997"/>
      <c r="U106" s="1997"/>
      <c r="V106" s="1997"/>
      <c r="W106" s="1997"/>
      <c r="X106" s="1997"/>
      <c r="Y106" s="1997"/>
      <c r="Z106" s="1997"/>
      <c r="AA106" s="1997"/>
      <c r="AB106" s="1997"/>
      <c r="AC106" s="1997"/>
    </row>
    <row r="107" spans="1:29" s="1267" customFormat="1" ht="15" thickTop="1">
      <c r="A107" s="702"/>
      <c r="B107" s="703">
        <f>B35</f>
        <v>111</v>
      </c>
      <c r="C107" s="635"/>
      <c r="D107" s="635"/>
      <c r="E107" s="635"/>
      <c r="F107" s="635"/>
      <c r="G107" s="704"/>
      <c r="H107" s="704"/>
      <c r="I107" s="704"/>
      <c r="J107" s="705"/>
      <c r="K107" s="705"/>
      <c r="L107" s="706"/>
      <c r="M107" s="707"/>
      <c r="N107" s="3193"/>
      <c r="O107" s="2018"/>
      <c r="P107" s="2019"/>
      <c r="Q107" s="2020"/>
      <c r="R107" s="2021"/>
      <c r="S107" s="2021"/>
      <c r="T107" s="2021"/>
      <c r="U107" s="2021"/>
      <c r="V107" s="2021"/>
      <c r="W107" s="2021"/>
      <c r="X107" s="2021"/>
      <c r="Y107" s="2021"/>
      <c r="Z107" s="2021"/>
      <c r="AA107" s="2021"/>
      <c r="AB107" s="2021"/>
      <c r="AC107" s="2021"/>
    </row>
    <row r="108" spans="1:29" s="1267" customFormat="1" ht="15.75" thickBot="1">
      <c r="A108" s="661"/>
      <c r="B108" s="655"/>
      <c r="C108" s="674"/>
      <c r="D108" s="674"/>
      <c r="E108" s="674"/>
      <c r="F108" s="674"/>
      <c r="G108" s="568"/>
      <c r="H108" s="568"/>
      <c r="I108" s="568"/>
      <c r="J108" s="568"/>
      <c r="K108" s="568"/>
      <c r="L108" s="568"/>
      <c r="M108" s="708"/>
      <c r="N108" s="3192"/>
      <c r="O108" s="2017"/>
      <c r="P108" s="2019"/>
      <c r="Q108" s="2020"/>
      <c r="R108" s="2021"/>
      <c r="S108" s="2021"/>
      <c r="T108" s="2021"/>
      <c r="U108" s="2021"/>
      <c r="V108" s="2021"/>
      <c r="W108" s="2021"/>
      <c r="X108" s="2021"/>
      <c r="Y108" s="2021"/>
      <c r="Z108" s="2021"/>
      <c r="AA108" s="2021"/>
      <c r="AB108" s="2021"/>
      <c r="AC108" s="2021"/>
    </row>
    <row r="109" spans="1:29">
      <c r="A109" s="638" t="s">
        <v>528</v>
      </c>
      <c r="B109" s="639" t="s">
        <v>570</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4" t="str">
        <f t="shared" si="25"/>
        <v>(含)-</v>
      </c>
      <c r="L109" s="2745" t="str">
        <f t="shared" si="25"/>
        <v>(含)-</v>
      </c>
      <c r="M109" s="2746" t="str">
        <f>M110&amp;"(含)"&amp;"-"&amp;P110</f>
        <v>(含)-</v>
      </c>
      <c r="N109" s="3191"/>
      <c r="O109" s="2015"/>
      <c r="P109" s="2016"/>
      <c r="Q109" s="2009"/>
      <c r="R109" s="1997"/>
      <c r="S109" s="1997"/>
      <c r="T109" s="1997"/>
      <c r="U109" s="1997"/>
      <c r="V109" s="1997"/>
      <c r="W109" s="1997"/>
      <c r="X109" s="1997"/>
      <c r="Y109" s="1997"/>
      <c r="Z109" s="1997"/>
      <c r="AA109" s="1997"/>
      <c r="AB109" s="1997"/>
      <c r="AC109" s="1997"/>
    </row>
    <row r="110" spans="1:29" ht="15">
      <c r="A110" s="643"/>
      <c r="B110" s="655"/>
      <c r="C110" s="704"/>
      <c r="D110" s="704"/>
      <c r="E110" s="704"/>
      <c r="F110" s="704"/>
      <c r="G110" s="704"/>
      <c r="H110" s="704"/>
      <c r="I110" s="704"/>
      <c r="J110" s="705"/>
      <c r="K110" s="705"/>
      <c r="L110" s="706"/>
      <c r="M110" s="707"/>
      <c r="N110" s="3191"/>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74"/>
      <c r="D111" s="700"/>
      <c r="E111" s="700"/>
      <c r="F111" s="700"/>
      <c r="G111" s="700"/>
      <c r="H111" s="700"/>
      <c r="I111" s="700"/>
      <c r="J111" s="700"/>
      <c r="K111" s="700"/>
      <c r="L111" s="700"/>
      <c r="M111" s="701"/>
      <c r="N111" s="3192"/>
      <c r="O111" s="2017"/>
      <c r="P111" s="2016"/>
      <c r="Q111" s="2009"/>
      <c r="R111" s="1997"/>
      <c r="S111" s="1997"/>
      <c r="T111" s="1997"/>
      <c r="U111" s="1997"/>
      <c r="V111" s="1997"/>
      <c r="W111" s="1997"/>
      <c r="X111" s="1997"/>
      <c r="Y111" s="1997"/>
      <c r="Z111" s="1997"/>
      <c r="AA111" s="1997"/>
      <c r="AB111" s="1997"/>
      <c r="AC111" s="1997"/>
    </row>
    <row r="112" spans="1:29" ht="15" thickTop="1">
      <c r="A112" s="709"/>
      <c r="B112" s="647" t="s">
        <v>571</v>
      </c>
      <c r="C112" s="692"/>
      <c r="D112" s="692"/>
      <c r="E112" s="692"/>
      <c r="F112" s="692"/>
      <c r="G112" s="692"/>
      <c r="H112" s="692"/>
      <c r="I112" s="692"/>
      <c r="J112" s="692"/>
      <c r="K112" s="693"/>
      <c r="L112" s="694"/>
      <c r="M112" s="695"/>
      <c r="N112" s="3191"/>
      <c r="O112" s="2015"/>
      <c r="P112" s="2016"/>
      <c r="Q112" s="2009"/>
      <c r="R112" s="1997"/>
      <c r="S112" s="1997"/>
      <c r="T112" s="1997"/>
      <c r="U112" s="1997"/>
      <c r="V112" s="1997"/>
      <c r="W112" s="1997"/>
      <c r="X112" s="1997"/>
      <c r="Y112" s="1997"/>
      <c r="Z112" s="1997"/>
      <c r="AA112" s="1997"/>
      <c r="AB112" s="1997"/>
      <c r="AC112" s="1997"/>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7"/>
      <c r="P113" s="2016"/>
      <c r="Q113" s="2009"/>
      <c r="R113" s="1997"/>
      <c r="S113" s="1997"/>
      <c r="T113" s="1997"/>
      <c r="U113" s="1997"/>
      <c r="V113" s="1997"/>
      <c r="W113" s="1997"/>
      <c r="X113" s="1997"/>
      <c r="Y113" s="1997"/>
      <c r="Z113" s="1997"/>
      <c r="AA113" s="1997"/>
      <c r="AB113" s="1997"/>
      <c r="AC113" s="1997"/>
    </row>
    <row r="114" spans="1:29" s="1267" customFormat="1" ht="15" thickTop="1">
      <c r="A114" s="702"/>
      <c r="B114" s="1782" t="s">
        <v>2385</v>
      </c>
      <c r="C114" s="1301"/>
      <c r="D114" s="1301"/>
      <c r="E114" s="1301"/>
      <c r="F114" s="1301"/>
      <c r="G114" s="1301"/>
      <c r="H114" s="692"/>
      <c r="I114" s="692"/>
      <c r="J114" s="692"/>
      <c r="K114" s="693"/>
      <c r="L114" s="694"/>
      <c r="M114" s="695"/>
      <c r="N114" s="3193"/>
      <c r="O114" s="2018"/>
      <c r="P114" s="2019"/>
      <c r="Q114" s="2020"/>
      <c r="R114" s="2021"/>
      <c r="S114" s="2021"/>
      <c r="T114" s="2021"/>
      <c r="U114" s="2021"/>
      <c r="V114" s="2021"/>
      <c r="W114" s="2021"/>
      <c r="X114" s="2021"/>
      <c r="Y114" s="2021"/>
      <c r="Z114" s="2021"/>
      <c r="AA114" s="2021"/>
      <c r="AB114" s="2021"/>
      <c r="AC114" s="2021"/>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8"/>
      <c r="P115" s="2019"/>
      <c r="Q115" s="2020"/>
      <c r="R115" s="2021"/>
      <c r="S115" s="2021"/>
      <c r="T115" s="2021"/>
      <c r="U115" s="2021"/>
      <c r="V115" s="2021"/>
      <c r="W115" s="2021"/>
      <c r="X115" s="2021"/>
      <c r="Y115" s="2021"/>
      <c r="Z115" s="2021"/>
      <c r="AA115" s="2021"/>
      <c r="AB115" s="2021"/>
      <c r="AC115" s="2021"/>
    </row>
    <row r="116" spans="1:29" ht="15" thickTop="1">
      <c r="A116" s="709"/>
      <c r="B116" s="647" t="s">
        <v>573</v>
      </c>
      <c r="C116" s="662"/>
      <c r="D116" s="662"/>
      <c r="E116" s="692"/>
      <c r="F116" s="692"/>
      <c r="G116" s="692"/>
      <c r="H116" s="692"/>
      <c r="I116" s="692"/>
      <c r="J116" s="692"/>
      <c r="K116" s="693"/>
      <c r="L116" s="694"/>
      <c r="M116" s="695"/>
      <c r="N116" s="3191"/>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7"/>
      <c r="P117" s="2016"/>
      <c r="Q117" s="2009"/>
      <c r="R117" s="1997"/>
      <c r="S117" s="1997"/>
      <c r="T117" s="1997"/>
      <c r="U117" s="1997"/>
      <c r="V117" s="1997"/>
      <c r="W117" s="1997"/>
      <c r="X117" s="1997"/>
      <c r="Y117" s="1997"/>
      <c r="Z117" s="1997"/>
      <c r="AA117" s="1997"/>
      <c r="AB117" s="1997"/>
      <c r="AC117" s="1997"/>
    </row>
    <row r="118" spans="1:29" ht="15" thickTop="1">
      <c r="A118" s="709"/>
      <c r="B118" s="647">
        <f>B40</f>
        <v>111</v>
      </c>
      <c r="C118" s="662"/>
      <c r="D118" s="662"/>
      <c r="E118" s="662"/>
      <c r="F118" s="662"/>
      <c r="G118" s="662"/>
      <c r="H118" s="692"/>
      <c r="I118" s="692"/>
      <c r="J118" s="692"/>
      <c r="K118" s="693"/>
      <c r="L118" s="694"/>
      <c r="M118" s="695"/>
      <c r="N118" s="3191"/>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3192"/>
      <c r="O119" s="2017"/>
      <c r="P119" s="2016"/>
      <c r="Q119" s="2009"/>
      <c r="R119" s="1997"/>
      <c r="S119" s="1997"/>
      <c r="T119" s="1997"/>
      <c r="U119" s="1997"/>
      <c r="V119" s="1997"/>
      <c r="W119" s="1997"/>
      <c r="X119" s="1997"/>
      <c r="Y119" s="1997"/>
      <c r="Z119" s="1997"/>
      <c r="AA119" s="1997"/>
      <c r="AB119" s="1997"/>
      <c r="AC119" s="1997"/>
    </row>
    <row r="120" spans="1:29" ht="15" thickTop="1">
      <c r="A120" s="709"/>
      <c r="B120" s="647">
        <f>B41</f>
        <v>111</v>
      </c>
      <c r="C120" s="662"/>
      <c r="D120" s="662"/>
      <c r="E120" s="662"/>
      <c r="F120" s="662"/>
      <c r="G120" s="692"/>
      <c r="H120" s="692"/>
      <c r="I120" s="692"/>
      <c r="J120" s="692"/>
      <c r="K120" s="693"/>
      <c r="L120" s="694"/>
      <c r="M120" s="695"/>
      <c r="N120" s="3191"/>
      <c r="O120" s="2015"/>
      <c r="P120" s="2016"/>
      <c r="Q120" s="2009"/>
      <c r="R120" s="1997"/>
      <c r="S120" s="1997"/>
      <c r="T120" s="1997"/>
      <c r="U120" s="1997"/>
      <c r="V120" s="1997"/>
      <c r="W120" s="1997"/>
      <c r="X120" s="1997"/>
      <c r="Y120" s="1997"/>
      <c r="Z120" s="1997"/>
      <c r="AA120" s="1997"/>
      <c r="AB120" s="1997"/>
      <c r="AC120" s="1997"/>
    </row>
    <row r="121" spans="1:29" ht="15.75" thickBot="1">
      <c r="A121" s="643"/>
      <c r="B121" s="652"/>
      <c r="C121" s="666"/>
      <c r="D121" s="666"/>
      <c r="E121" s="666"/>
      <c r="F121" s="666"/>
      <c r="G121" s="645"/>
      <c r="H121" s="645"/>
      <c r="I121" s="645"/>
      <c r="J121" s="645"/>
      <c r="K121" s="645"/>
      <c r="L121" s="645"/>
      <c r="M121" s="646"/>
      <c r="N121" s="3192"/>
      <c r="O121" s="2017"/>
      <c r="P121" s="2016"/>
      <c r="Q121" s="2009"/>
      <c r="R121" s="1997"/>
      <c r="S121" s="1997"/>
      <c r="T121" s="1997"/>
      <c r="U121" s="1997"/>
      <c r="V121" s="1997"/>
      <c r="W121" s="1997"/>
      <c r="X121" s="1997"/>
      <c r="Y121" s="1997"/>
      <c r="Z121" s="1997"/>
      <c r="AA121" s="1997"/>
      <c r="AB121" s="1997"/>
      <c r="AC121" s="1997"/>
    </row>
    <row r="122" spans="1:29" s="1267" customFormat="1" ht="15" thickTop="1">
      <c r="A122" s="702"/>
      <c r="B122" s="647">
        <f>B42</f>
        <v>111</v>
      </c>
      <c r="C122" s="635"/>
      <c r="D122" s="635"/>
      <c r="E122" s="635"/>
      <c r="F122" s="635"/>
      <c r="G122" s="663"/>
      <c r="H122" s="663"/>
      <c r="I122" s="663"/>
      <c r="J122" s="663"/>
      <c r="K122" s="663"/>
      <c r="L122" s="664"/>
      <c r="M122" s="665"/>
      <c r="N122" s="3193"/>
      <c r="O122" s="2018"/>
      <c r="P122" s="2019"/>
      <c r="Q122" s="2020"/>
      <c r="R122" s="2021"/>
      <c r="S122" s="2021"/>
      <c r="T122" s="2021"/>
      <c r="U122" s="2021"/>
      <c r="V122" s="2021"/>
      <c r="W122" s="2021"/>
      <c r="X122" s="2021"/>
      <c r="Y122" s="2021"/>
      <c r="Z122" s="2021"/>
      <c r="AA122" s="2021"/>
      <c r="AB122" s="2021"/>
      <c r="AC122" s="2021"/>
    </row>
    <row r="123" spans="1:29" s="1267" customFormat="1" ht="15.75" thickBot="1">
      <c r="A123" s="672"/>
      <c r="B123" s="710"/>
      <c r="C123" s="674"/>
      <c r="D123" s="674"/>
      <c r="E123" s="674"/>
      <c r="F123" s="674"/>
      <c r="G123" s="700"/>
      <c r="H123" s="700"/>
      <c r="I123" s="700"/>
      <c r="J123" s="700"/>
      <c r="K123" s="700"/>
      <c r="L123" s="700"/>
      <c r="M123" s="701"/>
      <c r="N123" s="319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G16" sqref="G16"/>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375" style="2037" customWidth="1"/>
    <col min="7" max="7" width="31.875" style="2037" customWidth="1"/>
    <col min="8" max="25" width="9" style="2039" customWidth="1"/>
    <col min="26" max="254" width="9" style="2037" customWidth="1"/>
    <col min="255" max="16384" width="8.375" style="2037"/>
  </cols>
  <sheetData>
    <row r="1" spans="1:25" s="1913" customFormat="1" ht="20.25">
      <c r="A1" s="415" t="s">
        <v>580</v>
      </c>
      <c r="B1" s="716"/>
      <c r="C1" s="2033"/>
      <c r="D1" s="2033"/>
      <c r="E1" s="2033"/>
      <c r="F1" s="2033"/>
      <c r="G1" s="1961"/>
    </row>
    <row r="2" spans="1:25" s="1913" customFormat="1" ht="18" customHeight="1">
      <c r="A2" s="417" t="s">
        <v>460</v>
      </c>
      <c r="B2" s="419">
        <f ca="1">C23</f>
        <v>85568</v>
      </c>
      <c r="C2" s="3230"/>
      <c r="D2" s="3230"/>
      <c r="E2" s="3230"/>
      <c r="F2" s="3230"/>
      <c r="G2" s="3230"/>
    </row>
    <row r="3" spans="1:25" s="1913" customFormat="1" ht="18" customHeight="1">
      <c r="A3" s="1305" t="s">
        <v>1658</v>
      </c>
      <c r="B3" s="419">
        <f ca="1">ROUND(B2*10000/'数据-汇总表'!E3,0)</f>
        <v>5506</v>
      </c>
      <c r="C3" s="3230"/>
      <c r="D3" s="3230"/>
      <c r="E3" s="3230"/>
      <c r="F3" s="3230"/>
      <c r="G3" s="3230"/>
    </row>
    <row r="4" spans="1:25" s="1913" customFormat="1" ht="18" customHeight="1">
      <c r="A4" s="420" t="s">
        <v>461</v>
      </c>
      <c r="B4" s="421">
        <f ca="1">ROUND(B2*10000/'数据-汇总表'!D3,0)</f>
        <v>5506</v>
      </c>
      <c r="C4" s="3183"/>
      <c r="D4" s="3230"/>
      <c r="E4" s="3230"/>
      <c r="F4" s="3230"/>
      <c r="G4" s="3230"/>
    </row>
    <row r="5" spans="1:25" s="1913" customFormat="1" ht="18" customHeight="1" thickBot="1">
      <c r="A5" s="423"/>
      <c r="B5" s="424">
        <f ca="1">ROUND(B2/('数据-汇总表'!D3/666.67),0)</f>
        <v>367</v>
      </c>
      <c r="C5" s="425" t="s">
        <v>462</v>
      </c>
      <c r="D5" s="3230"/>
      <c r="E5" s="3230"/>
      <c r="F5" s="3230"/>
      <c r="G5" s="3230"/>
    </row>
    <row r="6" spans="1:25" s="2034" customFormat="1" ht="13.5" customHeight="1">
      <c r="A6" s="717"/>
      <c r="B6" s="718" t="s">
        <v>581</v>
      </c>
      <c r="C6" s="719" t="s">
        <v>582</v>
      </c>
      <c r="D6" s="719" t="s">
        <v>583</v>
      </c>
      <c r="E6" s="720" t="s">
        <v>584</v>
      </c>
      <c r="F6" s="720" t="s">
        <v>585</v>
      </c>
      <c r="G6" s="3229" t="s">
        <v>2961</v>
      </c>
    </row>
    <row r="7" spans="1:25" s="2034" customFormat="1" ht="13.5" customHeight="1">
      <c r="A7" s="2293">
        <v>1</v>
      </c>
      <c r="B7" s="721" t="s">
        <v>586</v>
      </c>
      <c r="C7" s="722">
        <f>C8+C9</f>
        <v>71179</v>
      </c>
      <c r="D7" s="722"/>
      <c r="E7" s="723"/>
      <c r="F7" s="723"/>
      <c r="G7" s="2302" t="s">
        <v>3336</v>
      </c>
    </row>
    <row r="8" spans="1:25" s="2034" customFormat="1" ht="13.5" customHeight="1">
      <c r="A8" s="2293" t="s">
        <v>2393</v>
      </c>
      <c r="B8" s="2296" t="s">
        <v>2395</v>
      </c>
      <c r="C8" s="3233">
        <f t="shared" ref="C8:C9" si="0">ROUND(D8*E8/10000,0)</f>
        <v>71179</v>
      </c>
      <c r="D8" s="3233">
        <f>'数据-汇总表'!D3</f>
        <v>155413.54999999999</v>
      </c>
      <c r="E8" s="3234">
        <f>成本案例比较法!M27</f>
        <v>4580</v>
      </c>
      <c r="F8" s="723"/>
      <c r="G8" s="724"/>
    </row>
    <row r="9" spans="1:25" s="2034" customFormat="1" ht="13.5" customHeight="1">
      <c r="A9" s="2293" t="s">
        <v>2394</v>
      </c>
      <c r="B9" s="2296" t="s">
        <v>2396</v>
      </c>
      <c r="C9" s="3233">
        <f t="shared" si="0"/>
        <v>0</v>
      </c>
      <c r="D9" s="3233">
        <v>0</v>
      </c>
      <c r="E9" s="3234">
        <v>0</v>
      </c>
      <c r="F9" s="723"/>
      <c r="G9" s="724"/>
    </row>
    <row r="10" spans="1:25" s="2034" customFormat="1" ht="36">
      <c r="A10" s="2293">
        <v>2</v>
      </c>
      <c r="B10" s="721" t="s">
        <v>590</v>
      </c>
      <c r="C10" s="722">
        <f>C11+C14+C15</f>
        <v>2409</v>
      </c>
      <c r="D10" s="732"/>
      <c r="E10" s="722"/>
      <c r="F10" s="733"/>
      <c r="G10" s="731" t="s">
        <v>591</v>
      </c>
    </row>
    <row r="11" spans="1:25" s="2034" customFormat="1" ht="13.5" customHeight="1">
      <c r="A11" s="2293" t="s">
        <v>2393</v>
      </c>
      <c r="B11" s="725" t="s">
        <v>587</v>
      </c>
      <c r="C11" s="726">
        <f>'数据-取费表'!B29</f>
        <v>2409</v>
      </c>
      <c r="D11" s="727"/>
      <c r="E11" s="726"/>
      <c r="F11" s="728"/>
      <c r="G11" s="2301" t="s">
        <v>2404</v>
      </c>
    </row>
    <row r="12" spans="1:25" s="2034" customFormat="1" ht="13.5" customHeight="1">
      <c r="A12" s="2299" t="s">
        <v>2401</v>
      </c>
      <c r="B12" s="729" t="s">
        <v>588</v>
      </c>
      <c r="C12" s="730">
        <f>ROUND(D12*E12/10000,0)</f>
        <v>0</v>
      </c>
      <c r="D12" s="3233">
        <f>'数据-汇总表'!E5</f>
        <v>0</v>
      </c>
      <c r="E12" s="3233">
        <f>'数据-取费表'!B27</f>
        <v>0</v>
      </c>
      <c r="F12" s="728"/>
      <c r="G12" s="731"/>
    </row>
    <row r="13" spans="1:25" s="2034" customFormat="1" ht="13.5" customHeight="1">
      <c r="A13" s="2299" t="s">
        <v>2400</v>
      </c>
      <c r="B13" s="729" t="s">
        <v>589</v>
      </c>
      <c r="C13" s="730">
        <f>ROUND(D13*E13/10000,0)</f>
        <v>2409</v>
      </c>
      <c r="D13" s="3233">
        <f>'数据-汇总表'!E6</f>
        <v>155413.54999999999</v>
      </c>
      <c r="E13" s="3522">
        <f>'数据-取费表'!B28</f>
        <v>155</v>
      </c>
      <c r="F13" s="728"/>
      <c r="G13" s="731"/>
    </row>
    <row r="14" spans="1:25" s="2034" customFormat="1" ht="13.5" customHeight="1">
      <c r="A14" s="2293" t="s">
        <v>2394</v>
      </c>
      <c r="B14" s="2298" t="s">
        <v>2397</v>
      </c>
      <c r="C14" s="3235">
        <f t="shared" ref="C14:C15" si="1">ROUND(D14*E14/10000,0)</f>
        <v>0</v>
      </c>
      <c r="D14" s="3233">
        <v>0</v>
      </c>
      <c r="E14" s="3234">
        <v>0</v>
      </c>
      <c r="F14" s="2297"/>
      <c r="G14" s="2300" t="s">
        <v>2402</v>
      </c>
    </row>
    <row r="15" spans="1:25" s="2034" customFormat="1" ht="13.5" customHeight="1">
      <c r="A15" s="2293" t="s">
        <v>2399</v>
      </c>
      <c r="B15" s="2298" t="s">
        <v>2398</v>
      </c>
      <c r="C15" s="3235">
        <f t="shared" si="1"/>
        <v>0</v>
      </c>
      <c r="D15" s="3233">
        <v>0</v>
      </c>
      <c r="E15" s="3234">
        <v>0</v>
      </c>
      <c r="F15" s="2297"/>
      <c r="G15" s="2300" t="s">
        <v>2403</v>
      </c>
    </row>
    <row r="16" spans="1:25" s="2035" customFormat="1" ht="48">
      <c r="A16" s="2293">
        <v>3</v>
      </c>
      <c r="B16" s="721" t="s">
        <v>592</v>
      </c>
      <c r="C16" s="3235">
        <f t="shared" ref="C16" si="2">ROUND(D16*E16/10000,0)</f>
        <v>0</v>
      </c>
      <c r="D16" s="3233">
        <v>0</v>
      </c>
      <c r="E16" s="3234">
        <v>0</v>
      </c>
      <c r="F16" s="733"/>
      <c r="G16" s="731" t="s">
        <v>2405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1" t="s">
        <v>593</v>
      </c>
      <c r="C17" s="2392">
        <f ca="1">ROUND(IF('数据-取费表'!B19&lt;=1,((C7+C16)*'数据-取费表'!B19+C10*'数据-取费表'!B19/2)*F17,((C7+C16)*(POWER((1+F17),'数据-取费表'!B19)-1)+C10*(POWER((1+F17),'数据-取费表'!B19/2)-1))),0)</f>
        <v>3149</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1" t="s">
        <v>594</v>
      </c>
      <c r="C18" s="722">
        <f>ROUND((C7+C10+C16)*F18,0)</f>
        <v>8831</v>
      </c>
      <c r="D18" s="734"/>
      <c r="E18" s="735"/>
      <c r="F18" s="3518">
        <v>0.12</v>
      </c>
      <c r="G18" s="737" t="s">
        <v>595</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1" t="s">
        <v>596</v>
      </c>
      <c r="C19" s="722">
        <f ca="1">C7+C10+C16+C17+C18</f>
        <v>85568</v>
      </c>
      <c r="D19" s="732"/>
      <c r="E19" s="722"/>
      <c r="F19" s="733"/>
      <c r="G19" s="737" t="s">
        <v>597</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1" t="s">
        <v>598</v>
      </c>
      <c r="C20" s="722">
        <f ca="1">ROUND(C19*F20,0)</f>
        <v>0</v>
      </c>
      <c r="D20" s="732"/>
      <c r="E20" s="722"/>
      <c r="F20" s="1276">
        <v>0</v>
      </c>
      <c r="G20" s="737" t="s">
        <v>599</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1" t="s">
        <v>600</v>
      </c>
      <c r="C21" s="722">
        <f ca="1">C19+C20</f>
        <v>85568</v>
      </c>
      <c r="D21" s="732"/>
      <c r="E21" s="722"/>
      <c r="F21" s="733"/>
      <c r="G21" s="737" t="s">
        <v>601</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1" t="s">
        <v>602</v>
      </c>
      <c r="C22" s="722">
        <f ca="1">ROUND(C21*F22,0)</f>
        <v>85568</v>
      </c>
      <c r="D22" s="732"/>
      <c r="E22" s="722"/>
      <c r="F22" s="738">
        <v>1</v>
      </c>
      <c r="G22" s="737" t="s">
        <v>603</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9" t="s">
        <v>604</v>
      </c>
      <c r="C23" s="740">
        <f ca="1">C22</f>
        <v>85568</v>
      </c>
      <c r="D23" s="741"/>
      <c r="E23" s="740"/>
      <c r="F23" s="742"/>
      <c r="G23" s="743"/>
      <c r="H23" s="2034"/>
      <c r="I23" s="2034"/>
      <c r="J23" s="2034"/>
      <c r="K23" s="2034"/>
      <c r="L23" s="2034"/>
      <c r="M23" s="2034"/>
      <c r="N23" s="2034"/>
      <c r="O23" s="2034"/>
      <c r="P23" s="2034"/>
      <c r="Q23" s="2034"/>
      <c r="R23" s="2034"/>
      <c r="S23" s="2034"/>
      <c r="T23" s="2034"/>
      <c r="U23" s="2034"/>
      <c r="V23" s="2034"/>
      <c r="W23" s="2034"/>
      <c r="X23" s="2034"/>
      <c r="Y23" s="2034"/>
    </row>
    <row r="24" spans="1:25" s="3232" customFormat="1">
      <c r="A24" s="3231"/>
      <c r="D24" s="1855"/>
      <c r="E24" s="1855"/>
    </row>
    <row r="25" spans="1:25" s="3232" customFormat="1">
      <c r="A25" s="3231"/>
      <c r="D25" s="1855"/>
      <c r="E25" s="1855"/>
    </row>
    <row r="26" spans="1:25" s="3232" customFormat="1">
      <c r="A26" s="3231"/>
      <c r="D26" s="1855"/>
      <c r="E26" s="1855"/>
    </row>
    <row r="27" spans="1:25" s="3232" customFormat="1">
      <c r="A27" s="3231"/>
      <c r="D27" s="1855"/>
      <c r="E27" s="1855"/>
    </row>
    <row r="28" spans="1:25" s="3232" customFormat="1">
      <c r="A28" s="3231"/>
      <c r="D28" s="1855"/>
      <c r="E28" s="1855"/>
    </row>
    <row r="29" spans="1:25" s="3232" customFormat="1">
      <c r="A29" s="3231"/>
      <c r="D29" s="1855"/>
      <c r="E29" s="1855"/>
    </row>
    <row r="30" spans="1:25" s="3232" customFormat="1">
      <c r="A30" s="3231"/>
      <c r="D30" s="1855"/>
      <c r="E30" s="1855"/>
    </row>
    <row r="31" spans="1:25" s="3232" customFormat="1">
      <c r="A31" s="3231"/>
      <c r="D31" s="1855"/>
      <c r="E31" s="1855"/>
    </row>
    <row r="32" spans="1:25" s="3232" customFormat="1">
      <c r="A32" s="3231"/>
      <c r="D32" s="1855"/>
      <c r="E32" s="1855"/>
    </row>
    <row r="33" spans="1:5" s="3232" customFormat="1">
      <c r="A33" s="3231"/>
      <c r="D33" s="1855"/>
      <c r="E33" s="1855"/>
    </row>
    <row r="34" spans="1:5" s="3232" customFormat="1">
      <c r="A34" s="3231"/>
      <c r="D34" s="1855"/>
      <c r="E34" s="1855"/>
    </row>
    <row r="35" spans="1:5" s="3232" customFormat="1">
      <c r="A35" s="3231"/>
      <c r="D35" s="1855"/>
      <c r="E35" s="1855"/>
    </row>
    <row r="36" spans="1:5" s="3232" customFormat="1">
      <c r="A36" s="3231"/>
      <c r="D36" s="1855"/>
      <c r="E36" s="1855"/>
    </row>
    <row r="37" spans="1:5" s="3232" customFormat="1">
      <c r="A37" s="3231"/>
      <c r="D37" s="1855"/>
      <c r="E37" s="1855"/>
    </row>
    <row r="38" spans="1:5" s="3232" customFormat="1">
      <c r="A38" s="3231"/>
      <c r="D38" s="1855"/>
      <c r="E38" s="1855"/>
    </row>
    <row r="39" spans="1:5" s="3232" customFormat="1">
      <c r="A39" s="3231"/>
      <c r="D39" s="1855"/>
      <c r="E39" s="1855"/>
    </row>
    <row r="40" spans="1:5" s="3232" customFormat="1">
      <c r="A40" s="3231"/>
      <c r="D40" s="1855"/>
      <c r="E40" s="1855"/>
    </row>
    <row r="41" spans="1:5" s="3232" customFormat="1">
      <c r="A41" s="3231"/>
      <c r="D41" s="1855"/>
      <c r="E41" s="1855"/>
    </row>
    <row r="42" spans="1:5" s="3232" customFormat="1">
      <c r="A42" s="3231"/>
      <c r="D42" s="1855"/>
      <c r="E42" s="1855"/>
    </row>
    <row r="43" spans="1:5" s="3232" customFormat="1">
      <c r="A43" s="3231"/>
      <c r="D43" s="1855"/>
      <c r="E43" s="1855"/>
    </row>
    <row r="44" spans="1:5" s="3232" customFormat="1">
      <c r="A44" s="3231"/>
      <c r="D44" s="1855"/>
      <c r="E44" s="1855"/>
    </row>
    <row r="45" spans="1:5" s="3232" customFormat="1">
      <c r="A45" s="3231"/>
      <c r="D45" s="1855"/>
      <c r="E45" s="1855"/>
    </row>
    <row r="46" spans="1:5" s="3232" customFormat="1">
      <c r="A46" s="3231"/>
      <c r="D46" s="1855"/>
      <c r="E46" s="1855"/>
    </row>
    <row r="47" spans="1:5" s="3232" customFormat="1">
      <c r="A47" s="3231"/>
      <c r="D47" s="1855"/>
      <c r="E47" s="1855"/>
    </row>
    <row r="48" spans="1:5" s="3232" customFormat="1">
      <c r="A48" s="3231"/>
      <c r="D48" s="1855"/>
      <c r="E48" s="1855"/>
    </row>
    <row r="49" spans="1:5" s="3232" customFormat="1">
      <c r="A49" s="3231"/>
      <c r="D49" s="1855"/>
      <c r="E49" s="1855"/>
    </row>
    <row r="50" spans="1:5" s="3232" customFormat="1">
      <c r="A50" s="3231"/>
      <c r="D50" s="1855"/>
      <c r="E50" s="1855"/>
    </row>
    <row r="51" spans="1:5" s="3232" customFormat="1">
      <c r="A51" s="3231"/>
      <c r="D51" s="1855"/>
      <c r="E51" s="1855"/>
    </row>
    <row r="52" spans="1:5" s="3232" customFormat="1">
      <c r="A52" s="3231"/>
      <c r="D52" s="1855"/>
      <c r="E52" s="1855"/>
    </row>
    <row r="53" spans="1:5" s="3232" customFormat="1">
      <c r="A53" s="3231"/>
      <c r="D53" s="1855"/>
      <c r="E53" s="1855"/>
    </row>
    <row r="54" spans="1:5" s="3232" customFormat="1">
      <c r="A54" s="3231"/>
      <c r="D54" s="1855"/>
      <c r="E54" s="1855"/>
    </row>
    <row r="55" spans="1:5" s="3232" customFormat="1">
      <c r="A55" s="3231"/>
      <c r="D55" s="1855"/>
      <c r="E55" s="1855"/>
    </row>
    <row r="56" spans="1:5" s="3232" customFormat="1">
      <c r="A56" s="3231"/>
      <c r="D56" s="1855"/>
      <c r="E56" s="1855"/>
    </row>
    <row r="57" spans="1:5" s="3232" customFormat="1">
      <c r="A57" s="3231"/>
      <c r="D57" s="1855"/>
      <c r="E57" s="1855"/>
    </row>
    <row r="58" spans="1:5" s="3232" customFormat="1">
      <c r="A58" s="3231"/>
      <c r="D58" s="1855"/>
      <c r="E58" s="1855"/>
    </row>
    <row r="59" spans="1:5" s="3232" customFormat="1">
      <c r="A59" s="3231"/>
      <c r="D59" s="1855"/>
      <c r="E59" s="1855"/>
    </row>
    <row r="60" spans="1:5" s="3232" customFormat="1">
      <c r="A60" s="3231"/>
      <c r="D60" s="1855"/>
      <c r="E60" s="1855"/>
    </row>
    <row r="61" spans="1:5" s="3232" customFormat="1">
      <c r="A61" s="3231"/>
      <c r="D61" s="1855"/>
      <c r="E61" s="1855"/>
    </row>
    <row r="62" spans="1:5" s="3232" customFormat="1">
      <c r="A62" s="3231"/>
      <c r="D62" s="1855"/>
      <c r="E62" s="1855"/>
    </row>
    <row r="63" spans="1:5" s="3232" customFormat="1">
      <c r="A63" s="3231"/>
      <c r="D63" s="1855"/>
      <c r="E63" s="185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
  <sheetViews>
    <sheetView workbookViewId="0">
      <selection activeCell="K10" sqref="K10"/>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3" customFormat="1">
      <c r="B1" s="3455"/>
      <c r="C1" s="3893" t="s">
        <v>3144</v>
      </c>
      <c r="D1" s="3893"/>
      <c r="E1" s="3893"/>
      <c r="F1" s="3893"/>
      <c r="G1" s="3893"/>
      <c r="H1" s="3893"/>
      <c r="I1" s="3893"/>
      <c r="J1" s="3893"/>
      <c r="K1" s="3893"/>
      <c r="L1" s="3893"/>
    </row>
    <row r="2" spans="1:14" s="2623" customFormat="1">
      <c r="A2" s="3890" t="s">
        <v>3145</v>
      </c>
      <c r="B2" s="3890" t="s">
        <v>3146</v>
      </c>
      <c r="C2" s="3894" t="s">
        <v>3147</v>
      </c>
      <c r="D2" s="3890" t="s">
        <v>3148</v>
      </c>
      <c r="E2" s="3890" t="s">
        <v>3149</v>
      </c>
      <c r="F2" s="3892" t="s">
        <v>3150</v>
      </c>
      <c r="G2" s="3890" t="s">
        <v>3151</v>
      </c>
      <c r="H2" s="3890" t="s">
        <v>3152</v>
      </c>
      <c r="I2" s="3890" t="s">
        <v>3153</v>
      </c>
      <c r="J2" s="3891" t="s">
        <v>3154</v>
      </c>
      <c r="K2" s="3891"/>
      <c r="L2" s="3892" t="s">
        <v>3155</v>
      </c>
      <c r="M2" s="3888" t="s">
        <v>3156</v>
      </c>
      <c r="N2" s="3889"/>
    </row>
    <row r="3" spans="1:14" s="2623" customFormat="1" ht="40.5">
      <c r="A3" s="3890"/>
      <c r="B3" s="3890"/>
      <c r="C3" s="3894"/>
      <c r="D3" s="3890"/>
      <c r="E3" s="3890"/>
      <c r="F3" s="3892"/>
      <c r="G3" s="3890"/>
      <c r="H3" s="3890"/>
      <c r="I3" s="3890"/>
      <c r="J3" s="3456" t="s">
        <v>3157</v>
      </c>
      <c r="K3" s="3456" t="s">
        <v>3158</v>
      </c>
      <c r="L3" s="3892"/>
      <c r="M3" s="3457" t="s">
        <v>3247</v>
      </c>
      <c r="N3" s="3457" t="s">
        <v>3248</v>
      </c>
    </row>
    <row r="4" spans="1:14" s="2623" customFormat="1" ht="62.45" customHeight="1">
      <c r="A4" s="3458">
        <v>375</v>
      </c>
      <c r="B4" s="3459">
        <v>2019</v>
      </c>
      <c r="C4" s="3460">
        <v>5</v>
      </c>
      <c r="D4" s="3461">
        <v>3</v>
      </c>
      <c r="E4" s="3462" t="s">
        <v>3159</v>
      </c>
      <c r="F4" s="3462" t="s">
        <v>3160</v>
      </c>
      <c r="G4" s="3462" t="s">
        <v>3161</v>
      </c>
      <c r="H4" s="3462" t="s">
        <v>3162</v>
      </c>
      <c r="I4" s="3462" t="s">
        <v>3249</v>
      </c>
      <c r="J4" s="3462">
        <v>33.1</v>
      </c>
      <c r="K4" s="3462">
        <v>19.48</v>
      </c>
      <c r="L4" s="3462">
        <v>26.22</v>
      </c>
      <c r="M4" s="3462">
        <v>298401.45999999996</v>
      </c>
      <c r="N4" s="3462">
        <v>9015</v>
      </c>
    </row>
    <row r="5" spans="1:14" s="2623" customFormat="1" ht="55.7" customHeight="1">
      <c r="A5" s="3458">
        <v>411</v>
      </c>
      <c r="B5" s="3463">
        <v>2020</v>
      </c>
      <c r="C5" s="3464">
        <v>5</v>
      </c>
      <c r="D5" s="3463">
        <v>7</v>
      </c>
      <c r="E5" s="3465" t="s">
        <v>3163</v>
      </c>
      <c r="F5" s="3465" t="s">
        <v>3160</v>
      </c>
      <c r="G5" s="3465" t="s">
        <v>3164</v>
      </c>
      <c r="H5" s="3465" t="s">
        <v>3165</v>
      </c>
      <c r="I5" s="3466" t="s">
        <v>3250</v>
      </c>
      <c r="J5" s="3467">
        <v>54.78</v>
      </c>
      <c r="K5" s="3462">
        <v>54.78</v>
      </c>
      <c r="L5" s="3462">
        <v>37.621033672670301</v>
      </c>
      <c r="M5" s="2623">
        <v>168936.49</v>
      </c>
      <c r="N5" s="3462">
        <v>3084</v>
      </c>
    </row>
    <row r="6" spans="1:14" s="2623" customFormat="1" ht="81">
      <c r="A6" s="3458">
        <v>412</v>
      </c>
      <c r="B6" s="3463">
        <v>2020</v>
      </c>
      <c r="C6" s="3464">
        <v>5</v>
      </c>
      <c r="D6" s="3463">
        <v>8</v>
      </c>
      <c r="E6" s="3465" t="s">
        <v>3159</v>
      </c>
      <c r="F6" s="3465" t="s">
        <v>3160</v>
      </c>
      <c r="G6" s="3465" t="s">
        <v>3166</v>
      </c>
      <c r="H6" s="3465" t="s">
        <v>3167</v>
      </c>
      <c r="I6" s="3466" t="s">
        <v>3251</v>
      </c>
      <c r="J6" s="3468">
        <v>9.07</v>
      </c>
      <c r="K6" s="3468">
        <v>9.07</v>
      </c>
      <c r="L6" s="3462">
        <v>6.2289663273296796</v>
      </c>
      <c r="M6" s="2623">
        <v>36619.72</v>
      </c>
      <c r="N6" s="3462">
        <v>4037</v>
      </c>
    </row>
    <row r="7" spans="1:14" s="2623" customFormat="1" ht="54">
      <c r="A7" s="3458">
        <v>445</v>
      </c>
      <c r="B7" s="3463">
        <v>2021</v>
      </c>
      <c r="C7" s="3469">
        <v>5</v>
      </c>
      <c r="D7" s="3463">
        <v>5</v>
      </c>
      <c r="E7" s="3470" t="s">
        <v>3163</v>
      </c>
      <c r="F7" s="3470" t="s">
        <v>3160</v>
      </c>
      <c r="G7" s="3471" t="s">
        <v>3168</v>
      </c>
      <c r="H7" s="3463" t="s">
        <v>3169</v>
      </c>
      <c r="I7" s="3471" t="s">
        <v>3252</v>
      </c>
      <c r="J7" s="3472">
        <v>4.07</v>
      </c>
      <c r="K7" s="3472">
        <v>4.07</v>
      </c>
      <c r="L7" s="3472">
        <v>7.54</v>
      </c>
      <c r="M7" s="2623">
        <v>51899.03</v>
      </c>
      <c r="N7" s="3462">
        <v>12752</v>
      </c>
    </row>
  </sheetData>
  <mergeCells count="13">
    <mergeCell ref="C1:L1"/>
    <mergeCell ref="A2:A3"/>
    <mergeCell ref="B2:B3"/>
    <mergeCell ref="C2:C3"/>
    <mergeCell ref="D2:D3"/>
    <mergeCell ref="E2:E3"/>
    <mergeCell ref="F2:F3"/>
    <mergeCell ref="G2:G3"/>
    <mergeCell ref="M2:N2"/>
    <mergeCell ref="H2:H3"/>
    <mergeCell ref="I2:I3"/>
    <mergeCell ref="J2:K2"/>
    <mergeCell ref="L2:L3"/>
  </mergeCells>
  <phoneticPr fontId="225" type="noConversion"/>
  <dataValidations count="1">
    <dataValidation type="list" allowBlank="1" showInputMessage="1" showErrorMessage="1" sqref="F4:F7">
      <formula1>"公开出让,协议出让,划拨"</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M27" sqref="M27"/>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911" t="s">
        <v>3170</v>
      </c>
      <c r="B1" s="3911"/>
      <c r="C1" s="3911"/>
      <c r="D1" s="3911"/>
      <c r="E1" s="3911"/>
      <c r="F1" s="3911"/>
      <c r="G1" s="3911"/>
      <c r="H1" s="3911"/>
      <c r="I1" s="3911"/>
      <c r="J1" s="3911"/>
    </row>
    <row r="2" spans="1:22">
      <c r="A2" s="3473"/>
      <c r="B2" s="3473"/>
      <c r="C2" s="3473"/>
      <c r="D2" s="3473"/>
      <c r="E2" s="3473"/>
      <c r="F2" s="3473"/>
      <c r="G2" s="3473"/>
      <c r="H2" s="3473"/>
      <c r="I2" s="3473"/>
      <c r="J2" s="3473"/>
      <c r="K2" s="3473"/>
      <c r="L2" s="3473"/>
      <c r="M2" s="3473"/>
      <c r="N2" s="3473"/>
    </row>
    <row r="3" spans="1:22" ht="15">
      <c r="A3" s="3897" t="s">
        <v>2336</v>
      </c>
      <c r="B3" s="3897"/>
      <c r="C3" s="3898" t="s">
        <v>3171</v>
      </c>
      <c r="D3" s="3898"/>
      <c r="E3" s="3898" t="s">
        <v>3172</v>
      </c>
      <c r="F3" s="3898"/>
      <c r="G3" s="3898" t="s">
        <v>3173</v>
      </c>
      <c r="H3" s="3898"/>
      <c r="I3" s="3898" t="s">
        <v>3174</v>
      </c>
      <c r="J3" s="3898"/>
      <c r="K3" s="3898" t="s">
        <v>3175</v>
      </c>
      <c r="L3" s="3898"/>
      <c r="M3" s="3898" t="s">
        <v>3176</v>
      </c>
      <c r="N3" s="3898"/>
      <c r="P3" s="3474"/>
      <c r="Q3" s="3474"/>
      <c r="R3" s="3474"/>
      <c r="S3" s="3474"/>
      <c r="T3" s="3475"/>
      <c r="U3" s="3476"/>
      <c r="V3" s="3474"/>
    </row>
    <row r="4" spans="1:22" ht="48.75" customHeight="1">
      <c r="A4" s="3897" t="s">
        <v>3151</v>
      </c>
      <c r="B4" s="3897"/>
      <c r="C4" s="3910"/>
      <c r="D4" s="3906"/>
      <c r="E4" s="3905" t="str">
        <f>土地案例!G4</f>
        <v>顺义新城项目用地一级开发项目SY00-0013-6028、6032等地块、SY00-0013-6039、6040等地块</v>
      </c>
      <c r="F4" s="3906"/>
      <c r="G4" s="3905" t="str">
        <f>土地案例!G5</f>
        <v>顺义区M15号线新国展北站土地一级开发项目01-1地块</v>
      </c>
      <c r="H4" s="3906"/>
      <c r="I4" s="3905" t="str">
        <f>[3]土地案例!F14</f>
        <v>顺义区国际鲜花港土地一级开发项目A-01地块</v>
      </c>
      <c r="J4" s="3906"/>
      <c r="K4" s="3905" t="str">
        <f>[3]土地案例!F19</f>
        <v>顺义卫星城牛栏山组团东南部土地一级开发项目SY00-0017-6001、1103、1202等地块</v>
      </c>
      <c r="L4" s="3906"/>
      <c r="M4" s="3905" t="str">
        <f>土地案例!G6</f>
        <v>顺义区国展预留地剩余地块土地一级开发项目SY00-0022-6005-1、SY00-0023-6002地块</v>
      </c>
      <c r="N4" s="3906"/>
      <c r="P4" s="3477"/>
      <c r="Q4" s="3474"/>
      <c r="R4" s="3477"/>
      <c r="S4" s="3474"/>
      <c r="T4" s="3475"/>
      <c r="U4" s="3476"/>
      <c r="V4" s="3476"/>
    </row>
    <row r="5" spans="1:22" ht="10.5" customHeight="1">
      <c r="A5" s="3897" t="s">
        <v>3177</v>
      </c>
      <c r="B5" s="3897"/>
      <c r="C5" s="3907" t="s">
        <v>3178</v>
      </c>
      <c r="D5" s="3906"/>
      <c r="E5" s="3908"/>
      <c r="F5" s="3909"/>
      <c r="G5" s="3908"/>
      <c r="H5" s="3909"/>
      <c r="I5" s="3910">
        <f>[4]毛纺厂西数据!H6</f>
        <v>110.5</v>
      </c>
      <c r="J5" s="3906"/>
      <c r="K5" s="3910">
        <f>[4]专家国际花园数据!H6</f>
        <v>102</v>
      </c>
      <c r="L5" s="3906"/>
      <c r="M5" s="3908"/>
      <c r="N5" s="3909"/>
      <c r="P5" s="3478"/>
      <c r="Q5" s="3479"/>
      <c r="R5" s="3480"/>
      <c r="S5" s="3479"/>
      <c r="T5" s="3475"/>
      <c r="U5" s="3476"/>
      <c r="V5" s="3476"/>
    </row>
    <row r="6" spans="1:22" ht="15">
      <c r="A6" s="3897" t="s">
        <v>3179</v>
      </c>
      <c r="B6" s="3897"/>
      <c r="C6" s="3481">
        <v>44623</v>
      </c>
      <c r="D6" s="3482">
        <v>100</v>
      </c>
      <c r="E6" s="3483" t="s">
        <v>3253</v>
      </c>
      <c r="F6" s="3482">
        <f>ROUND(S30,2)</f>
        <v>98.77</v>
      </c>
      <c r="G6" s="3483" t="s">
        <v>3254</v>
      </c>
      <c r="H6" s="3482">
        <f>ROUND(S26,2)</f>
        <v>99.53</v>
      </c>
      <c r="I6" s="3483" t="s">
        <v>3180</v>
      </c>
      <c r="J6" s="3482">
        <f>T38</f>
        <v>98.3</v>
      </c>
      <c r="K6" s="3483" t="s">
        <v>3181</v>
      </c>
      <c r="L6" s="3482">
        <f>T37</f>
        <v>98.3</v>
      </c>
      <c r="M6" s="3483" t="s">
        <v>3254</v>
      </c>
      <c r="N6" s="3482">
        <f>H6</f>
        <v>99.53</v>
      </c>
      <c r="P6" s="3484"/>
      <c r="Q6" s="3479"/>
      <c r="R6" s="3480"/>
      <c r="S6" s="3479"/>
      <c r="T6" s="3475"/>
      <c r="U6" s="3476"/>
      <c r="V6" s="3476"/>
    </row>
    <row r="7" spans="1:22" ht="15">
      <c r="A7" s="3897" t="s">
        <v>3182</v>
      </c>
      <c r="B7" s="3897"/>
      <c r="C7" s="3485" t="s">
        <v>3183</v>
      </c>
      <c r="D7" s="3486">
        <v>100</v>
      </c>
      <c r="E7" s="3485" t="s">
        <v>3183</v>
      </c>
      <c r="F7" s="3486">
        <v>100</v>
      </c>
      <c r="G7" s="3485" t="s">
        <v>3183</v>
      </c>
      <c r="H7" s="3486">
        <f>IF(G7=C7,100,"请调整")</f>
        <v>100</v>
      </c>
      <c r="I7" s="3485" t="s">
        <v>3183</v>
      </c>
      <c r="J7" s="3486">
        <f>IF(I7=C7,100,"请调整")</f>
        <v>100</v>
      </c>
      <c r="K7" s="3485" t="s">
        <v>3183</v>
      </c>
      <c r="L7" s="3486">
        <f>IF(K7=G7,100,"请调整")</f>
        <v>100</v>
      </c>
      <c r="M7" s="3485" t="s">
        <v>3183</v>
      </c>
      <c r="N7" s="3486">
        <f>IF(M7=G7,100,"请调整")</f>
        <v>100</v>
      </c>
      <c r="P7" s="3484"/>
      <c r="Q7" s="3479"/>
      <c r="R7" s="3480"/>
      <c r="S7" s="3479"/>
      <c r="T7" s="3475"/>
      <c r="U7" s="3476"/>
      <c r="V7" s="3476"/>
    </row>
    <row r="8" spans="1:22" ht="24">
      <c r="A8" s="3899" t="s">
        <v>3184</v>
      </c>
      <c r="B8" s="3487" t="s">
        <v>1628</v>
      </c>
      <c r="C8" s="3485" t="s">
        <v>3185</v>
      </c>
      <c r="D8" s="3485">
        <v>100</v>
      </c>
      <c r="E8" s="3488" t="s">
        <v>3186</v>
      </c>
      <c r="F8" s="3488">
        <v>105</v>
      </c>
      <c r="G8" s="3507" t="s">
        <v>3255</v>
      </c>
      <c r="H8" s="3488">
        <f>F8</f>
        <v>105</v>
      </c>
      <c r="I8" s="3485" t="s">
        <v>3186</v>
      </c>
      <c r="J8" s="3485">
        <f>H8</f>
        <v>105</v>
      </c>
      <c r="K8" s="3485" t="s">
        <v>3186</v>
      </c>
      <c r="L8" s="3485">
        <f>J8</f>
        <v>105</v>
      </c>
      <c r="M8" s="3507" t="s">
        <v>3255</v>
      </c>
      <c r="N8" s="3488">
        <f>H8</f>
        <v>105</v>
      </c>
      <c r="P8" s="3484"/>
      <c r="Q8" s="3479"/>
      <c r="R8" s="3489"/>
      <c r="S8" s="3479"/>
      <c r="T8" s="3475"/>
      <c r="U8" s="3476"/>
      <c r="V8" s="3476"/>
    </row>
    <row r="9" spans="1:22" ht="60">
      <c r="A9" s="3900"/>
      <c r="B9" s="3487" t="s">
        <v>3313</v>
      </c>
      <c r="C9" s="3485" t="s">
        <v>3185</v>
      </c>
      <c r="D9" s="3485">
        <v>100</v>
      </c>
      <c r="E9" s="3485" t="s">
        <v>3185</v>
      </c>
      <c r="F9" s="3485">
        <v>100</v>
      </c>
      <c r="G9" s="3485" t="s">
        <v>3185</v>
      </c>
      <c r="H9" s="3485">
        <v>100</v>
      </c>
      <c r="I9" s="3485" t="s">
        <v>3185</v>
      </c>
      <c r="J9" s="3485">
        <v>100</v>
      </c>
      <c r="K9" s="3485" t="s">
        <v>3185</v>
      </c>
      <c r="L9" s="3485">
        <v>100</v>
      </c>
      <c r="M9" s="3485" t="s">
        <v>3185</v>
      </c>
      <c r="N9" s="3486">
        <v>100</v>
      </c>
      <c r="P9" s="3484"/>
      <c r="Q9" s="3479"/>
      <c r="R9" s="3489"/>
      <c r="S9" s="3479"/>
      <c r="T9" s="3475"/>
      <c r="U9" s="3476"/>
      <c r="V9" s="3476"/>
    </row>
    <row r="10" spans="1:22" ht="24">
      <c r="A10" s="3900"/>
      <c r="B10" s="3487" t="s">
        <v>3187</v>
      </c>
      <c r="C10" s="3485" t="s">
        <v>3188</v>
      </c>
      <c r="D10" s="3485">
        <v>100</v>
      </c>
      <c r="E10" s="3485" t="s">
        <v>3188</v>
      </c>
      <c r="F10" s="3485">
        <v>100</v>
      </c>
      <c r="G10" s="3485" t="s">
        <v>3188</v>
      </c>
      <c r="H10" s="3485">
        <v>100</v>
      </c>
      <c r="I10" s="3485" t="s">
        <v>3190</v>
      </c>
      <c r="J10" s="3485">
        <v>115</v>
      </c>
      <c r="K10" s="3485" t="s">
        <v>3190</v>
      </c>
      <c r="L10" s="3485">
        <v>115</v>
      </c>
      <c r="M10" s="3485" t="s">
        <v>3188</v>
      </c>
      <c r="N10" s="3485">
        <v>100</v>
      </c>
      <c r="P10" s="3479"/>
      <c r="Q10" s="3479"/>
      <c r="R10" s="3479"/>
      <c r="S10" s="3479"/>
      <c r="T10" s="3475"/>
      <c r="U10" s="3476"/>
      <c r="V10" s="3476"/>
    </row>
    <row r="11" spans="1:22" ht="36">
      <c r="A11" s="3900"/>
      <c r="B11" s="3491" t="s">
        <v>3191</v>
      </c>
      <c r="C11" s="3487" t="s">
        <v>3192</v>
      </c>
      <c r="D11" s="3485">
        <v>100</v>
      </c>
      <c r="E11" s="3488" t="s">
        <v>3193</v>
      </c>
      <c r="F11" s="3516">
        <v>105</v>
      </c>
      <c r="G11" s="3488" t="s">
        <v>3193</v>
      </c>
      <c r="H11" s="3516">
        <f>F11</f>
        <v>105</v>
      </c>
      <c r="I11" s="3488" t="s">
        <v>3193</v>
      </c>
      <c r="J11" s="3488">
        <f>H11</f>
        <v>105</v>
      </c>
      <c r="K11" s="3488" t="s">
        <v>3193</v>
      </c>
      <c r="L11" s="3488">
        <f>J11</f>
        <v>105</v>
      </c>
      <c r="M11" s="3488" t="str">
        <f>G11</f>
        <v>公用服务设施较好，较能满足需要</v>
      </c>
      <c r="N11" s="3517">
        <f>H11</f>
        <v>105</v>
      </c>
      <c r="P11" s="3493" t="s">
        <v>3194</v>
      </c>
      <c r="Q11" s="3479"/>
      <c r="R11" s="3480"/>
      <c r="S11" s="3479"/>
      <c r="T11" s="3475"/>
      <c r="U11" s="3476"/>
      <c r="V11" s="3476"/>
    </row>
    <row r="12" spans="1:22" ht="31.5" hidden="1" customHeight="1">
      <c r="A12" s="3900"/>
      <c r="B12" s="3487" t="s">
        <v>3187</v>
      </c>
      <c r="C12" s="3485" t="s">
        <v>3188</v>
      </c>
      <c r="D12" s="3486">
        <v>100</v>
      </c>
      <c r="E12" s="3485" t="s">
        <v>3189</v>
      </c>
      <c r="F12" s="3486">
        <v>100</v>
      </c>
      <c r="G12" s="3485" t="s">
        <v>3188</v>
      </c>
      <c r="H12" s="3486">
        <v>100</v>
      </c>
      <c r="I12" s="3485" t="s">
        <v>3190</v>
      </c>
      <c r="J12" s="3486">
        <v>100</v>
      </c>
      <c r="K12" s="3485" t="s">
        <v>3190</v>
      </c>
      <c r="L12" s="3485">
        <v>100</v>
      </c>
      <c r="M12" s="3485" t="s">
        <v>3188</v>
      </c>
      <c r="N12" s="3486">
        <v>100</v>
      </c>
      <c r="P12" s="3493"/>
    </row>
    <row r="13" spans="1:22" ht="24">
      <c r="A13" s="3901"/>
      <c r="B13" s="3487" t="s">
        <v>3195</v>
      </c>
      <c r="C13" s="3485" t="s">
        <v>3186</v>
      </c>
      <c r="D13" s="3486">
        <v>100</v>
      </c>
      <c r="E13" s="3485" t="s">
        <v>3186</v>
      </c>
      <c r="F13" s="3486">
        <v>100</v>
      </c>
      <c r="G13" s="3485" t="s">
        <v>3186</v>
      </c>
      <c r="H13" s="3486">
        <v>100</v>
      </c>
      <c r="I13" s="3485" t="s">
        <v>3186</v>
      </c>
      <c r="J13" s="3486">
        <v>100</v>
      </c>
      <c r="K13" s="3485" t="s">
        <v>3186</v>
      </c>
      <c r="L13" s="3485">
        <v>100</v>
      </c>
      <c r="M13" s="3485" t="s">
        <v>3186</v>
      </c>
      <c r="N13" s="3486">
        <v>100</v>
      </c>
      <c r="P13" s="3493" t="s">
        <v>3196</v>
      </c>
      <c r="Q13" s="3494">
        <v>4.7999999999999996E-3</v>
      </c>
      <c r="R13" s="3494">
        <f>1+Q13</f>
        <v>1.0047999999999999</v>
      </c>
      <c r="S13">
        <f>100/R13</f>
        <v>99.522292993630586</v>
      </c>
    </row>
    <row r="14" spans="1:22">
      <c r="A14" s="3902" t="s">
        <v>3197</v>
      </c>
      <c r="B14" s="3491" t="s">
        <v>3198</v>
      </c>
      <c r="C14" s="3485" t="s">
        <v>3199</v>
      </c>
      <c r="D14" s="3486">
        <v>100</v>
      </c>
      <c r="E14" s="3485" t="s">
        <v>3200</v>
      </c>
      <c r="F14" s="3517">
        <v>105</v>
      </c>
      <c r="G14" s="3485" t="s">
        <v>3200</v>
      </c>
      <c r="H14" s="3517">
        <f>F14</f>
        <v>105</v>
      </c>
      <c r="I14" s="3485" t="s">
        <v>3200</v>
      </c>
      <c r="J14" s="3486">
        <f>H14</f>
        <v>105</v>
      </c>
      <c r="K14" s="3485" t="s">
        <v>3200</v>
      </c>
      <c r="L14" s="3486">
        <f>J14</f>
        <v>105</v>
      </c>
      <c r="M14" s="3485" t="s">
        <v>3200</v>
      </c>
      <c r="N14" s="3517">
        <f>L14</f>
        <v>105</v>
      </c>
      <c r="P14" s="3493" t="s">
        <v>3201</v>
      </c>
      <c r="Q14" s="3494">
        <v>1.01E-2</v>
      </c>
      <c r="R14" s="3494">
        <f>Q14+1</f>
        <v>1.0101</v>
      </c>
      <c r="S14">
        <f t="shared" ref="S14:S15" si="0">100/R14</f>
        <v>99.000099000098999</v>
      </c>
    </row>
    <row r="15" spans="1:22" ht="24" customHeight="1">
      <c r="A15" s="3903"/>
      <c r="B15" s="3491" t="s">
        <v>3202</v>
      </c>
      <c r="C15" s="3485" t="s">
        <v>3203</v>
      </c>
      <c r="D15" s="3486">
        <v>100</v>
      </c>
      <c r="E15" s="3490" t="str">
        <f>土地案例!I4</f>
        <v>六通</v>
      </c>
      <c r="F15" s="3495">
        <v>102</v>
      </c>
      <c r="G15" s="3490" t="str">
        <f>土地案例!I5</f>
        <v>五通</v>
      </c>
      <c r="H15" s="3495">
        <v>100</v>
      </c>
      <c r="I15" s="3485" t="s">
        <v>3204</v>
      </c>
      <c r="J15" s="3486">
        <f>F15</f>
        <v>102</v>
      </c>
      <c r="K15" s="3485" t="s">
        <v>3204</v>
      </c>
      <c r="L15" s="3486">
        <f>F15</f>
        <v>102</v>
      </c>
      <c r="M15" s="3490" t="str">
        <f>土地案例!I6</f>
        <v>临时三通</v>
      </c>
      <c r="N15" s="3495">
        <v>96</v>
      </c>
      <c r="P15" s="3493" t="s">
        <v>3205</v>
      </c>
      <c r="Q15" s="3494">
        <v>3.5999999999999999E-3</v>
      </c>
      <c r="R15" s="3494">
        <f>1+Q15</f>
        <v>1.0036</v>
      </c>
      <c r="S15">
        <f t="shared" si="0"/>
        <v>99.641291351135905</v>
      </c>
    </row>
    <row r="16" spans="1:22">
      <c r="A16" s="3903"/>
      <c r="B16" s="3491" t="s">
        <v>3206</v>
      </c>
      <c r="C16" s="3485" t="s">
        <v>3207</v>
      </c>
      <c r="D16" s="3486">
        <v>100</v>
      </c>
      <c r="E16" s="3485" t="s">
        <v>3207</v>
      </c>
      <c r="F16" s="3492">
        <v>100</v>
      </c>
      <c r="G16" s="3485" t="s">
        <v>3207</v>
      </c>
      <c r="H16" s="3492">
        <f>F16</f>
        <v>100</v>
      </c>
      <c r="I16" s="3485" t="s">
        <v>3207</v>
      </c>
      <c r="J16" s="3486">
        <f>H16</f>
        <v>100</v>
      </c>
      <c r="K16" s="3485" t="s">
        <v>3207</v>
      </c>
      <c r="L16" s="3486">
        <f>J16</f>
        <v>100</v>
      </c>
      <c r="M16" s="3485" t="s">
        <v>3207</v>
      </c>
      <c r="N16" s="3492">
        <f>L16</f>
        <v>100</v>
      </c>
      <c r="P16" s="3496" t="s">
        <v>3208</v>
      </c>
      <c r="Q16" s="3497"/>
      <c r="R16" s="3497"/>
      <c r="S16" s="3496" t="s">
        <v>3209</v>
      </c>
      <c r="T16" s="3497"/>
    </row>
    <row r="17" spans="1:20" ht="24">
      <c r="A17" s="3904"/>
      <c r="B17" s="3491" t="s">
        <v>3210</v>
      </c>
      <c r="C17" s="3485">
        <f>'数据-基础表'!A3/10000</f>
        <v>15.541354999999999</v>
      </c>
      <c r="D17" s="3486">
        <v>100</v>
      </c>
      <c r="E17" s="3485">
        <f>土地案例!K4</f>
        <v>19.48</v>
      </c>
      <c r="F17" s="3517">
        <v>102</v>
      </c>
      <c r="G17" s="3485">
        <f>土地案例!K5</f>
        <v>54.78</v>
      </c>
      <c r="H17" s="3517">
        <v>105</v>
      </c>
      <c r="I17" s="3485">
        <v>19.989999999999998</v>
      </c>
      <c r="J17" s="3486">
        <v>98</v>
      </c>
      <c r="K17" s="3485">
        <v>132.25</v>
      </c>
      <c r="L17" s="3486">
        <v>104</v>
      </c>
      <c r="M17" s="3485">
        <f>土地案例!J6</f>
        <v>9.07</v>
      </c>
      <c r="N17" s="3517">
        <v>101</v>
      </c>
      <c r="P17" s="3493" t="s">
        <v>3211</v>
      </c>
      <c r="Q17" s="3498">
        <f>[5]地价!Q10</f>
        <v>2.69E-2</v>
      </c>
      <c r="R17" s="3498">
        <f>1+Q17</f>
        <v>1.0268999999999999</v>
      </c>
      <c r="S17" s="3499">
        <f>100/R17</f>
        <v>97.380465478624998</v>
      </c>
      <c r="T17" s="3497"/>
    </row>
    <row r="18" spans="1:20" ht="36" hidden="1">
      <c r="A18" s="3899" t="s">
        <v>3212</v>
      </c>
      <c r="B18" s="3487" t="s">
        <v>3213</v>
      </c>
      <c r="C18" s="3485" t="s">
        <v>3214</v>
      </c>
      <c r="D18" s="3486">
        <v>100</v>
      </c>
      <c r="E18" s="3485" t="s">
        <v>3214</v>
      </c>
      <c r="F18" s="3486">
        <v>100</v>
      </c>
      <c r="G18" s="3485" t="s">
        <v>3214</v>
      </c>
      <c r="H18" s="3486">
        <v>100</v>
      </c>
      <c r="I18" s="3485" t="s">
        <v>3214</v>
      </c>
      <c r="J18" s="3486">
        <v>100</v>
      </c>
      <c r="K18" s="3485" t="s">
        <v>3214</v>
      </c>
      <c r="L18" s="3486">
        <v>100</v>
      </c>
      <c r="M18" s="3485" t="s">
        <v>3214</v>
      </c>
      <c r="N18" s="3486">
        <v>100</v>
      </c>
      <c r="P18" s="3500"/>
      <c r="Q18" s="3501">
        <f>[5]地价!Q11</f>
        <v>7.000000000000001E-4</v>
      </c>
      <c r="R18" s="3501">
        <f t="shared" ref="R18:R39" si="1">1+Q18</f>
        <v>1.0006999999999999</v>
      </c>
      <c r="S18" s="3497">
        <f t="shared" ref="S18:S39" si="2">100/R18</f>
        <v>99.930048965723998</v>
      </c>
      <c r="T18" s="3497"/>
    </row>
    <row r="19" spans="1:20" ht="24" hidden="1">
      <c r="A19" s="3900"/>
      <c r="B19" s="3487" t="s">
        <v>3215</v>
      </c>
      <c r="C19" s="3502" t="s">
        <v>3216</v>
      </c>
      <c r="D19" s="3486">
        <v>100</v>
      </c>
      <c r="E19" s="3502" t="s">
        <v>3216</v>
      </c>
      <c r="F19" s="3486">
        <v>100</v>
      </c>
      <c r="G19" s="3502" t="s">
        <v>3216</v>
      </c>
      <c r="H19" s="3486">
        <v>100</v>
      </c>
      <c r="I19" s="3502" t="s">
        <v>3216</v>
      </c>
      <c r="J19" s="3486">
        <v>100</v>
      </c>
      <c r="K19" s="3502" t="s">
        <v>3216</v>
      </c>
      <c r="L19" s="3486">
        <v>100</v>
      </c>
      <c r="M19" s="3502" t="s">
        <v>3216</v>
      </c>
      <c r="N19" s="3486">
        <v>100</v>
      </c>
      <c r="P19" s="3500"/>
      <c r="Q19" s="3501">
        <f>[5]地价!Q12</f>
        <v>4.6999999999999993E-3</v>
      </c>
      <c r="R19" s="3501">
        <f t="shared" si="1"/>
        <v>1.0046999999999999</v>
      </c>
      <c r="S19" s="3497">
        <f t="shared" si="2"/>
        <v>99.532198666268542</v>
      </c>
      <c r="T19" s="3497"/>
    </row>
    <row r="20" spans="1:20" ht="24" hidden="1">
      <c r="A20" s="3900"/>
      <c r="B20" s="3487" t="s">
        <v>3217</v>
      </c>
      <c r="C20" s="3485" t="s">
        <v>3218</v>
      </c>
      <c r="D20" s="3486">
        <v>100</v>
      </c>
      <c r="E20" s="3485" t="s">
        <v>3218</v>
      </c>
      <c r="F20" s="3486">
        <v>100</v>
      </c>
      <c r="G20" s="3485" t="s">
        <v>3218</v>
      </c>
      <c r="H20" s="3486">
        <v>100</v>
      </c>
      <c r="I20" s="3485" t="s">
        <v>3218</v>
      </c>
      <c r="J20" s="3486">
        <v>100</v>
      </c>
      <c r="K20" s="3485" t="s">
        <v>3218</v>
      </c>
      <c r="L20" s="3486">
        <v>100</v>
      </c>
      <c r="M20" s="3485" t="s">
        <v>3218</v>
      </c>
      <c r="N20" s="3486">
        <v>100</v>
      </c>
      <c r="P20" s="3500"/>
      <c r="Q20" s="3501">
        <f>[5]地价!Q13</f>
        <v>2.7000000000000001E-3</v>
      </c>
      <c r="R20" s="3501">
        <f t="shared" si="1"/>
        <v>1.0026999999999999</v>
      </c>
      <c r="S20" s="3497">
        <f t="shared" si="2"/>
        <v>99.730727037000108</v>
      </c>
      <c r="T20" s="3497"/>
    </row>
    <row r="21" spans="1:20" ht="48" hidden="1">
      <c r="A21" s="3900"/>
      <c r="B21" s="3487" t="s">
        <v>3219</v>
      </c>
      <c r="C21" s="3485" t="s">
        <v>3220</v>
      </c>
      <c r="D21" s="3486">
        <v>100</v>
      </c>
      <c r="E21" s="3485" t="s">
        <v>3221</v>
      </c>
      <c r="F21" s="3503">
        <v>100</v>
      </c>
      <c r="G21" s="3485" t="s">
        <v>3221</v>
      </c>
      <c r="H21" s="3503">
        <v>100</v>
      </c>
      <c r="I21" s="3485" t="s">
        <v>3221</v>
      </c>
      <c r="J21" s="3503">
        <v>100</v>
      </c>
      <c r="K21" s="3485" t="s">
        <v>3221</v>
      </c>
      <c r="L21" s="3503">
        <v>100</v>
      </c>
      <c r="M21" s="3485" t="s">
        <v>3221</v>
      </c>
      <c r="N21" s="3503">
        <v>100</v>
      </c>
      <c r="P21" s="3500"/>
      <c r="Q21" s="3501">
        <f>[5]地价!Q14</f>
        <v>4.7999999999999996E-3</v>
      </c>
      <c r="R21" s="3501">
        <f t="shared" si="1"/>
        <v>1.0047999999999999</v>
      </c>
      <c r="S21" s="3497">
        <f t="shared" si="2"/>
        <v>99.522292993630586</v>
      </c>
      <c r="T21" s="3497"/>
    </row>
    <row r="22" spans="1:20" ht="36" hidden="1">
      <c r="A22" s="3900"/>
      <c r="B22" s="3487" t="s">
        <v>3222</v>
      </c>
      <c r="C22" s="3485" t="s">
        <v>3223</v>
      </c>
      <c r="D22" s="3486">
        <v>100</v>
      </c>
      <c r="E22" s="3485" t="s">
        <v>3223</v>
      </c>
      <c r="F22" s="3486">
        <v>100</v>
      </c>
      <c r="G22" s="3485" t="s">
        <v>3223</v>
      </c>
      <c r="H22" s="3486">
        <v>100</v>
      </c>
      <c r="I22" s="3485" t="s">
        <v>3223</v>
      </c>
      <c r="J22" s="3486">
        <v>100</v>
      </c>
      <c r="K22" s="3485" t="s">
        <v>3223</v>
      </c>
      <c r="L22" s="3486">
        <v>100</v>
      </c>
      <c r="M22" s="3485" t="s">
        <v>3223</v>
      </c>
      <c r="N22" s="3486">
        <v>100</v>
      </c>
      <c r="P22" s="3500"/>
      <c r="Q22" s="3501">
        <f>[5]地价!Q15</f>
        <v>1.03E-2</v>
      </c>
      <c r="R22" s="3501">
        <f t="shared" si="1"/>
        <v>1.0103</v>
      </c>
      <c r="S22" s="3497">
        <f t="shared" si="2"/>
        <v>98.980500841334262</v>
      </c>
      <c r="T22" s="3497"/>
    </row>
    <row r="23" spans="1:20" ht="24" hidden="1">
      <c r="A23" s="3900"/>
      <c r="B23" s="3487" t="s">
        <v>3224</v>
      </c>
      <c r="C23" s="3485" t="s">
        <v>3225</v>
      </c>
      <c r="D23" s="3486">
        <v>100</v>
      </c>
      <c r="E23" s="3485" t="s">
        <v>3225</v>
      </c>
      <c r="F23" s="3486">
        <v>100</v>
      </c>
      <c r="G23" s="3485" t="s">
        <v>3225</v>
      </c>
      <c r="H23" s="3486">
        <v>100</v>
      </c>
      <c r="I23" s="3485" t="s">
        <v>3225</v>
      </c>
      <c r="J23" s="3486">
        <v>100</v>
      </c>
      <c r="K23" s="3485" t="s">
        <v>3225</v>
      </c>
      <c r="L23" s="3486">
        <v>100</v>
      </c>
      <c r="M23" s="3485" t="s">
        <v>3225</v>
      </c>
      <c r="N23" s="3486">
        <v>100</v>
      </c>
      <c r="P23" s="3500"/>
      <c r="Q23" s="3501">
        <f>[5]地价!Q16</f>
        <v>1.2500000000000001E-2</v>
      </c>
      <c r="R23" s="3501">
        <f t="shared" si="1"/>
        <v>1.0125</v>
      </c>
      <c r="S23" s="3497">
        <f t="shared" si="2"/>
        <v>98.76543209876543</v>
      </c>
      <c r="T23" s="3497"/>
    </row>
    <row r="24" spans="1:20" ht="36" hidden="1">
      <c r="A24" s="3901"/>
      <c r="B24" s="3487" t="s">
        <v>3226</v>
      </c>
      <c r="C24" s="3485" t="s">
        <v>3227</v>
      </c>
      <c r="D24" s="3486">
        <v>100</v>
      </c>
      <c r="E24" s="3485" t="s">
        <v>3228</v>
      </c>
      <c r="F24" s="3503">
        <v>100</v>
      </c>
      <c r="G24" s="3485" t="s">
        <v>3228</v>
      </c>
      <c r="H24" s="3503">
        <v>100</v>
      </c>
      <c r="I24" s="3485" t="s">
        <v>3228</v>
      </c>
      <c r="J24" s="3503">
        <v>100</v>
      </c>
      <c r="K24" s="3485" t="s">
        <v>3228</v>
      </c>
      <c r="L24" s="3503">
        <v>100</v>
      </c>
      <c r="M24" s="3485" t="s">
        <v>3228</v>
      </c>
      <c r="N24" s="3503">
        <v>100</v>
      </c>
      <c r="P24" s="3500"/>
      <c r="Q24" s="3501">
        <f>[5]地价!Q17</f>
        <v>1.1299999999999999E-2</v>
      </c>
      <c r="R24" s="3501">
        <f t="shared" si="1"/>
        <v>1.0113000000000001</v>
      </c>
      <c r="S24" s="3497">
        <f t="shared" si="2"/>
        <v>98.882626322555112</v>
      </c>
      <c r="T24" s="3497"/>
    </row>
    <row r="25" spans="1:20">
      <c r="A25" s="3897" t="s">
        <v>3229</v>
      </c>
      <c r="B25" s="3897"/>
      <c r="C25" s="3898" t="s">
        <v>3230</v>
      </c>
      <c r="D25" s="3898"/>
      <c r="E25" s="3898">
        <f>土地案例!N4</f>
        <v>9015</v>
      </c>
      <c r="F25" s="3898"/>
      <c r="G25" s="3898">
        <f>土地案例!N5</f>
        <v>3084</v>
      </c>
      <c r="H25" s="3898"/>
      <c r="I25" s="3898">
        <v>0</v>
      </c>
      <c r="J25" s="3898"/>
      <c r="K25" s="3898">
        <v>0</v>
      </c>
      <c r="L25" s="3898"/>
      <c r="M25" s="3898">
        <f>土地案例!N6</f>
        <v>4037</v>
      </c>
      <c r="N25" s="3898"/>
      <c r="P25" s="3504" t="s">
        <v>3231</v>
      </c>
      <c r="Q25" s="3501">
        <f>[5]地价!Q11</f>
        <v>7.000000000000001E-4</v>
      </c>
      <c r="R25" s="3501">
        <f t="shared" si="1"/>
        <v>1.0006999999999999</v>
      </c>
      <c r="S25" s="3497">
        <f t="shared" si="2"/>
        <v>99.930048965723998</v>
      </c>
      <c r="T25" s="3497"/>
    </row>
    <row r="26" spans="1:20">
      <c r="A26" s="3897" t="s">
        <v>3232</v>
      </c>
      <c r="B26" s="3897"/>
      <c r="C26" s="3898" t="s">
        <v>3230</v>
      </c>
      <c r="D26" s="3898"/>
      <c r="E26" s="3895">
        <f>ROUND(E25*POWER(100,COUNT(F6:F24))/PRODUCT(F6:F24),0)</f>
        <v>7578</v>
      </c>
      <c r="F26" s="3895"/>
      <c r="G26" s="3895">
        <f>ROUND(G25*POWER(100,COUNT(H6:H24))/PRODUCT(H6:H24),0)</f>
        <v>2549</v>
      </c>
      <c r="H26" s="3895"/>
      <c r="I26" s="3895">
        <f>ROUND(I25*POWER(100,COUNT(J6:J24))/PRODUCT(J6:J24),0)</f>
        <v>0</v>
      </c>
      <c r="J26" s="3895"/>
      <c r="K26" s="3895">
        <f>ROUND(K25*POWER(100,COUNT(L6:L24))/PRODUCT(L6:L24),0)</f>
        <v>0</v>
      </c>
      <c r="L26" s="3895"/>
      <c r="M26" s="3895">
        <f>ROUND(M25*POWER(100,COUNT(N6:N24))/PRODUCT(N6:N24),0)</f>
        <v>3614</v>
      </c>
      <c r="N26" s="3895"/>
      <c r="P26" s="3504" t="s">
        <v>3233</v>
      </c>
      <c r="Q26" s="3501">
        <f>[5]地价!Q12</f>
        <v>4.6999999999999993E-3</v>
      </c>
      <c r="R26" s="3501">
        <f t="shared" si="1"/>
        <v>1.0046999999999999</v>
      </c>
      <c r="S26" s="3497">
        <f t="shared" si="2"/>
        <v>99.532198666268542</v>
      </c>
      <c r="T26" s="3497"/>
    </row>
    <row r="27" spans="1:20">
      <c r="A27" s="3896" t="str">
        <f>CONCATENATE("估价对象比较价值=(",TEXT(E26,"G/通用格式"),"+",TEXT(G26,"G/通用格式"),"+",TEXT(I26,"G/通用格式"),"+",TEXT(K26,"G/通用格式"),"+",TEXT(M26,"G/通用格式"),")","/",3,"=",ROUND((E26+G26+I26+K26+M26)/3,0))</f>
        <v>估价对象比较价值=(7578+2549+0+0+3614)/3=4580</v>
      </c>
      <c r="B27" s="3896"/>
      <c r="C27" s="3896"/>
      <c r="D27" s="3896"/>
      <c r="E27" s="3896"/>
      <c r="F27" s="3896"/>
      <c r="G27" s="3896"/>
      <c r="H27" s="3896"/>
      <c r="I27" s="3896"/>
      <c r="J27" s="3896"/>
      <c r="M27" s="3505">
        <f>ROUND((E26+G26+I26+K26+M26)/3,0)</f>
        <v>4580</v>
      </c>
      <c r="P27" s="3504" t="s">
        <v>3234</v>
      </c>
      <c r="Q27" s="3501">
        <f>[5]地价!Q13</f>
        <v>2.7000000000000001E-3</v>
      </c>
      <c r="R27" s="3501">
        <f t="shared" si="1"/>
        <v>1.0026999999999999</v>
      </c>
      <c r="S27" s="3497">
        <f t="shared" si="2"/>
        <v>99.730727037000108</v>
      </c>
      <c r="T27" s="3497"/>
    </row>
    <row r="28" spans="1:20">
      <c r="F28">
        <v>0</v>
      </c>
      <c r="G28">
        <v>30</v>
      </c>
      <c r="H28">
        <v>60</v>
      </c>
      <c r="I28">
        <v>120</v>
      </c>
      <c r="L28">
        <f>(E26+G26+I26+K26)/4</f>
        <v>2531.75</v>
      </c>
      <c r="M28">
        <v>90</v>
      </c>
      <c r="N28">
        <v>120</v>
      </c>
      <c r="P28" s="3504" t="s">
        <v>3235</v>
      </c>
      <c r="Q28" s="3501">
        <f>[5]地价!Q14</f>
        <v>4.7999999999999996E-3</v>
      </c>
      <c r="R28" s="3501">
        <f t="shared" si="1"/>
        <v>1.0047999999999999</v>
      </c>
      <c r="S28" s="3497">
        <f t="shared" si="2"/>
        <v>99.522292993630586</v>
      </c>
      <c r="T28" s="3497"/>
    </row>
    <row r="29" spans="1:20">
      <c r="F29">
        <v>100</v>
      </c>
      <c r="G29">
        <v>99</v>
      </c>
      <c r="H29">
        <v>98</v>
      </c>
      <c r="I29">
        <v>97</v>
      </c>
      <c r="M29">
        <v>97</v>
      </c>
      <c r="N29">
        <v>96</v>
      </c>
      <c r="P29" s="3504" t="s">
        <v>3236</v>
      </c>
      <c r="Q29" s="3501">
        <f>[5]地价!Q15</f>
        <v>1.03E-2</v>
      </c>
      <c r="R29" s="3501">
        <f t="shared" si="1"/>
        <v>1.0103</v>
      </c>
      <c r="S29" s="3497">
        <f t="shared" si="2"/>
        <v>98.980500841334262</v>
      </c>
      <c r="T29" s="3497"/>
    </row>
    <row r="30" spans="1:20">
      <c r="P30" s="3504" t="s">
        <v>3237</v>
      </c>
      <c r="Q30" s="3501">
        <f>[5]地价!Q16</f>
        <v>1.2500000000000001E-2</v>
      </c>
      <c r="R30" s="3501">
        <f t="shared" si="1"/>
        <v>1.0125</v>
      </c>
      <c r="S30" s="3497">
        <f t="shared" si="2"/>
        <v>98.76543209876543</v>
      </c>
      <c r="T30" s="3497"/>
    </row>
    <row r="31" spans="1:20">
      <c r="M31" s="3506">
        <v>1661</v>
      </c>
      <c r="P31" s="3504" t="s">
        <v>3238</v>
      </c>
      <c r="Q31" s="3501">
        <f>[5]地价!Q17</f>
        <v>1.1299999999999999E-2</v>
      </c>
      <c r="R31" s="3501">
        <f t="shared" si="1"/>
        <v>1.0113000000000001</v>
      </c>
      <c r="S31" s="3497">
        <f t="shared" si="2"/>
        <v>98.882626322555112</v>
      </c>
      <c r="T31" s="3497"/>
    </row>
    <row r="32" spans="1:20">
      <c r="P32" s="3493" t="s">
        <v>3239</v>
      </c>
      <c r="Q32" s="3498">
        <f>[5]地价!Q18</f>
        <v>1.29E-2</v>
      </c>
      <c r="R32" s="3498">
        <f t="shared" si="1"/>
        <v>1.0128999999999999</v>
      </c>
      <c r="S32" s="3499">
        <f t="shared" si="2"/>
        <v>98.726429065060728</v>
      </c>
      <c r="T32" s="3497">
        <v>98.7</v>
      </c>
    </row>
    <row r="33" spans="10:20">
      <c r="P33" s="3504" t="s">
        <v>3240</v>
      </c>
      <c r="Q33" s="3501">
        <f>[5]地价!Q19</f>
        <v>1.7399999999999999E-2</v>
      </c>
      <c r="R33" s="3501">
        <f t="shared" si="1"/>
        <v>1.0174000000000001</v>
      </c>
      <c r="S33" s="3497">
        <f t="shared" si="2"/>
        <v>98.289758207194808</v>
      </c>
      <c r="T33" s="3497"/>
    </row>
    <row r="34" spans="10:20">
      <c r="P34" s="3504" t="s">
        <v>3241</v>
      </c>
      <c r="Q34" s="3501">
        <f>[5]地价!Q20</f>
        <v>2.4399999999999998E-2</v>
      </c>
      <c r="R34" s="3501">
        <f t="shared" si="1"/>
        <v>1.0244</v>
      </c>
      <c r="S34" s="3497">
        <f t="shared" si="2"/>
        <v>97.618117922686451</v>
      </c>
      <c r="T34" s="3497"/>
    </row>
    <row r="35" spans="10:20">
      <c r="J35" s="3454"/>
      <c r="P35" s="3504" t="s">
        <v>3242</v>
      </c>
      <c r="Q35" s="3501">
        <f>[5]地价!Q21</f>
        <v>2.0099999999999996E-2</v>
      </c>
      <c r="R35" s="3501">
        <f t="shared" si="1"/>
        <v>1.0201</v>
      </c>
      <c r="S35" s="3497">
        <f t="shared" si="2"/>
        <v>98.029604940692082</v>
      </c>
      <c r="T35" s="3497"/>
    </row>
    <row r="36" spans="10:20">
      <c r="P36" s="3504" t="s">
        <v>3243</v>
      </c>
      <c r="Q36" s="3501">
        <f>[5]地价!Q22</f>
        <v>1.43E-2</v>
      </c>
      <c r="R36" s="3501">
        <f t="shared" si="1"/>
        <v>1.0143</v>
      </c>
      <c r="S36" s="3497">
        <f t="shared" si="2"/>
        <v>98.590160701961949</v>
      </c>
      <c r="T36" s="3497"/>
    </row>
    <row r="37" spans="10:20">
      <c r="P37" s="3493" t="s">
        <v>3244</v>
      </c>
      <c r="Q37" s="3498">
        <f>[5]地价!Q23</f>
        <v>1.72E-2</v>
      </c>
      <c r="R37" s="3498">
        <f t="shared" si="1"/>
        <v>1.0172000000000001</v>
      </c>
      <c r="S37" s="3499">
        <f t="shared" si="2"/>
        <v>98.309083759339359</v>
      </c>
      <c r="T37" s="3497">
        <v>98.3</v>
      </c>
    </row>
    <row r="38" spans="10:20">
      <c r="P38" s="3493" t="s">
        <v>3245</v>
      </c>
      <c r="Q38" s="3498">
        <f>[5]地价!Q24</f>
        <v>1.6799999999999999E-2</v>
      </c>
      <c r="R38" s="3498">
        <f t="shared" si="1"/>
        <v>1.0167999999999999</v>
      </c>
      <c r="S38" s="3499">
        <f t="shared" si="2"/>
        <v>98.347757671125109</v>
      </c>
      <c r="T38" s="3497">
        <v>98.3</v>
      </c>
    </row>
    <row r="39" spans="10:20">
      <c r="P39" s="3493" t="s">
        <v>3246</v>
      </c>
      <c r="Q39" s="3498">
        <f>[5]地价!Q25</f>
        <v>1.5800000000000002E-2</v>
      </c>
      <c r="R39" s="3498">
        <f t="shared" si="1"/>
        <v>1.0158</v>
      </c>
      <c r="S39" s="3499">
        <f t="shared" si="2"/>
        <v>98.444575703878712</v>
      </c>
      <c r="T39" s="3497">
        <v>98.4</v>
      </c>
    </row>
  </sheetData>
  <mergeCells count="42">
    <mergeCell ref="K3:L3"/>
    <mergeCell ref="M3:N3"/>
    <mergeCell ref="A1:J1"/>
    <mergeCell ref="A3:B3"/>
    <mergeCell ref="C3:D3"/>
    <mergeCell ref="E3:F3"/>
    <mergeCell ref="G3:H3"/>
    <mergeCell ref="I3:J3"/>
    <mergeCell ref="M4:N4"/>
    <mergeCell ref="A5:B5"/>
    <mergeCell ref="C5:D5"/>
    <mergeCell ref="E5:F5"/>
    <mergeCell ref="G5:H5"/>
    <mergeCell ref="I5:J5"/>
    <mergeCell ref="K5:L5"/>
    <mergeCell ref="M5:N5"/>
    <mergeCell ref="A4:B4"/>
    <mergeCell ref="C4:D4"/>
    <mergeCell ref="E4:F4"/>
    <mergeCell ref="G4:H4"/>
    <mergeCell ref="I4:J4"/>
    <mergeCell ref="K4:L4"/>
    <mergeCell ref="M25:N25"/>
    <mergeCell ref="A6:B6"/>
    <mergeCell ref="A7:B7"/>
    <mergeCell ref="A8:A13"/>
    <mergeCell ref="A14:A17"/>
    <mergeCell ref="A18:A24"/>
    <mergeCell ref="A25:B25"/>
    <mergeCell ref="C25:D25"/>
    <mergeCell ref="E25:F25"/>
    <mergeCell ref="G25:H25"/>
    <mergeCell ref="I25:J25"/>
    <mergeCell ref="K25:L25"/>
    <mergeCell ref="M26:N26"/>
    <mergeCell ref="A27:J27"/>
    <mergeCell ref="A26:B26"/>
    <mergeCell ref="C26:D26"/>
    <mergeCell ref="E26:F26"/>
    <mergeCell ref="G26:H26"/>
    <mergeCell ref="I26:J26"/>
    <mergeCell ref="K26:L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2434" t="s">
        <v>696</v>
      </c>
      <c r="C1" s="2435" t="s">
        <v>697</v>
      </c>
      <c r="D1" s="2436"/>
      <c r="E1" s="1979"/>
      <c r="F1" s="2491"/>
      <c r="G1" s="1505" t="s">
        <v>698</v>
      </c>
      <c r="H1" s="482"/>
      <c r="I1" s="482"/>
      <c r="J1" s="482"/>
      <c r="K1" s="483"/>
      <c r="L1" s="3172"/>
      <c r="M1" s="3173"/>
      <c r="N1" s="3173"/>
      <c r="O1" s="3173"/>
      <c r="P1" s="1473"/>
      <c r="Q1" s="1473"/>
      <c r="R1" s="1473"/>
      <c r="S1" s="1473"/>
      <c r="T1" s="1473"/>
      <c r="U1" s="1473"/>
      <c r="V1" s="1473"/>
      <c r="W1" s="1473"/>
      <c r="X1" s="1473"/>
      <c r="Y1" s="1473"/>
      <c r="Z1" s="1473"/>
      <c r="AA1" s="1473"/>
      <c r="AB1" s="1473"/>
      <c r="AC1" s="1474"/>
    </row>
    <row r="2" spans="1:29" s="1289" customFormat="1" ht="28.5" customHeight="1">
      <c r="A2" s="417" t="s">
        <v>460</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9" customFormat="1" ht="28.5" customHeight="1" thickBot="1">
      <c r="A3" s="485" t="s">
        <v>496</v>
      </c>
      <c r="B3" s="822" t="e">
        <f>C49</f>
        <v>#DIV/0!</v>
      </c>
      <c r="C3" s="823" t="s">
        <v>699</v>
      </c>
      <c r="D3" s="822">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ht="15">
      <c r="A4" s="488" t="s">
        <v>498</v>
      </c>
      <c r="B4" s="489"/>
      <c r="C4" s="3777" t="s">
        <v>499</v>
      </c>
      <c r="D4" s="3778"/>
      <c r="E4" s="3882" t="s">
        <v>500</v>
      </c>
      <c r="F4" s="3883"/>
      <c r="G4" s="3777" t="s">
        <v>501</v>
      </c>
      <c r="H4" s="3778"/>
      <c r="I4" s="3777" t="s">
        <v>502</v>
      </c>
      <c r="J4" s="3778"/>
      <c r="K4" s="824" t="s">
        <v>503</v>
      </c>
      <c r="L4" s="1985"/>
      <c r="M4" s="1986"/>
      <c r="N4" s="1986"/>
      <c r="O4" s="1986"/>
      <c r="P4" s="3779" t="s">
        <v>504</v>
      </c>
      <c r="Q4" s="3780"/>
      <c r="R4" s="3765" t="s">
        <v>500</v>
      </c>
      <c r="S4" s="3766"/>
      <c r="T4" s="3765" t="s">
        <v>501</v>
      </c>
      <c r="U4" s="3766"/>
      <c r="V4" s="3785" t="s">
        <v>502</v>
      </c>
      <c r="W4" s="3785"/>
      <c r="X4" s="1475"/>
      <c r="Y4" s="3765" t="s">
        <v>504</v>
      </c>
      <c r="Z4" s="3766"/>
      <c r="AA4" s="3760" t="s">
        <v>500</v>
      </c>
      <c r="AB4" s="3760" t="s">
        <v>501</v>
      </c>
      <c r="AC4" s="3760" t="s">
        <v>502</v>
      </c>
    </row>
    <row r="5" spans="1:29" ht="15">
      <c r="A5" s="491"/>
      <c r="B5" s="492"/>
      <c r="C5" s="3788" t="s">
        <v>2865</v>
      </c>
      <c r="D5" s="3789"/>
      <c r="E5" s="3884" t="s">
        <v>2866</v>
      </c>
      <c r="F5" s="3885"/>
      <c r="G5" s="3788" t="s">
        <v>2867</v>
      </c>
      <c r="H5" s="3789"/>
      <c r="I5" s="3788" t="s">
        <v>2868</v>
      </c>
      <c r="J5" s="3789"/>
      <c r="K5" s="825"/>
      <c r="L5" s="1985"/>
      <c r="M5" s="1986"/>
      <c r="N5" s="1986"/>
      <c r="O5" s="1986"/>
      <c r="P5" s="3781"/>
      <c r="Q5" s="3782"/>
      <c r="R5" s="3767"/>
      <c r="S5" s="3768"/>
      <c r="T5" s="3767"/>
      <c r="U5" s="3768"/>
      <c r="V5" s="3785"/>
      <c r="W5" s="3785"/>
      <c r="X5" s="1475"/>
      <c r="Y5" s="3767"/>
      <c r="Z5" s="3768"/>
      <c r="AA5" s="3761"/>
      <c r="AB5" s="3761"/>
      <c r="AC5" s="3761"/>
    </row>
    <row r="6" spans="1:29" ht="15.75" thickBot="1">
      <c r="A6" s="493"/>
      <c r="B6" s="494"/>
      <c r="C6" s="3786" t="s">
        <v>2869</v>
      </c>
      <c r="D6" s="3787"/>
      <c r="E6" s="3886" t="s">
        <v>2869</v>
      </c>
      <c r="F6" s="3887"/>
      <c r="G6" s="3786" t="s">
        <v>2869</v>
      </c>
      <c r="H6" s="3787"/>
      <c r="I6" s="3786" t="s">
        <v>2869</v>
      </c>
      <c r="J6" s="3787"/>
      <c r="K6" s="825" t="s">
        <v>505</v>
      </c>
      <c r="L6" s="1985"/>
      <c r="M6" s="1986"/>
      <c r="N6" s="1986"/>
      <c r="O6" s="1986"/>
      <c r="P6" s="3783"/>
      <c r="Q6" s="3784"/>
      <c r="R6" s="3767"/>
      <c r="S6" s="3768"/>
      <c r="T6" s="3769"/>
      <c r="U6" s="3770"/>
      <c r="V6" s="3785"/>
      <c r="W6" s="3785"/>
      <c r="X6" s="1475"/>
      <c r="Y6" s="3769"/>
      <c r="Z6" s="3770"/>
      <c r="AA6" s="3762"/>
      <c r="AB6" s="3762"/>
      <c r="AC6" s="3762"/>
    </row>
    <row r="7" spans="1:29" s="1185" customFormat="1" ht="15.75" thickBot="1">
      <c r="A7" s="2596"/>
      <c r="B7" s="2603" t="s">
        <v>506</v>
      </c>
      <c r="C7" s="495">
        <f>'数据-取费表'!B2</f>
        <v>44623</v>
      </c>
      <c r="D7" s="496">
        <v>100</v>
      </c>
      <c r="E7" s="497"/>
      <c r="F7" s="498">
        <f>SUMIF(58:58,YEAR(E7)&amp;"-"&amp;MONTH(E7),59:59)</f>
        <v>0</v>
      </c>
      <c r="G7" s="499"/>
      <c r="H7" s="496">
        <f>SUMIF(58:58,YEAR(G7)&amp;"-"&amp;MONTH(G7),59:59)</f>
        <v>0</v>
      </c>
      <c r="I7" s="499"/>
      <c r="J7" s="496">
        <f>SUMIF(58:58,YEAR(I7)&amp;"-"&amp;MONTH(I7),59:59)</f>
        <v>0</v>
      </c>
      <c r="K7" s="826"/>
      <c r="L7" s="1987"/>
      <c r="M7" s="1988"/>
      <c r="N7" s="1988"/>
      <c r="O7" s="1988"/>
      <c r="P7" s="3763" t="s">
        <v>507</v>
      </c>
      <c r="Q7" s="3772"/>
      <c r="R7" s="1476" t="s">
        <v>13</v>
      </c>
      <c r="S7" s="1477">
        <f t="shared" ref="S7:S15" si="0">F7</f>
        <v>0</v>
      </c>
      <c r="T7" s="1476" t="s">
        <v>13</v>
      </c>
      <c r="U7" s="1477">
        <f t="shared" ref="U7:U15" si="1">H7</f>
        <v>0</v>
      </c>
      <c r="V7" s="1476" t="s">
        <v>13</v>
      </c>
      <c r="W7" s="1477">
        <f t="shared" ref="W7:W15"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827"/>
      <c r="F8" s="498">
        <f>SUMIF(61:61,E8,62:62)-SUMIF(61:61,C8,62:62)+100</f>
        <v>0</v>
      </c>
      <c r="G8" s="501"/>
      <c r="H8" s="496">
        <f>SUMIF(61:61,G8,62:62)-SUMIF(61:61,C8,62:62)+100</f>
        <v>0</v>
      </c>
      <c r="I8" s="827"/>
      <c r="J8" s="496">
        <f>SUMIF(61:61,I8,62:62)-SUMIF(61:61,C8,62:62)+100</f>
        <v>0</v>
      </c>
      <c r="K8" s="826"/>
      <c r="L8" s="1987"/>
      <c r="M8" s="1988"/>
      <c r="N8" s="1988"/>
      <c r="O8" s="1988"/>
      <c r="P8" s="3763" t="s">
        <v>510</v>
      </c>
      <c r="Q8" s="3764"/>
      <c r="R8" s="1476" t="s">
        <v>13</v>
      </c>
      <c r="S8" s="1477">
        <f t="shared" si="0"/>
        <v>0</v>
      </c>
      <c r="T8" s="1476" t="s">
        <v>13</v>
      </c>
      <c r="U8" s="1477">
        <f t="shared" si="1"/>
        <v>0</v>
      </c>
      <c r="V8" s="1476" t="s">
        <v>13</v>
      </c>
      <c r="W8" s="1477">
        <f t="shared" si="2"/>
        <v>0</v>
      </c>
      <c r="X8" s="1478"/>
      <c r="Y8" s="3763" t="s">
        <v>510</v>
      </c>
      <c r="Z8" s="3764"/>
      <c r="AA8" s="1479" t="e">
        <f t="shared" ref="AA8:AA46" si="3">D8/F8</f>
        <v>#DIV/0!</v>
      </c>
      <c r="AB8" s="1479" t="e">
        <f t="shared" ref="AB8:AB46" si="4">D8/H8</f>
        <v>#DIV/0!</v>
      </c>
      <c r="AC8" s="1479" t="e">
        <f t="shared" ref="AC8:AC46" si="5">D8/J8</f>
        <v>#DIV/0!</v>
      </c>
    </row>
    <row r="9" spans="1:29" s="1185" customFormat="1" ht="15">
      <c r="A9" s="2598"/>
      <c r="B9" s="2605" t="s">
        <v>2707</v>
      </c>
      <c r="C9" s="828"/>
      <c r="D9" s="252">
        <v>100</v>
      </c>
      <c r="E9" s="829"/>
      <c r="F9" s="830">
        <f>SUMIF(63:63,E9,64:64)-SUMIF(63:63,C9,64:64)+100</f>
        <v>100</v>
      </c>
      <c r="G9" s="831"/>
      <c r="H9" s="252">
        <f>SUMIF(63:63,G9,64:64)-SUMIF(63:63,C9,64:64)+100</f>
        <v>100</v>
      </c>
      <c r="I9" s="831"/>
      <c r="J9" s="252">
        <f>SUMIF(63:63,I9,64:64)-SUMIF(63:63,C9,64:64)+100</f>
        <v>100</v>
      </c>
      <c r="K9" s="826"/>
      <c r="L9" s="1987"/>
      <c r="M9" s="1988"/>
      <c r="N9" s="1988"/>
      <c r="O9" s="1989"/>
      <c r="P9" s="3771" t="s">
        <v>512</v>
      </c>
      <c r="Q9" s="1116" t="str">
        <f t="shared" ref="Q9:Q15" si="6">B9</f>
        <v>用途</v>
      </c>
      <c r="R9" s="1476" t="s">
        <v>8</v>
      </c>
      <c r="S9" s="1477">
        <f t="shared" si="0"/>
        <v>100</v>
      </c>
      <c r="T9" s="1476" t="s">
        <v>8</v>
      </c>
      <c r="U9" s="1477">
        <f t="shared" si="1"/>
        <v>100</v>
      </c>
      <c r="V9" s="1476" t="s">
        <v>8</v>
      </c>
      <c r="W9" s="1477">
        <f t="shared" si="2"/>
        <v>100</v>
      </c>
      <c r="X9" s="1478"/>
      <c r="Y9" s="3712"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3"/>
      <c r="F10" s="834">
        <f>SUMIF(65:65,E10,66:66)-SUMIF(65:65,C10,66:66)+100</f>
        <v>100</v>
      </c>
      <c r="G10" s="832"/>
      <c r="H10" s="253">
        <f>SUMIF(65:65,G10,66:66)-SUMIF(65:65,C10,66:66)+100</f>
        <v>100</v>
      </c>
      <c r="I10" s="832"/>
      <c r="J10" s="253">
        <f>SUMIF(65:65,I10,66:66)-SUMIF(65:65,C10,66:66)+100</f>
        <v>100</v>
      </c>
      <c r="K10" s="835"/>
      <c r="L10" s="1990"/>
      <c r="M10" s="2029"/>
      <c r="N10" s="2029"/>
      <c r="O10" s="1991"/>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0"/>
      <c r="B11" s="2604" t="s">
        <v>2709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2"/>
      <c r="M11" s="1986"/>
      <c r="N11" s="1986"/>
      <c r="O11" s="1993"/>
      <c r="P11" s="3771"/>
      <c r="Q11" s="1116" t="str">
        <f t="shared" si="6"/>
        <v>容积率</v>
      </c>
      <c r="R11" s="1476" t="s">
        <v>11</v>
      </c>
      <c r="S11" s="1477" t="e">
        <f t="shared" si="0"/>
        <v>#N/A</v>
      </c>
      <c r="T11" s="1476" t="s">
        <v>11</v>
      </c>
      <c r="U11" s="1477" t="e">
        <f t="shared" si="1"/>
        <v>#N/A</v>
      </c>
      <c r="V11" s="1476" t="s">
        <v>11</v>
      </c>
      <c r="W11" s="1477" t="e">
        <f t="shared" si="2"/>
        <v>#N/A</v>
      </c>
      <c r="X11" s="1478"/>
      <c r="Y11" s="3712"/>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04"/>
      <c r="F12" s="834">
        <f>SUMIF(70:70,E12,71:71)-SUMIF(70:70,C12,71:71)+100</f>
        <v>100</v>
      </c>
      <c r="G12" s="504"/>
      <c r="H12" s="253">
        <f>SUMIF(70:70,G12,71:71)-SUMIF(70:70,C12,71:71)+100</f>
        <v>100</v>
      </c>
      <c r="I12" s="504"/>
      <c r="J12" s="253">
        <f>SUMIF(70:70,I12,71:71)-SUMIF(70:70,C12,71:71)+100</f>
        <v>100</v>
      </c>
      <c r="K12" s="836"/>
      <c r="L12" s="1987"/>
      <c r="M12" s="1988"/>
      <c r="N12" s="1988"/>
      <c r="O12" s="1989"/>
      <c r="P12" s="3771"/>
      <c r="Q12" s="1116">
        <f t="shared" si="6"/>
        <v>111</v>
      </c>
      <c r="R12" s="1476" t="s">
        <v>11</v>
      </c>
      <c r="S12" s="1477">
        <f t="shared" si="0"/>
        <v>100</v>
      </c>
      <c r="T12" s="1476" t="s">
        <v>11</v>
      </c>
      <c r="U12" s="1477">
        <f t="shared" si="1"/>
        <v>100</v>
      </c>
      <c r="V12" s="1476" t="s">
        <v>11</v>
      </c>
      <c r="W12" s="1477">
        <f t="shared" si="2"/>
        <v>100</v>
      </c>
      <c r="X12" s="1478"/>
      <c r="Y12" s="3712"/>
      <c r="Z12" s="1115">
        <f t="shared" si="7"/>
        <v>111</v>
      </c>
      <c r="AA12" s="1479">
        <f>D12/F12</f>
        <v>1</v>
      </c>
      <c r="AB12" s="1479">
        <f>D12/H12</f>
        <v>1</v>
      </c>
      <c r="AC12" s="1479">
        <f>D12/J12</f>
        <v>1</v>
      </c>
    </row>
    <row r="13" spans="1:29" ht="15">
      <c r="A13" s="2601"/>
      <c r="B13" s="2607">
        <v>111</v>
      </c>
      <c r="C13" s="515"/>
      <c r="D13" s="516">
        <v>100</v>
      </c>
      <c r="E13" s="515"/>
      <c r="F13" s="834">
        <f>SUMIF(72:72,E13,73:73)-SUMIF(72:72,C13,73:73)+100</f>
        <v>100</v>
      </c>
      <c r="G13" s="515"/>
      <c r="H13" s="516">
        <f>SUMIF(72:72,G13,73:73)-SUMIF(72:72,C13,73:73)+100</f>
        <v>100</v>
      </c>
      <c r="I13" s="515"/>
      <c r="J13" s="516">
        <f>SUMIF(72:72,I13,73:73)-SUMIF(72:72,C13,73:73)+100</f>
        <v>100</v>
      </c>
      <c r="K13" s="836"/>
      <c r="L13" s="1994"/>
      <c r="M13" s="1986"/>
      <c r="N13" s="1986"/>
      <c r="O13" s="1993"/>
      <c r="P13" s="3771"/>
      <c r="Q13" s="1116">
        <f t="shared" si="6"/>
        <v>111</v>
      </c>
      <c r="R13" s="1476" t="s">
        <v>11</v>
      </c>
      <c r="S13" s="1477">
        <f t="shared" si="0"/>
        <v>100</v>
      </c>
      <c r="T13" s="1476" t="s">
        <v>11</v>
      </c>
      <c r="U13" s="1477">
        <f t="shared" si="1"/>
        <v>100</v>
      </c>
      <c r="V13" s="1476" t="s">
        <v>11</v>
      </c>
      <c r="W13" s="1477">
        <f t="shared" si="2"/>
        <v>100</v>
      </c>
      <c r="X13" s="1478"/>
      <c r="Y13" s="3712"/>
      <c r="Z13" s="1115">
        <f t="shared" si="7"/>
        <v>111</v>
      </c>
      <c r="AA13" s="1479">
        <f t="shared" si="3"/>
        <v>1</v>
      </c>
      <c r="AB13" s="1479">
        <f t="shared" si="4"/>
        <v>1</v>
      </c>
      <c r="AC13" s="1479">
        <f t="shared" si="5"/>
        <v>1</v>
      </c>
    </row>
    <row r="14" spans="1:29" ht="15.75" thickBot="1">
      <c r="A14" s="2602"/>
      <c r="B14" s="2608">
        <v>111</v>
      </c>
      <c r="C14" s="521"/>
      <c r="D14" s="522">
        <v>100</v>
      </c>
      <c r="E14" s="521"/>
      <c r="F14" s="837">
        <f>SUMIF(74:74,E14,75:75)-SUMIF(74:74,C14,75:75)+100</f>
        <v>100</v>
      </c>
      <c r="G14" s="521"/>
      <c r="H14" s="522">
        <f>SUMIF(74:74,G14,75:75)-SUMIF(74:74,C14,75:75)+100</f>
        <v>100</v>
      </c>
      <c r="I14" s="521"/>
      <c r="J14" s="522">
        <f>SUMIF(74:74,I14,75:75)-SUMIF(74:74,C14,75:75)+100</f>
        <v>100</v>
      </c>
      <c r="K14" s="836"/>
      <c r="L14" s="1994"/>
      <c r="M14" s="1986"/>
      <c r="N14" s="1986"/>
      <c r="O14" s="1993"/>
      <c r="P14" s="3771"/>
      <c r="Q14" s="1116">
        <f t="shared" si="6"/>
        <v>111</v>
      </c>
      <c r="R14" s="1476" t="s">
        <v>11</v>
      </c>
      <c r="S14" s="1477">
        <f t="shared" si="0"/>
        <v>100</v>
      </c>
      <c r="T14" s="1476" t="s">
        <v>11</v>
      </c>
      <c r="U14" s="1477">
        <f t="shared" si="1"/>
        <v>100</v>
      </c>
      <c r="V14" s="1476" t="s">
        <v>11</v>
      </c>
      <c r="W14" s="1477">
        <f t="shared" si="2"/>
        <v>100</v>
      </c>
      <c r="X14" s="1478"/>
      <c r="Y14" s="3712"/>
      <c r="Z14" s="1115">
        <f t="shared" si="7"/>
        <v>111</v>
      </c>
      <c r="AA14" s="1479">
        <f t="shared" si="3"/>
        <v>1</v>
      </c>
      <c r="AB14" s="1479">
        <f t="shared" si="4"/>
        <v>1</v>
      </c>
      <c r="AC14" s="1479">
        <f t="shared" si="5"/>
        <v>1</v>
      </c>
    </row>
    <row r="15" spans="1:29" ht="99.75">
      <c r="A15" s="2594" t="s">
        <v>2705</v>
      </c>
      <c r="B15" s="164" t="s">
        <v>294</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4"/>
      <c r="M15" s="1986"/>
      <c r="N15" s="1986"/>
      <c r="O15" s="1993"/>
      <c r="P15" s="3773" t="s">
        <v>517</v>
      </c>
      <c r="Q15" s="1480" t="str">
        <f t="shared" si="6"/>
        <v>居住社区成熟度</v>
      </c>
      <c r="R15" s="1481" t="s">
        <v>11</v>
      </c>
      <c r="S15" s="1482">
        <f t="shared" si="0"/>
        <v>100</v>
      </c>
      <c r="T15" s="1481" t="s">
        <v>11</v>
      </c>
      <c r="U15" s="1482">
        <f t="shared" si="1"/>
        <v>100</v>
      </c>
      <c r="V15" s="1481" t="s">
        <v>11</v>
      </c>
      <c r="W15" s="1482">
        <f t="shared" si="2"/>
        <v>100</v>
      </c>
      <c r="X15" s="1475"/>
      <c r="Y15" s="3773" t="s">
        <v>517</v>
      </c>
      <c r="Z15" s="1483" t="str">
        <f t="shared" si="7"/>
        <v>居住社区成熟度</v>
      </c>
      <c r="AA15" s="1484">
        <f t="shared" si="3"/>
        <v>1</v>
      </c>
      <c r="AB15" s="1484">
        <f t="shared" si="4"/>
        <v>1</v>
      </c>
      <c r="AC15" s="1484">
        <f t="shared" si="5"/>
        <v>1</v>
      </c>
    </row>
    <row r="16" spans="1:29" ht="15">
      <c r="A16" s="508"/>
      <c r="B16" s="840"/>
      <c r="C16" s="552"/>
      <c r="D16" s="531"/>
      <c r="E16" s="532"/>
      <c r="F16" s="533"/>
      <c r="G16" s="534"/>
      <c r="H16" s="535"/>
      <c r="I16" s="532"/>
      <c r="J16" s="531"/>
      <c r="K16" s="841"/>
      <c r="L16" s="1994"/>
      <c r="M16" s="1986"/>
      <c r="N16" s="1986"/>
      <c r="O16" s="1993"/>
      <c r="P16" s="3774"/>
      <c r="Q16" s="1480"/>
      <c r="R16" s="1481"/>
      <c r="S16" s="1482"/>
      <c r="T16" s="1481"/>
      <c r="U16" s="1482"/>
      <c r="V16" s="1481"/>
      <c r="W16" s="1482"/>
      <c r="X16" s="1475"/>
      <c r="Y16" s="3774"/>
      <c r="Z16" s="1483"/>
      <c r="AA16" s="1484">
        <v>1</v>
      </c>
      <c r="AB16" s="1484">
        <v>1</v>
      </c>
      <c r="AC16" s="1484">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4"/>
      <c r="M17" s="1986"/>
      <c r="N17" s="1986"/>
      <c r="O17" s="1993"/>
      <c r="P17" s="3774"/>
      <c r="Q17" s="1480" t="str">
        <f>B17</f>
        <v>交通便捷度</v>
      </c>
      <c r="R17" s="1481" t="s">
        <v>11</v>
      </c>
      <c r="S17" s="1482">
        <f>F17</f>
        <v>100</v>
      </c>
      <c r="T17" s="1481" t="s">
        <v>11</v>
      </c>
      <c r="U17" s="1482">
        <f>H17</f>
        <v>100</v>
      </c>
      <c r="V17" s="1481" t="s">
        <v>11</v>
      </c>
      <c r="W17" s="1482">
        <f>J17</f>
        <v>100</v>
      </c>
      <c r="X17" s="1475"/>
      <c r="Y17" s="3774"/>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41"/>
      <c r="L18" s="1994"/>
      <c r="M18" s="1986"/>
      <c r="N18" s="1986"/>
      <c r="O18" s="1993"/>
      <c r="P18" s="3774"/>
      <c r="Q18" s="1480"/>
      <c r="R18" s="1481"/>
      <c r="S18" s="1482"/>
      <c r="T18" s="1481"/>
      <c r="U18" s="1482"/>
      <c r="V18" s="1481"/>
      <c r="W18" s="1482"/>
      <c r="X18" s="1475"/>
      <c r="Y18" s="3774"/>
      <c r="Z18" s="1483"/>
      <c r="AA18" s="1484">
        <v>1</v>
      </c>
      <c r="AB18" s="1484">
        <v>1</v>
      </c>
      <c r="AC18" s="1484">
        <v>1</v>
      </c>
    </row>
    <row r="19" spans="1:29" ht="42.75">
      <c r="A19" s="508"/>
      <c r="B19" s="2411"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4"/>
      <c r="M19" s="1986"/>
      <c r="N19" s="1986"/>
      <c r="O19" s="1993"/>
      <c r="P19" s="3774"/>
      <c r="Q19" s="1480" t="str">
        <f>B19</f>
        <v>公共配套设施</v>
      </c>
      <c r="R19" s="1481" t="s">
        <v>11</v>
      </c>
      <c r="S19" s="1482">
        <f>F19</f>
        <v>100</v>
      </c>
      <c r="T19" s="1481" t="s">
        <v>11</v>
      </c>
      <c r="U19" s="1482">
        <f>H19</f>
        <v>100</v>
      </c>
      <c r="V19" s="1481" t="s">
        <v>11</v>
      </c>
      <c r="W19" s="1482">
        <f>J19</f>
        <v>100</v>
      </c>
      <c r="X19" s="1475"/>
      <c r="Y19" s="3774"/>
      <c r="Z19" s="1483" t="str">
        <f>Q19</f>
        <v>公共配套设施</v>
      </c>
      <c r="AA19" s="1484">
        <f t="shared" si="3"/>
        <v>1</v>
      </c>
      <c r="AB19" s="1484">
        <f t="shared" si="4"/>
        <v>1</v>
      </c>
      <c r="AC19" s="1484">
        <f t="shared" si="5"/>
        <v>1</v>
      </c>
    </row>
    <row r="20" spans="1:29" ht="15">
      <c r="A20" s="508"/>
      <c r="B20" s="571"/>
      <c r="C20" s="552"/>
      <c r="D20" s="531"/>
      <c r="E20" s="532"/>
      <c r="F20" s="533"/>
      <c r="G20" s="534"/>
      <c r="H20" s="531"/>
      <c r="I20" s="532"/>
      <c r="J20" s="531"/>
      <c r="K20" s="841"/>
      <c r="L20" s="1994"/>
      <c r="M20" s="1986"/>
      <c r="N20" s="1986"/>
      <c r="O20" s="1993"/>
      <c r="P20" s="3774"/>
      <c r="Q20" s="1480"/>
      <c r="R20" s="1481"/>
      <c r="S20" s="1482"/>
      <c r="T20" s="1481"/>
      <c r="U20" s="1482"/>
      <c r="V20" s="1481"/>
      <c r="W20" s="1482"/>
      <c r="X20" s="1475"/>
      <c r="Y20" s="3774"/>
      <c r="Z20" s="1483"/>
      <c r="AA20" s="1484">
        <v>1</v>
      </c>
      <c r="AB20" s="1484">
        <v>1</v>
      </c>
      <c r="AC20" s="1484">
        <v>1</v>
      </c>
    </row>
    <row r="21" spans="1:29" ht="28.5">
      <c r="A21" s="508"/>
      <c r="B21" s="2404"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4"/>
      <c r="M21" s="1986"/>
      <c r="N21" s="1986"/>
      <c r="O21" s="1993"/>
      <c r="P21" s="3774"/>
      <c r="Q21" s="2396" t="str">
        <f>B21</f>
        <v>基础设施水平</v>
      </c>
      <c r="R21" s="1481" t="s">
        <v>11</v>
      </c>
      <c r="S21" s="1482">
        <f>F21</f>
        <v>100</v>
      </c>
      <c r="T21" s="1481" t="s">
        <v>11</v>
      </c>
      <c r="U21" s="1482">
        <f>H21</f>
        <v>100</v>
      </c>
      <c r="V21" s="1481" t="s">
        <v>11</v>
      </c>
      <c r="W21" s="1482">
        <f>J21</f>
        <v>100</v>
      </c>
      <c r="X21" s="2398"/>
      <c r="Y21" s="3774"/>
      <c r="Z21" s="2397" t="str">
        <f>Q21</f>
        <v>基础设施水平</v>
      </c>
      <c r="AA21" s="1484">
        <f t="shared" ref="AA21" si="8">D21/F21</f>
        <v>1</v>
      </c>
      <c r="AB21" s="1484">
        <f t="shared" ref="AB21" si="9">D21/H21</f>
        <v>1</v>
      </c>
      <c r="AC21" s="1484">
        <f t="shared" ref="AC21" si="10">D21/J21</f>
        <v>1</v>
      </c>
    </row>
    <row r="22" spans="1:29" ht="15">
      <c r="A22" s="508"/>
      <c r="B22" s="893"/>
      <c r="C22" s="844"/>
      <c r="D22" s="531"/>
      <c r="E22" s="552"/>
      <c r="F22" s="533"/>
      <c r="G22" s="552"/>
      <c r="H22" s="531"/>
      <c r="I22" s="552"/>
      <c r="J22" s="531"/>
      <c r="K22" s="2410"/>
      <c r="L22" s="1994"/>
      <c r="M22" s="1986"/>
      <c r="N22" s="1986"/>
      <c r="O22" s="1993"/>
      <c r="P22" s="3774"/>
      <c r="Q22" s="2396"/>
      <c r="R22" s="1481"/>
      <c r="S22" s="1482"/>
      <c r="T22" s="1481"/>
      <c r="U22" s="1482"/>
      <c r="V22" s="1481"/>
      <c r="W22" s="1482"/>
      <c r="X22" s="2398"/>
      <c r="Y22" s="3774"/>
      <c r="Z22" s="2397"/>
      <c r="AA22" s="1484">
        <v>1</v>
      </c>
      <c r="AB22" s="1484">
        <v>1</v>
      </c>
      <c r="AC22" s="1484">
        <v>1</v>
      </c>
    </row>
    <row r="23" spans="1:29" ht="57">
      <c r="A23" s="508"/>
      <c r="B23" s="842" t="s">
        <v>296</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4"/>
      <c r="M23" s="1986"/>
      <c r="N23" s="1986"/>
      <c r="O23" s="1993"/>
      <c r="P23" s="3774"/>
      <c r="Q23" s="1480" t="str">
        <f>B23</f>
        <v>自然及人文环境</v>
      </c>
      <c r="R23" s="1481" t="s">
        <v>11</v>
      </c>
      <c r="S23" s="1482">
        <f>F23</f>
        <v>100</v>
      </c>
      <c r="T23" s="1481" t="s">
        <v>11</v>
      </c>
      <c r="U23" s="1482">
        <f>H23</f>
        <v>100</v>
      </c>
      <c r="V23" s="1481" t="s">
        <v>11</v>
      </c>
      <c r="W23" s="1482">
        <f>J23</f>
        <v>100</v>
      </c>
      <c r="X23" s="1475"/>
      <c r="Y23" s="3774"/>
      <c r="Z23" s="1483" t="str">
        <f>Q23</f>
        <v>自然及人文环境</v>
      </c>
      <c r="AA23" s="1484">
        <f t="shared" si="3"/>
        <v>1</v>
      </c>
      <c r="AB23" s="1484">
        <f t="shared" si="4"/>
        <v>1</v>
      </c>
      <c r="AC23" s="1484">
        <f t="shared" si="5"/>
        <v>1</v>
      </c>
    </row>
    <row r="24" spans="1:29" ht="15">
      <c r="A24" s="508"/>
      <c r="B24" s="571"/>
      <c r="C24" s="552"/>
      <c r="D24" s="531"/>
      <c r="E24" s="532"/>
      <c r="F24" s="533"/>
      <c r="G24" s="534"/>
      <c r="H24" s="531"/>
      <c r="I24" s="532"/>
      <c r="J24" s="531"/>
      <c r="K24" s="841"/>
      <c r="L24" s="1994"/>
      <c r="M24" s="1986"/>
      <c r="N24" s="1986"/>
      <c r="O24" s="1993"/>
      <c r="P24" s="3774"/>
      <c r="Q24" s="1480"/>
      <c r="R24" s="1481"/>
      <c r="S24" s="1482"/>
      <c r="T24" s="1481"/>
      <c r="U24" s="1482"/>
      <c r="V24" s="1481"/>
      <c r="W24" s="1482"/>
      <c r="X24" s="1475"/>
      <c r="Y24" s="3774"/>
      <c r="Z24" s="1483"/>
      <c r="AA24" s="1484">
        <v>1</v>
      </c>
      <c r="AB24" s="1484">
        <v>1</v>
      </c>
      <c r="AC24" s="1484">
        <v>1</v>
      </c>
    </row>
    <row r="25" spans="1:29" ht="15">
      <c r="A25" s="508"/>
      <c r="B25" s="1781" t="s">
        <v>2221</v>
      </c>
      <c r="C25" s="550"/>
      <c r="D25" s="516">
        <v>100</v>
      </c>
      <c r="E25" s="845"/>
      <c r="F25" s="551">
        <f>SUMIF(86:86,E25,87:87)-SUMIF(86:86,C25,87:87)+100</f>
        <v>100</v>
      </c>
      <c r="G25" s="575"/>
      <c r="H25" s="516">
        <f>SUMIF(86:86,G25,87:87)-SUMIF(86:86,C25,87:87)+100</f>
        <v>100</v>
      </c>
      <c r="I25" s="845"/>
      <c r="J25" s="516">
        <f>SUMIF(86:86,I25,87:87)-SUMIF(86:86,C25,87:87)+100</f>
        <v>100</v>
      </c>
      <c r="K25" s="835"/>
      <c r="L25" s="1994"/>
      <c r="M25" s="1986"/>
      <c r="N25" s="1986"/>
      <c r="O25" s="1993"/>
      <c r="P25" s="3774"/>
      <c r="Q25" s="1480" t="str">
        <f t="shared" ref="Q25:Q46" si="11">B25</f>
        <v>楼层-1</v>
      </c>
      <c r="R25" s="1481" t="s">
        <v>11</v>
      </c>
      <c r="S25" s="1482">
        <f>F25</f>
        <v>100</v>
      </c>
      <c r="T25" s="1481" t="s">
        <v>11</v>
      </c>
      <c r="U25" s="1482">
        <f>H25</f>
        <v>100</v>
      </c>
      <c r="V25" s="1481" t="s">
        <v>11</v>
      </c>
      <c r="W25" s="1482">
        <f>J25</f>
        <v>100</v>
      </c>
      <c r="X25" s="1475"/>
      <c r="Y25" s="3774"/>
      <c r="Z25" s="1483" t="str">
        <f>Q25</f>
        <v>楼层-1</v>
      </c>
      <c r="AA25" s="1484">
        <f t="shared" si="3"/>
        <v>1</v>
      </c>
      <c r="AB25" s="1484">
        <f t="shared" si="4"/>
        <v>1</v>
      </c>
      <c r="AC25" s="1484">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94"/>
      <c r="M26" s="1986"/>
      <c r="N26" s="1986"/>
      <c r="O26" s="1993"/>
      <c r="P26" s="3774"/>
      <c r="Q26" s="1480" t="str">
        <f t="shared" si="11"/>
        <v>朝向</v>
      </c>
      <c r="R26" s="1481" t="s">
        <v>11</v>
      </c>
      <c r="S26" s="1482">
        <f>F26</f>
        <v>100</v>
      </c>
      <c r="T26" s="1481" t="s">
        <v>11</v>
      </c>
      <c r="U26" s="1482">
        <f>H26</f>
        <v>100</v>
      </c>
      <c r="V26" s="1481" t="s">
        <v>11</v>
      </c>
      <c r="W26" s="1482">
        <f>J26</f>
        <v>100</v>
      </c>
      <c r="X26" s="1475"/>
      <c r="Y26" s="3774"/>
      <c r="Z26" s="1483" t="str">
        <f>Q26</f>
        <v>朝向</v>
      </c>
      <c r="AA26" s="1484">
        <f t="shared" si="3"/>
        <v>1</v>
      </c>
      <c r="AB26" s="1484">
        <f t="shared" si="4"/>
        <v>1</v>
      </c>
      <c r="AC26" s="1484">
        <f t="shared" si="5"/>
        <v>1</v>
      </c>
    </row>
    <row r="27" spans="1:29" s="1185"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87"/>
      <c r="M27" s="1988"/>
      <c r="N27" s="1988"/>
      <c r="O27" s="1989"/>
      <c r="P27" s="3774"/>
      <c r="Q27" s="1116" t="str">
        <f t="shared" si="11"/>
        <v>道路级别</v>
      </c>
      <c r="R27" s="1476" t="s">
        <v>11</v>
      </c>
      <c r="S27" s="1477">
        <f>F27</f>
        <v>100</v>
      </c>
      <c r="T27" s="1476" t="s">
        <v>11</v>
      </c>
      <c r="U27" s="1477">
        <f>H27</f>
        <v>100</v>
      </c>
      <c r="V27" s="1476" t="s">
        <v>11</v>
      </c>
      <c r="W27" s="1477">
        <f>J27</f>
        <v>100</v>
      </c>
      <c r="X27" s="1478"/>
      <c r="Y27" s="3774"/>
      <c r="Z27" s="1115" t="str">
        <f>Q27</f>
        <v>道路级别</v>
      </c>
      <c r="AA27" s="1484">
        <f>D27/F27</f>
        <v>1</v>
      </c>
      <c r="AB27" s="1484">
        <f>D27/H27</f>
        <v>1</v>
      </c>
      <c r="AC27" s="1484">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4"/>
      <c r="M28" s="1986"/>
      <c r="N28" s="1986"/>
      <c r="O28" s="1993"/>
      <c r="P28" s="3774"/>
      <c r="Q28" s="1480">
        <f t="shared" si="11"/>
        <v>111</v>
      </c>
      <c r="R28" s="1481" t="s">
        <v>11</v>
      </c>
      <c r="S28" s="1482">
        <f t="shared" ref="S28:S46" si="12">F28</f>
        <v>100</v>
      </c>
      <c r="T28" s="1481" t="s">
        <v>11</v>
      </c>
      <c r="U28" s="1482">
        <f t="shared" ref="U28:U46" si="13">H28</f>
        <v>100</v>
      </c>
      <c r="V28" s="1481" t="s">
        <v>11</v>
      </c>
      <c r="W28" s="1482">
        <f t="shared" ref="W28:W46" si="14">J28</f>
        <v>100</v>
      </c>
      <c r="X28" s="1475"/>
      <c r="Y28" s="3774"/>
      <c r="Z28" s="1483">
        <f t="shared" ref="Z28:Z46" si="15">Q28</f>
        <v>111</v>
      </c>
      <c r="AA28" s="1484">
        <f t="shared" si="3"/>
        <v>1</v>
      </c>
      <c r="AB28" s="1484">
        <f t="shared" si="4"/>
        <v>1</v>
      </c>
      <c r="AC28" s="148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4"/>
      <c r="M29" s="1986"/>
      <c r="N29" s="1986"/>
      <c r="O29" s="1993"/>
      <c r="P29" s="3774"/>
      <c r="Q29" s="1480">
        <f t="shared" si="11"/>
        <v>111</v>
      </c>
      <c r="R29" s="1481" t="s">
        <v>11</v>
      </c>
      <c r="S29" s="1482">
        <f t="shared" si="12"/>
        <v>100</v>
      </c>
      <c r="T29" s="1481" t="s">
        <v>11</v>
      </c>
      <c r="U29" s="1482">
        <f t="shared" si="13"/>
        <v>100</v>
      </c>
      <c r="V29" s="1481" t="s">
        <v>11</v>
      </c>
      <c r="W29" s="1482">
        <f t="shared" si="14"/>
        <v>100</v>
      </c>
      <c r="X29" s="1475"/>
      <c r="Y29" s="3774"/>
      <c r="Z29" s="1483">
        <f t="shared" si="15"/>
        <v>111</v>
      </c>
      <c r="AA29" s="1484">
        <f t="shared" si="3"/>
        <v>1</v>
      </c>
      <c r="AB29" s="1484">
        <f t="shared" si="4"/>
        <v>1</v>
      </c>
      <c r="AC29" s="148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4"/>
      <c r="M30" s="1986"/>
      <c r="N30" s="1986"/>
      <c r="O30" s="1993"/>
      <c r="P30" s="3774"/>
      <c r="Q30" s="1480">
        <f t="shared" si="11"/>
        <v>111</v>
      </c>
      <c r="R30" s="1481" t="s">
        <v>11</v>
      </c>
      <c r="S30" s="1482">
        <f t="shared" si="12"/>
        <v>100</v>
      </c>
      <c r="T30" s="1481" t="s">
        <v>11</v>
      </c>
      <c r="U30" s="1482">
        <f t="shared" si="13"/>
        <v>100</v>
      </c>
      <c r="V30" s="1481" t="s">
        <v>11</v>
      </c>
      <c r="W30" s="1482">
        <f t="shared" si="14"/>
        <v>100</v>
      </c>
      <c r="X30" s="1475"/>
      <c r="Y30" s="3774"/>
      <c r="Z30" s="1483">
        <f t="shared" si="15"/>
        <v>111</v>
      </c>
      <c r="AA30" s="1484">
        <f t="shared" si="3"/>
        <v>1</v>
      </c>
      <c r="AB30" s="1484">
        <f t="shared" si="4"/>
        <v>1</v>
      </c>
      <c r="AC30" s="1484">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4"/>
      <c r="M31" s="1986"/>
      <c r="N31" s="1986"/>
      <c r="O31" s="1993"/>
      <c r="P31" s="3774"/>
      <c r="Q31" s="1480">
        <f t="shared" si="11"/>
        <v>111</v>
      </c>
      <c r="R31" s="1481" t="s">
        <v>11</v>
      </c>
      <c r="S31" s="1482">
        <f t="shared" si="12"/>
        <v>100</v>
      </c>
      <c r="T31" s="1481" t="s">
        <v>11</v>
      </c>
      <c r="U31" s="1482">
        <f t="shared" si="13"/>
        <v>100</v>
      </c>
      <c r="V31" s="1481" t="s">
        <v>11</v>
      </c>
      <c r="W31" s="1482">
        <f t="shared" si="14"/>
        <v>100</v>
      </c>
      <c r="X31" s="1475"/>
      <c r="Y31" s="3774"/>
      <c r="Z31" s="1483">
        <f t="shared" si="15"/>
        <v>111</v>
      </c>
      <c r="AA31" s="1484">
        <f t="shared" si="3"/>
        <v>1</v>
      </c>
      <c r="AB31" s="1484">
        <f t="shared" si="4"/>
        <v>1</v>
      </c>
      <c r="AC31" s="1484">
        <f t="shared" si="5"/>
        <v>1</v>
      </c>
    </row>
    <row r="32" spans="1:29" ht="15">
      <c r="A32" s="2591" t="s">
        <v>2706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4"/>
      <c r="M32" s="1986"/>
      <c r="N32" s="1986"/>
      <c r="O32" s="1993"/>
      <c r="P32" s="3775" t="s">
        <v>527</v>
      </c>
      <c r="Q32" s="1480" t="str">
        <f t="shared" si="11"/>
        <v>建筑类型</v>
      </c>
      <c r="R32" s="1481" t="s">
        <v>11</v>
      </c>
      <c r="S32" s="1482">
        <f t="shared" si="12"/>
        <v>100</v>
      </c>
      <c r="T32" s="1481" t="s">
        <v>11</v>
      </c>
      <c r="U32" s="1482">
        <f t="shared" si="13"/>
        <v>100</v>
      </c>
      <c r="V32" s="1481" t="s">
        <v>11</v>
      </c>
      <c r="W32" s="1482">
        <f t="shared" si="14"/>
        <v>100</v>
      </c>
      <c r="X32" s="1475"/>
      <c r="Y32" s="3776" t="s">
        <v>527</v>
      </c>
      <c r="Z32" s="1483" t="str">
        <f t="shared" si="15"/>
        <v>建筑类型</v>
      </c>
      <c r="AA32" s="1484">
        <f t="shared" si="3"/>
        <v>1</v>
      </c>
      <c r="AB32" s="1484">
        <f t="shared" si="4"/>
        <v>1</v>
      </c>
      <c r="AC32" s="1484">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2"/>
      <c r="M33" s="2022"/>
      <c r="N33" s="2022"/>
      <c r="O33" s="1995"/>
      <c r="P33" s="3776"/>
      <c r="Q33" s="1509" t="str">
        <f t="shared" si="11"/>
        <v>项目建筑规模</v>
      </c>
      <c r="R33" s="1485" t="s">
        <v>11</v>
      </c>
      <c r="S33" s="1486" t="e">
        <f t="shared" si="12"/>
        <v>#N/A</v>
      </c>
      <c r="T33" s="1485" t="s">
        <v>11</v>
      </c>
      <c r="U33" s="1486" t="e">
        <f t="shared" si="13"/>
        <v>#N/A</v>
      </c>
      <c r="V33" s="1485" t="s">
        <v>11</v>
      </c>
      <c r="W33" s="1486" t="e">
        <f t="shared" si="14"/>
        <v>#N/A</v>
      </c>
      <c r="X33" s="1487"/>
      <c r="Y33" s="3776"/>
      <c r="Z33" s="1488" t="str">
        <f t="shared" si="15"/>
        <v>项目建筑规模</v>
      </c>
      <c r="AA33" s="1484" t="e">
        <f t="shared" si="3"/>
        <v>#N/A</v>
      </c>
      <c r="AB33" s="1484" t="e">
        <f t="shared" si="4"/>
        <v>#N/A</v>
      </c>
      <c r="AC33" s="1484"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4"/>
      <c r="M34" s="1986"/>
      <c r="N34" s="1986"/>
      <c r="O34" s="1993"/>
      <c r="P34" s="3776"/>
      <c r="Q34" s="1480" t="str">
        <f t="shared" si="11"/>
        <v>建筑结构</v>
      </c>
      <c r="R34" s="1481" t="s">
        <v>11</v>
      </c>
      <c r="S34" s="1482">
        <f t="shared" si="12"/>
        <v>100</v>
      </c>
      <c r="T34" s="1481" t="s">
        <v>11</v>
      </c>
      <c r="U34" s="1482">
        <f t="shared" si="13"/>
        <v>100</v>
      </c>
      <c r="V34" s="1481" t="s">
        <v>11</v>
      </c>
      <c r="W34" s="1482">
        <f t="shared" si="14"/>
        <v>100</v>
      </c>
      <c r="X34" s="1475"/>
      <c r="Y34" s="3776"/>
      <c r="Z34" s="1483" t="str">
        <f t="shared" si="15"/>
        <v>建筑结构</v>
      </c>
      <c r="AA34" s="1484">
        <f t="shared" si="3"/>
        <v>1</v>
      </c>
      <c r="AB34" s="1484">
        <f t="shared" si="4"/>
        <v>1</v>
      </c>
      <c r="AC34" s="1484">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4"/>
      <c r="M35" s="1986"/>
      <c r="N35" s="1986"/>
      <c r="O35" s="1993"/>
      <c r="P35" s="3776"/>
      <c r="Q35" s="1480" t="str">
        <f t="shared" si="11"/>
        <v>建筑品质</v>
      </c>
      <c r="R35" s="1481" t="s">
        <v>11</v>
      </c>
      <c r="S35" s="1482">
        <f t="shared" si="12"/>
        <v>100</v>
      </c>
      <c r="T35" s="1481" t="s">
        <v>11</v>
      </c>
      <c r="U35" s="1482">
        <f t="shared" si="13"/>
        <v>100</v>
      </c>
      <c r="V35" s="1481" t="s">
        <v>11</v>
      </c>
      <c r="W35" s="1482">
        <f t="shared" si="14"/>
        <v>100</v>
      </c>
      <c r="X35" s="1475"/>
      <c r="Y35" s="3776"/>
      <c r="Z35" s="1483" t="str">
        <f t="shared" si="15"/>
        <v>建筑品质</v>
      </c>
      <c r="AA35" s="1484">
        <f t="shared" si="3"/>
        <v>1</v>
      </c>
      <c r="AB35" s="1484">
        <f t="shared" si="4"/>
        <v>1</v>
      </c>
      <c r="AC35" s="1484">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4"/>
      <c r="M36" s="1986"/>
      <c r="N36" s="1986"/>
      <c r="O36" s="1993"/>
      <c r="P36" s="3776"/>
      <c r="Q36" s="1480" t="str">
        <f t="shared" si="11"/>
        <v>公共部分装修</v>
      </c>
      <c r="R36" s="1481" t="s">
        <v>11</v>
      </c>
      <c r="S36" s="1482">
        <f t="shared" si="12"/>
        <v>100</v>
      </c>
      <c r="T36" s="1481" t="s">
        <v>11</v>
      </c>
      <c r="U36" s="1482">
        <f t="shared" si="13"/>
        <v>100</v>
      </c>
      <c r="V36" s="1481" t="s">
        <v>11</v>
      </c>
      <c r="W36" s="1482">
        <f t="shared" si="14"/>
        <v>100</v>
      </c>
      <c r="X36" s="1475"/>
      <c r="Y36" s="3776"/>
      <c r="Z36" s="1483" t="str">
        <f t="shared" si="15"/>
        <v>公共部分装修</v>
      </c>
      <c r="AA36" s="1484">
        <f t="shared" si="3"/>
        <v>1</v>
      </c>
      <c r="AB36" s="1484">
        <f t="shared" si="4"/>
        <v>1</v>
      </c>
      <c r="AC36" s="1484">
        <f t="shared" si="5"/>
        <v>1</v>
      </c>
    </row>
    <row r="37" spans="1:29" s="1185"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7"/>
      <c r="M37" s="1988"/>
      <c r="N37" s="1988"/>
      <c r="O37" s="1989"/>
      <c r="P37" s="3776"/>
      <c r="Q37" s="1116" t="str">
        <f t="shared" si="11"/>
        <v>成新度</v>
      </c>
      <c r="R37" s="1476" t="s">
        <v>11</v>
      </c>
      <c r="S37" s="1477" t="e">
        <f t="shared" si="12"/>
        <v>#N/A</v>
      </c>
      <c r="T37" s="1476" t="s">
        <v>11</v>
      </c>
      <c r="U37" s="1477" t="e">
        <f t="shared" si="13"/>
        <v>#N/A</v>
      </c>
      <c r="V37" s="1476" t="s">
        <v>11</v>
      </c>
      <c r="W37" s="1477" t="e">
        <f t="shared" si="14"/>
        <v>#N/A</v>
      </c>
      <c r="X37" s="1478"/>
      <c r="Y37" s="3776"/>
      <c r="Z37" s="1115" t="str">
        <f t="shared" si="15"/>
        <v>成新度</v>
      </c>
      <c r="AA37" s="1479" t="e">
        <f t="shared" si="3"/>
        <v>#N/A</v>
      </c>
      <c r="AB37" s="1479" t="e">
        <f t="shared" si="4"/>
        <v>#N/A</v>
      </c>
      <c r="AC37" s="1479"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4"/>
      <c r="M38" s="1986"/>
      <c r="N38" s="1986"/>
      <c r="O38" s="1993"/>
      <c r="P38" s="3776" t="s">
        <v>527</v>
      </c>
      <c r="Q38" s="1480" t="str">
        <f t="shared" si="11"/>
        <v>物业管理</v>
      </c>
      <c r="R38" s="1481" t="s">
        <v>11</v>
      </c>
      <c r="S38" s="1482">
        <f t="shared" si="12"/>
        <v>100</v>
      </c>
      <c r="T38" s="1481" t="s">
        <v>11</v>
      </c>
      <c r="U38" s="1482">
        <f t="shared" si="13"/>
        <v>100</v>
      </c>
      <c r="V38" s="1481" t="s">
        <v>11</v>
      </c>
      <c r="W38" s="1482">
        <f t="shared" si="14"/>
        <v>100</v>
      </c>
      <c r="X38" s="1475"/>
      <c r="Y38" s="3776" t="s">
        <v>527</v>
      </c>
      <c r="Z38" s="1483" t="str">
        <f t="shared" si="15"/>
        <v>物业管理</v>
      </c>
      <c r="AA38" s="1484">
        <f t="shared" si="3"/>
        <v>1</v>
      </c>
      <c r="AB38" s="1484">
        <f t="shared" si="4"/>
        <v>1</v>
      </c>
      <c r="AC38" s="1484">
        <f t="shared" si="5"/>
        <v>1</v>
      </c>
    </row>
    <row r="39" spans="1:29" ht="15">
      <c r="A39" s="570"/>
      <c r="B39" s="1781" t="s">
        <v>2516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4"/>
      <c r="M39" s="1986"/>
      <c r="N39" s="1986"/>
      <c r="O39" s="1993"/>
      <c r="P39" s="3776"/>
      <c r="Q39" s="1480" t="str">
        <f t="shared" si="11"/>
        <v>市政基础设施</v>
      </c>
      <c r="R39" s="1481" t="s">
        <v>11</v>
      </c>
      <c r="S39" s="1482">
        <f t="shared" si="12"/>
        <v>100</v>
      </c>
      <c r="T39" s="1481" t="s">
        <v>11</v>
      </c>
      <c r="U39" s="1482">
        <f t="shared" si="13"/>
        <v>100</v>
      </c>
      <c r="V39" s="1481" t="s">
        <v>11</v>
      </c>
      <c r="W39" s="1482">
        <f t="shared" si="14"/>
        <v>100</v>
      </c>
      <c r="X39" s="1475"/>
      <c r="Y39" s="3776"/>
      <c r="Z39" s="1483" t="str">
        <f t="shared" si="15"/>
        <v>市政基础设施</v>
      </c>
      <c r="AA39" s="1484">
        <f t="shared" si="3"/>
        <v>1</v>
      </c>
      <c r="AB39" s="1484">
        <f t="shared" si="4"/>
        <v>1</v>
      </c>
      <c r="AC39" s="1484">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4"/>
      <c r="M40" s="1986"/>
      <c r="N40" s="1986"/>
      <c r="O40" s="1993"/>
      <c r="P40" s="3776"/>
      <c r="Q40" s="1480" t="str">
        <f t="shared" si="11"/>
        <v>房型</v>
      </c>
      <c r="R40" s="1481" t="s">
        <v>11</v>
      </c>
      <c r="S40" s="1482">
        <f t="shared" si="12"/>
        <v>100</v>
      </c>
      <c r="T40" s="1481" t="s">
        <v>11</v>
      </c>
      <c r="U40" s="1482">
        <f t="shared" si="13"/>
        <v>100</v>
      </c>
      <c r="V40" s="1481" t="s">
        <v>11</v>
      </c>
      <c r="W40" s="1482">
        <f t="shared" si="14"/>
        <v>100</v>
      </c>
      <c r="X40" s="1475"/>
      <c r="Y40" s="3776"/>
      <c r="Z40" s="1483" t="str">
        <f t="shared" si="15"/>
        <v>房型</v>
      </c>
      <c r="AA40" s="1484">
        <f t="shared" si="3"/>
        <v>1</v>
      </c>
      <c r="AB40" s="1484">
        <f t="shared" si="4"/>
        <v>1</v>
      </c>
      <c r="AC40" s="1484">
        <f t="shared" si="5"/>
        <v>1</v>
      </c>
    </row>
    <row r="41" spans="1:29" s="1267"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2"/>
      <c r="M41" s="2022"/>
      <c r="N41" s="2022"/>
      <c r="O41" s="1995"/>
      <c r="P41" s="3776"/>
      <c r="Q41" s="1509" t="str">
        <f t="shared" si="11"/>
        <v>单套/主力户型建筑面积</v>
      </c>
      <c r="R41" s="1485" t="s">
        <v>11</v>
      </c>
      <c r="S41" s="1486">
        <f t="shared" si="12"/>
        <v>100</v>
      </c>
      <c r="T41" s="1485" t="s">
        <v>11</v>
      </c>
      <c r="U41" s="1486">
        <f t="shared" si="13"/>
        <v>100</v>
      </c>
      <c r="V41" s="1485" t="s">
        <v>11</v>
      </c>
      <c r="W41" s="1486">
        <f t="shared" si="14"/>
        <v>100</v>
      </c>
      <c r="X41" s="1487"/>
      <c r="Y41" s="3776"/>
      <c r="Z41" s="1488" t="str">
        <f t="shared" si="15"/>
        <v>单套/主力户型建筑面积</v>
      </c>
      <c r="AA41" s="1484">
        <f t="shared" si="3"/>
        <v>1</v>
      </c>
      <c r="AB41" s="1484">
        <f t="shared" si="4"/>
        <v>1</v>
      </c>
      <c r="AC41" s="1484">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4"/>
      <c r="M42" s="1986"/>
      <c r="N42" s="1986"/>
      <c r="O42" s="1993"/>
      <c r="P42" s="3776"/>
      <c r="Q42" s="1480" t="str">
        <f t="shared" si="11"/>
        <v>内部装修</v>
      </c>
      <c r="R42" s="1481" t="s">
        <v>11</v>
      </c>
      <c r="S42" s="1482">
        <f t="shared" si="12"/>
        <v>100</v>
      </c>
      <c r="T42" s="1481" t="s">
        <v>11</v>
      </c>
      <c r="U42" s="1482">
        <f t="shared" si="13"/>
        <v>100</v>
      </c>
      <c r="V42" s="1481" t="s">
        <v>11</v>
      </c>
      <c r="W42" s="1482">
        <f t="shared" si="14"/>
        <v>100</v>
      </c>
      <c r="X42" s="1475"/>
      <c r="Y42" s="3776"/>
      <c r="Z42" s="1483" t="str">
        <f t="shared" si="15"/>
        <v>内部装修</v>
      </c>
      <c r="AA42" s="1484">
        <f t="shared" si="3"/>
        <v>1</v>
      </c>
      <c r="AB42" s="1484">
        <f t="shared" si="4"/>
        <v>1</v>
      </c>
      <c r="AC42" s="1484">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4"/>
      <c r="M43" s="1986"/>
      <c r="N43" s="1986"/>
      <c r="O43" s="1993"/>
      <c r="P43" s="3776"/>
      <c r="Q43" s="1480" t="str">
        <f t="shared" si="11"/>
        <v>内部装修维护情况</v>
      </c>
      <c r="R43" s="1481" t="s">
        <v>11</v>
      </c>
      <c r="S43" s="1482">
        <f t="shared" si="12"/>
        <v>100</v>
      </c>
      <c r="T43" s="1481" t="s">
        <v>11</v>
      </c>
      <c r="U43" s="1482">
        <f t="shared" si="13"/>
        <v>100</v>
      </c>
      <c r="V43" s="1481" t="s">
        <v>11</v>
      </c>
      <c r="W43" s="1482">
        <f t="shared" si="14"/>
        <v>100</v>
      </c>
      <c r="X43" s="1475"/>
      <c r="Y43" s="3776"/>
      <c r="Z43" s="1483" t="str">
        <f t="shared" si="15"/>
        <v>内部装修维护情况</v>
      </c>
      <c r="AA43" s="1484">
        <f t="shared" si="3"/>
        <v>1</v>
      </c>
      <c r="AB43" s="1484">
        <f t="shared" si="4"/>
        <v>1</v>
      </c>
      <c r="AC43" s="1484">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7"/>
      <c r="M44" s="1988"/>
      <c r="N44" s="1988"/>
      <c r="O44" s="1989"/>
      <c r="P44" s="3776"/>
      <c r="Q44" s="1116">
        <f t="shared" si="11"/>
        <v>111</v>
      </c>
      <c r="R44" s="1476" t="s">
        <v>11</v>
      </c>
      <c r="S44" s="1477">
        <f t="shared" si="12"/>
        <v>100</v>
      </c>
      <c r="T44" s="1476" t="s">
        <v>11</v>
      </c>
      <c r="U44" s="1477">
        <f t="shared" si="13"/>
        <v>100</v>
      </c>
      <c r="V44" s="1476" t="s">
        <v>11</v>
      </c>
      <c r="W44" s="1477">
        <f t="shared" si="14"/>
        <v>100</v>
      </c>
      <c r="X44" s="1478"/>
      <c r="Y44" s="3776"/>
      <c r="Z44" s="1115">
        <f t="shared" si="15"/>
        <v>111</v>
      </c>
      <c r="AA44" s="1479">
        <f t="shared" si="3"/>
        <v>1</v>
      </c>
      <c r="AB44" s="1479">
        <f t="shared" si="4"/>
        <v>1</v>
      </c>
      <c r="AC44" s="147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4"/>
      <c r="M45" s="1986"/>
      <c r="N45" s="1986"/>
      <c r="O45" s="1993"/>
      <c r="P45" s="3776"/>
      <c r="Q45" s="1480">
        <f t="shared" si="11"/>
        <v>111</v>
      </c>
      <c r="R45" s="1481" t="s">
        <v>11</v>
      </c>
      <c r="S45" s="1482">
        <f t="shared" si="12"/>
        <v>100</v>
      </c>
      <c r="T45" s="1481" t="s">
        <v>11</v>
      </c>
      <c r="U45" s="1482">
        <f t="shared" si="13"/>
        <v>100</v>
      </c>
      <c r="V45" s="1481" t="s">
        <v>11</v>
      </c>
      <c r="W45" s="1482">
        <f t="shared" si="14"/>
        <v>100</v>
      </c>
      <c r="X45" s="1475"/>
      <c r="Y45" s="3776"/>
      <c r="Z45" s="1483">
        <f t="shared" si="15"/>
        <v>111</v>
      </c>
      <c r="AA45" s="1484">
        <f t="shared" si="3"/>
        <v>1</v>
      </c>
      <c r="AB45" s="1484">
        <f t="shared" si="4"/>
        <v>1</v>
      </c>
      <c r="AC45" s="1484">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4"/>
      <c r="M46" s="1986"/>
      <c r="N46" s="1986"/>
      <c r="O46" s="1993"/>
      <c r="P46" s="3914"/>
      <c r="Q46" s="1480">
        <f t="shared" si="11"/>
        <v>111</v>
      </c>
      <c r="R46" s="1481" t="s">
        <v>10</v>
      </c>
      <c r="S46" s="1482">
        <f t="shared" si="12"/>
        <v>100</v>
      </c>
      <c r="T46" s="1481" t="s">
        <v>10</v>
      </c>
      <c r="U46" s="1482">
        <f t="shared" si="13"/>
        <v>100</v>
      </c>
      <c r="V46" s="1481" t="s">
        <v>10</v>
      </c>
      <c r="W46" s="1482">
        <f t="shared" si="14"/>
        <v>100</v>
      </c>
      <c r="X46" s="1475"/>
      <c r="Y46" s="3914"/>
      <c r="Z46" s="1483">
        <f t="shared" si="15"/>
        <v>111</v>
      </c>
      <c r="AA46" s="1484">
        <f t="shared" si="3"/>
        <v>1</v>
      </c>
      <c r="AB46" s="1484">
        <f t="shared" si="4"/>
        <v>1</v>
      </c>
      <c r="AC46" s="1484">
        <f t="shared" si="5"/>
        <v>1</v>
      </c>
    </row>
    <row r="47" spans="1:29" ht="15">
      <c r="A47" s="583" t="s">
        <v>713</v>
      </c>
      <c r="B47" s="858"/>
      <c r="C47" s="2437" t="s">
        <v>9</v>
      </c>
      <c r="D47" s="2438"/>
      <c r="E47" s="2439"/>
      <c r="F47" s="2440"/>
      <c r="G47" s="2441"/>
      <c r="H47" s="2442"/>
      <c r="I47" s="2439"/>
      <c r="J47" s="2442"/>
      <c r="K47" s="1510"/>
      <c r="L47" s="1996"/>
      <c r="M47" s="1997"/>
      <c r="N47" s="1986"/>
      <c r="O47" s="1997"/>
      <c r="P47" s="3771" t="str">
        <f>A47</f>
        <v>成交单价（元/平方米）</v>
      </c>
      <c r="Q47" s="3771"/>
      <c r="R47" s="3913">
        <f>E47</f>
        <v>0</v>
      </c>
      <c r="S47" s="3913"/>
      <c r="T47" s="3913">
        <f>G47</f>
        <v>0</v>
      </c>
      <c r="U47" s="3913"/>
      <c r="V47" s="3913">
        <f>I47</f>
        <v>0</v>
      </c>
      <c r="W47" s="3913"/>
      <c r="X47" s="1470"/>
      <c r="Y47" s="1489"/>
      <c r="Z47" s="1470"/>
      <c r="AA47" s="1470"/>
      <c r="AB47" s="1470"/>
      <c r="AC47" s="1470"/>
    </row>
    <row r="48" spans="1:29" ht="15.75" thickBot="1">
      <c r="A48" s="591" t="s">
        <v>2711</v>
      </c>
      <c r="B48" s="859"/>
      <c r="C48" s="2443" t="e">
        <f>R49</f>
        <v>#DIV/0!</v>
      </c>
      <c r="D48" s="2977" t="s">
        <v>2935</v>
      </c>
      <c r="E48" s="2444" t="e">
        <f>R48</f>
        <v>#DIV/0!</v>
      </c>
      <c r="F48" s="2978"/>
      <c r="G48" s="2443" t="e">
        <f>T48</f>
        <v>#DIV/0!</v>
      </c>
      <c r="H48" s="2978"/>
      <c r="I48" s="2444" t="e">
        <f>V48</f>
        <v>#DIV/0!</v>
      </c>
      <c r="J48" s="2978"/>
      <c r="K48" s="2986">
        <f>F48+H48+J48</f>
        <v>0</v>
      </c>
      <c r="L48" s="1996"/>
      <c r="M48" s="1997"/>
      <c r="N48" s="1997"/>
      <c r="O48" s="1997"/>
      <c r="P48" s="3771" t="str">
        <f>A48</f>
        <v>比较价格（元/平方米）</v>
      </c>
      <c r="Q48" s="3771"/>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1470"/>
      <c r="Y48" s="1470"/>
      <c r="Z48" s="1470"/>
      <c r="AA48" s="1470"/>
      <c r="AB48" s="1470"/>
      <c r="AC48" s="1470"/>
    </row>
    <row r="49" spans="1:29" ht="15.75" thickBot="1">
      <c r="A49" s="595" t="s">
        <v>2871</v>
      </c>
      <c r="B49" s="596"/>
      <c r="C49" s="2445" t="e">
        <f>R49</f>
        <v>#DIV/0!</v>
      </c>
      <c r="D49" s="2445"/>
      <c r="E49" s="2445"/>
      <c r="F49" s="2445"/>
      <c r="G49" s="2445"/>
      <c r="H49" s="2445"/>
      <c r="I49" s="2445"/>
      <c r="J49" s="2445"/>
      <c r="K49" s="1511"/>
      <c r="L49" s="1996"/>
      <c r="M49" s="1997"/>
      <c r="N49" s="1997"/>
      <c r="O49" s="1997"/>
      <c r="P49" s="3792" t="str">
        <f>A49</f>
        <v>估价对象XX用房的比较价格（楼面单价，元/平方米）</v>
      </c>
      <c r="Q49" s="3793"/>
      <c r="R49" s="3912" t="e">
        <f>IF(F1="售价",ROUND(IF(D48="简单平均",AVERAGE(R48:V48),R48*F48+T48*H48+V48*J48),0),ROUND(IF(D48="简单平均",AVERAGE(R48:V48),R48*F48+T48*H48+V48*J48),1))</f>
        <v>#DIV/0!</v>
      </c>
      <c r="S49" s="3912"/>
      <c r="T49" s="3912"/>
      <c r="U49" s="3912"/>
      <c r="V49" s="3912"/>
      <c r="W49" s="3912"/>
      <c r="X49" s="1470"/>
      <c r="Y49" s="1470"/>
      <c r="Z49" s="1470"/>
      <c r="AA49" s="1470"/>
      <c r="AB49" s="1470"/>
      <c r="AC49" s="1470"/>
    </row>
    <row r="50" spans="1:29">
      <c r="A50" s="3176"/>
      <c r="B50" s="3176"/>
      <c r="C50" s="3176"/>
      <c r="D50" s="3176"/>
      <c r="E50" s="3176"/>
      <c r="F50" s="3176"/>
      <c r="G50" s="3178"/>
      <c r="H50" s="3176"/>
      <c r="I50" s="3176"/>
      <c r="J50" s="3176"/>
      <c r="K50" s="3179"/>
      <c r="L50" s="2001"/>
      <c r="M50" s="1997"/>
      <c r="N50" s="1997"/>
      <c r="O50" s="1997"/>
      <c r="P50" s="1997"/>
      <c r="Q50" s="1997"/>
      <c r="R50" s="1997"/>
      <c r="S50" s="1997"/>
      <c r="T50" s="1997"/>
      <c r="U50" s="1997"/>
      <c r="V50" s="1997"/>
      <c r="W50" s="1997"/>
      <c r="X50" s="1997"/>
      <c r="Y50" s="1997"/>
      <c r="Z50" s="1997"/>
      <c r="AA50" s="1997"/>
      <c r="AB50" s="1997"/>
      <c r="AC50" s="1997"/>
    </row>
    <row r="51" spans="1:29">
      <c r="A51" s="3176"/>
      <c r="B51" s="3176"/>
      <c r="C51" s="3176"/>
      <c r="D51" s="3176"/>
      <c r="E51" s="3176"/>
      <c r="F51" s="3176"/>
      <c r="G51" s="3176"/>
      <c r="H51" s="3176"/>
      <c r="I51" s="3176"/>
      <c r="J51" s="3176"/>
      <c r="K51" s="317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6"/>
      <c r="B52" s="3176"/>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7"/>
      <c r="B54" s="3177"/>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2" t="s">
        <v>551</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4" customFormat="1" ht="15">
      <c r="A58" s="619" t="s">
        <v>506</v>
      </c>
      <c r="B58" s="620"/>
      <c r="C58" s="2488"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4"/>
      <c r="N59" s="624"/>
      <c r="O59" s="624"/>
      <c r="P59" s="2009"/>
      <c r="Q59" s="1876"/>
      <c r="R59" s="1876"/>
      <c r="S59" s="1876"/>
      <c r="T59" s="1876"/>
      <c r="U59" s="1876"/>
      <c r="V59" s="1876"/>
      <c r="W59" s="1876"/>
      <c r="X59" s="1876"/>
      <c r="Y59" s="1876"/>
      <c r="Z59" s="1876"/>
      <c r="AA59" s="1876"/>
      <c r="AB59" s="1876"/>
      <c r="AC59" s="1876"/>
    </row>
    <row r="60" spans="1:29" s="1185" customFormat="1" ht="15.75" thickBot="1">
      <c r="A60" s="627" t="s">
        <v>552</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508</v>
      </c>
      <c r="B61" s="622"/>
      <c r="C61" s="634" t="s">
        <v>553</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876"/>
    </row>
    <row r="63" spans="1:29">
      <c r="A63" s="638" t="s">
        <v>554</v>
      </c>
      <c r="B63" s="639" t="s">
        <v>511</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515</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66"/>
      <c r="E73" s="666"/>
      <c r="F73" s="666"/>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516</v>
      </c>
      <c r="B76" s="639" t="s">
        <v>555</v>
      </c>
      <c r="C76" s="677" t="s">
        <v>556</v>
      </c>
      <c r="D76" s="677" t="s">
        <v>557</v>
      </c>
      <c r="E76" s="677" t="s">
        <v>558</v>
      </c>
      <c r="F76" s="677" t="s">
        <v>559</v>
      </c>
      <c r="G76" s="677" t="s">
        <v>560</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563</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2509</v>
      </c>
      <c r="C80" s="682" t="s">
        <v>556</v>
      </c>
      <c r="D80" s="682" t="s">
        <v>557</v>
      </c>
      <c r="E80" s="682" t="s">
        <v>558</v>
      </c>
      <c r="F80" s="682" t="s">
        <v>559</v>
      </c>
      <c r="G80" s="682" t="s">
        <v>560</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2510</v>
      </c>
      <c r="C82" s="2409" t="s">
        <v>2511</v>
      </c>
      <c r="D82" s="2409" t="s">
        <v>2512</v>
      </c>
      <c r="E82" s="2409" t="s">
        <v>2513</v>
      </c>
      <c r="F82" s="2409" t="s">
        <v>2514</v>
      </c>
      <c r="G82" s="2409" t="s">
        <v>2515</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721</v>
      </c>
      <c r="C84" s="682" t="s">
        <v>556</v>
      </c>
      <c r="D84" s="682" t="s">
        <v>557</v>
      </c>
      <c r="E84" s="682" t="s">
        <v>558</v>
      </c>
      <c r="F84" s="682" t="s">
        <v>559</v>
      </c>
      <c r="G84" s="682" t="s">
        <v>560</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1782" t="s">
        <v>2222</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
        <v>723</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道路级别</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66"/>
      <c r="D91" s="666"/>
      <c r="E91" s="666"/>
      <c r="F91" s="666"/>
      <c r="G91" s="666"/>
      <c r="H91" s="667"/>
      <c r="I91" s="667"/>
      <c r="J91" s="667"/>
      <c r="K91" s="667"/>
      <c r="L91" s="667"/>
      <c r="M91" s="668"/>
      <c r="N91" s="2018"/>
      <c r="O91" s="2018"/>
      <c r="P91" s="2019"/>
      <c r="Q91" s="2020"/>
      <c r="R91" s="2021"/>
      <c r="S91" s="2021"/>
      <c r="T91" s="2021"/>
      <c r="U91" s="2021"/>
      <c r="V91" s="2021"/>
      <c r="W91" s="2021"/>
      <c r="X91" s="2021"/>
      <c r="Y91" s="2021"/>
      <c r="Z91" s="2021"/>
      <c r="AA91" s="2021"/>
      <c r="AB91" s="2021"/>
      <c r="AC91" s="2021"/>
    </row>
    <row r="92" spans="1:29" ht="15.75" thickTop="1">
      <c r="A92" s="643"/>
      <c r="B92" s="647">
        <f>B28</f>
        <v>111</v>
      </c>
      <c r="C92" s="662"/>
      <c r="D92" s="662"/>
      <c r="E92" s="662"/>
      <c r="F92" s="662"/>
      <c r="G92" s="692"/>
      <c r="H92" s="692"/>
      <c r="I92" s="692"/>
      <c r="J92" s="692"/>
      <c r="K92" s="693"/>
      <c r="L92" s="694"/>
      <c r="M92" s="695"/>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66"/>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66"/>
      <c r="E95" s="666"/>
      <c r="F95" s="666"/>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74"/>
      <c r="D97" s="674"/>
      <c r="E97" s="674"/>
      <c r="F97" s="674"/>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96"/>
      <c r="D98" s="696"/>
      <c r="E98" s="696"/>
      <c r="F98" s="696"/>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700"/>
      <c r="D99" s="700"/>
      <c r="E99" s="700"/>
      <c r="F99" s="700"/>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528</v>
      </c>
      <c r="B100" s="639" t="s">
        <v>724</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726</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727</v>
      </c>
      <c r="C107" s="692"/>
      <c r="D107" s="692"/>
      <c r="E107" s="69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728</v>
      </c>
      <c r="C109" s="662"/>
      <c r="D109" s="662"/>
      <c r="E109" s="662"/>
      <c r="F109" s="692"/>
      <c r="G109" s="692"/>
      <c r="H109" s="69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7"/>
      <c r="O110" s="2017"/>
      <c r="P110" s="2016"/>
      <c r="Q110" s="2009"/>
      <c r="R110" s="1997"/>
      <c r="S110" s="1997"/>
      <c r="T110" s="1997"/>
      <c r="U110" s="1997"/>
      <c r="V110" s="1997"/>
      <c r="W110" s="1997"/>
      <c r="X110" s="1997"/>
      <c r="Y110" s="1997"/>
      <c r="Z110" s="1997"/>
      <c r="AA110" s="1997"/>
      <c r="AB110" s="1997"/>
      <c r="AC110" s="1997"/>
    </row>
    <row r="111" spans="1:29" s="126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8"/>
      <c r="O111" s="2018"/>
      <c r="P111" s="2019"/>
      <c r="Q111" s="2020"/>
      <c r="R111" s="2021"/>
      <c r="S111" s="2021"/>
      <c r="T111" s="2021"/>
      <c r="U111" s="2021"/>
      <c r="V111" s="2021"/>
      <c r="W111" s="2021"/>
      <c r="X111" s="2021"/>
      <c r="Y111" s="2021"/>
      <c r="Z111" s="2021"/>
      <c r="AA111" s="2021"/>
      <c r="AB111" s="2021"/>
      <c r="AC111" s="2021"/>
    </row>
    <row r="112" spans="1:29" s="1267" customFormat="1">
      <c r="A112" s="702"/>
      <c r="B112" s="655"/>
      <c r="C112" s="865">
        <v>0.5</v>
      </c>
      <c r="D112" s="865">
        <v>0.6</v>
      </c>
      <c r="E112" s="865">
        <v>0.7</v>
      </c>
      <c r="F112" s="865">
        <v>0.8</v>
      </c>
      <c r="G112" s="865">
        <v>0.9</v>
      </c>
      <c r="H112" s="865">
        <v>1.0001</v>
      </c>
      <c r="I112" s="865"/>
      <c r="J112" s="866"/>
      <c r="K112" s="866"/>
      <c r="L112" s="867"/>
      <c r="M112" s="868"/>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730</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1782" t="s">
        <v>2508</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731</v>
      </c>
      <c r="C118" s="692"/>
      <c r="D118" s="692"/>
      <c r="E118" s="692"/>
      <c r="F118" s="692"/>
      <c r="G118" s="692"/>
      <c r="H118" s="692"/>
      <c r="I118" s="692"/>
      <c r="J118" s="692"/>
      <c r="K118" s="693"/>
      <c r="L118" s="694"/>
      <c r="M118" s="69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7"/>
      <c r="O119" s="2017"/>
      <c r="P119" s="2016"/>
      <c r="Q119" s="2009"/>
      <c r="R119" s="1997"/>
      <c r="S119" s="1997"/>
      <c r="T119" s="1997"/>
      <c r="U119" s="1997"/>
      <c r="V119" s="1997"/>
      <c r="W119" s="1997"/>
      <c r="X119" s="1997"/>
      <c r="Y119" s="1997"/>
      <c r="Z119" s="1997"/>
      <c r="AA119" s="1997"/>
      <c r="AB119" s="1997"/>
      <c r="AC119" s="1997"/>
    </row>
    <row r="120" spans="1:29" s="1267" customFormat="1" ht="28.5" thickTop="1">
      <c r="A120" s="702"/>
      <c r="B120" s="647" t="s">
        <v>710</v>
      </c>
      <c r="C120" s="662"/>
      <c r="D120" s="662"/>
      <c r="E120" s="662"/>
      <c r="F120" s="662"/>
      <c r="G120" s="662"/>
      <c r="H120" s="662"/>
      <c r="I120" s="662"/>
      <c r="J120" s="662"/>
      <c r="K120" s="662"/>
      <c r="L120" s="861"/>
      <c r="M120" s="862"/>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66"/>
      <c r="D121" s="645"/>
      <c r="E121" s="645"/>
      <c r="F121" s="645"/>
      <c r="G121" s="645"/>
      <c r="H121" s="645"/>
      <c r="I121" s="645"/>
      <c r="J121" s="645"/>
      <c r="K121" s="645"/>
      <c r="L121" s="645"/>
      <c r="M121" s="645"/>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732</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66"/>
      <c r="E129" s="666"/>
      <c r="F129" s="666"/>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2223</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2224</v>
      </c>
      <c r="C137" s="1805"/>
      <c r="D137" s="1805"/>
      <c r="E137" s="1805"/>
      <c r="F137" s="1805"/>
      <c r="G137" s="1806"/>
      <c r="H137" s="1807"/>
      <c r="I137" s="1808" t="s">
        <v>2225</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2226</v>
      </c>
      <c r="D138" s="1811" t="s">
        <v>2227</v>
      </c>
      <c r="E138" s="1812" t="s">
        <v>2228</v>
      </c>
      <c r="F138" s="1813" t="s">
        <v>2229</v>
      </c>
      <c r="G138" s="1811" t="s">
        <v>2230</v>
      </c>
      <c r="H138" s="1814" t="s">
        <v>2231</v>
      </c>
      <c r="I138" s="1815"/>
      <c r="J138" s="1811" t="s">
        <v>2232</v>
      </c>
      <c r="K138" s="1814" t="s">
        <v>2233</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2234</v>
      </c>
      <c r="E139" s="1785">
        <v>100</v>
      </c>
      <c r="F139" s="1786">
        <v>102.5</v>
      </c>
      <c r="G139" s="1816" t="s">
        <v>2235</v>
      </c>
      <c r="H139" s="1787">
        <v>105</v>
      </c>
      <c r="I139" s="1817" t="s">
        <v>2236</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2237</v>
      </c>
      <c r="J140" s="817">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2238</v>
      </c>
      <c r="J141" s="817">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2239</v>
      </c>
      <c r="J142" s="817">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2240</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2241</v>
      </c>
      <c r="E144" s="1791">
        <v>102</v>
      </c>
      <c r="F144" s="1797">
        <v>100</v>
      </c>
      <c r="G144" s="1820" t="s">
        <v>2241</v>
      </c>
      <c r="H144" s="1793">
        <v>105</v>
      </c>
      <c r="I144" s="1819" t="s">
        <v>2240</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2242</v>
      </c>
      <c r="C145" s="1798">
        <f>ROUND(MAX(C139:C144)/MIN(C139:C144)-1,3)</f>
        <v>7.2999999999999995E-2</v>
      </c>
      <c r="D145" s="1822"/>
      <c r="E145" s="1822"/>
      <c r="F145" s="1823" t="s">
        <v>2243</v>
      </c>
      <c r="G145" s="1824"/>
      <c r="H145" s="1825"/>
      <c r="I145" s="1826" t="s">
        <v>2240</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2251</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2252</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734</v>
      </c>
      <c r="C1" s="480" t="s">
        <v>697</v>
      </c>
      <c r="D1" s="2195"/>
      <c r="E1" s="482"/>
      <c r="F1" s="2491"/>
      <c r="G1" s="1505" t="s">
        <v>698</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460</v>
      </c>
      <c r="B2" s="821"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496</v>
      </c>
      <c r="B3" s="486" t="e">
        <f>C49</f>
        <v>#DIV/0!</v>
      </c>
      <c r="C3" s="823" t="s">
        <v>699</v>
      </c>
      <c r="D3" s="822">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8" t="s">
        <v>498</v>
      </c>
      <c r="B4" s="489"/>
      <c r="C4" s="3777" t="s">
        <v>499</v>
      </c>
      <c r="D4" s="3778"/>
      <c r="E4" s="3882" t="s">
        <v>500</v>
      </c>
      <c r="F4" s="3883"/>
      <c r="G4" s="3777" t="s">
        <v>501</v>
      </c>
      <c r="H4" s="3778"/>
      <c r="I4" s="3777" t="s">
        <v>502</v>
      </c>
      <c r="J4" s="3778"/>
      <c r="K4" s="490" t="s">
        <v>503</v>
      </c>
      <c r="L4" s="1985"/>
      <c r="M4" s="1986"/>
      <c r="N4" s="1986"/>
      <c r="O4" s="1986"/>
      <c r="P4" s="3779" t="s">
        <v>504</v>
      </c>
      <c r="Q4" s="3780"/>
      <c r="R4" s="3765" t="s">
        <v>500</v>
      </c>
      <c r="S4" s="3766"/>
      <c r="T4" s="3765" t="s">
        <v>501</v>
      </c>
      <c r="U4" s="3766"/>
      <c r="V4" s="3785" t="s">
        <v>502</v>
      </c>
      <c r="W4" s="3785"/>
      <c r="X4" s="1475"/>
      <c r="Y4" s="3765" t="s">
        <v>504</v>
      </c>
      <c r="Z4" s="3766"/>
      <c r="AA4" s="3760" t="s">
        <v>500</v>
      </c>
      <c r="AB4" s="3785" t="s">
        <v>501</v>
      </c>
      <c r="AC4" s="3760" t="s">
        <v>502</v>
      </c>
    </row>
    <row r="5" spans="1:29" ht="15">
      <c r="A5" s="491"/>
      <c r="B5" s="492"/>
      <c r="C5" s="3788" t="s">
        <v>2865</v>
      </c>
      <c r="D5" s="3789"/>
      <c r="E5" s="3884" t="s">
        <v>2866</v>
      </c>
      <c r="F5" s="3885"/>
      <c r="G5" s="3788" t="s">
        <v>2867</v>
      </c>
      <c r="H5" s="3789"/>
      <c r="I5" s="3788" t="s">
        <v>2868</v>
      </c>
      <c r="J5" s="3789"/>
      <c r="K5" s="490"/>
      <c r="L5" s="1985"/>
      <c r="M5" s="1986"/>
      <c r="N5" s="1986"/>
      <c r="O5" s="1986"/>
      <c r="P5" s="3781"/>
      <c r="Q5" s="3782"/>
      <c r="R5" s="3767"/>
      <c r="S5" s="3768"/>
      <c r="T5" s="3767"/>
      <c r="U5" s="3768"/>
      <c r="V5" s="3785"/>
      <c r="W5" s="3785"/>
      <c r="X5" s="1475"/>
      <c r="Y5" s="3767"/>
      <c r="Z5" s="3768"/>
      <c r="AA5" s="3761"/>
      <c r="AB5" s="3785"/>
      <c r="AC5" s="3761"/>
    </row>
    <row r="6" spans="1:29" ht="15.75" thickBot="1">
      <c r="A6" s="493"/>
      <c r="B6" s="494"/>
      <c r="C6" s="3786" t="s">
        <v>2869</v>
      </c>
      <c r="D6" s="3787"/>
      <c r="E6" s="3886" t="s">
        <v>2869</v>
      </c>
      <c r="F6" s="3887"/>
      <c r="G6" s="3786" t="s">
        <v>2869</v>
      </c>
      <c r="H6" s="3787"/>
      <c r="I6" s="3786" t="s">
        <v>2869</v>
      </c>
      <c r="J6" s="3787"/>
      <c r="K6" s="490" t="s">
        <v>505</v>
      </c>
      <c r="L6" s="1985"/>
      <c r="M6" s="1986"/>
      <c r="N6" s="1986"/>
      <c r="O6" s="1986"/>
      <c r="P6" s="3783"/>
      <c r="Q6" s="3784"/>
      <c r="R6" s="3767"/>
      <c r="S6" s="3768"/>
      <c r="T6" s="3769"/>
      <c r="U6" s="3770"/>
      <c r="V6" s="3785"/>
      <c r="W6" s="3785"/>
      <c r="X6" s="1475"/>
      <c r="Y6" s="3769"/>
      <c r="Z6" s="3770"/>
      <c r="AA6" s="3762"/>
      <c r="AB6" s="3785"/>
      <c r="AC6" s="3762"/>
    </row>
    <row r="7" spans="1:29" s="1185" customFormat="1" ht="15.75" thickBot="1">
      <c r="A7" s="2596"/>
      <c r="B7" s="2603" t="s">
        <v>506</v>
      </c>
      <c r="C7" s="495">
        <f>'数据-取费表'!B2</f>
        <v>44623</v>
      </c>
      <c r="D7" s="496">
        <v>100</v>
      </c>
      <c r="E7" s="497"/>
      <c r="F7" s="498">
        <f>SUMIF(58:58,YEAR(E7)&amp;"-"&amp;MONTH(E7),59:59)</f>
        <v>0</v>
      </c>
      <c r="G7" s="497"/>
      <c r="H7" s="496">
        <f>SUMIF(58:58,YEAR(G7)&amp;"-"&amp;MONTH(G7),59:59)</f>
        <v>0</v>
      </c>
      <c r="I7" s="497"/>
      <c r="J7" s="496">
        <f>SUMIF(58:58,YEAR(I7)&amp;"-"&amp;MONTH(I7),59:59)</f>
        <v>0</v>
      </c>
      <c r="K7" s="500"/>
      <c r="L7" s="1987"/>
      <c r="M7" s="1988"/>
      <c r="N7" s="1988"/>
      <c r="O7" s="1988"/>
      <c r="P7" s="3763" t="s">
        <v>507</v>
      </c>
      <c r="Q7" s="3772"/>
      <c r="R7" s="1476" t="s">
        <v>8</v>
      </c>
      <c r="S7" s="1477">
        <f t="shared" ref="S7:S15" si="0">F7</f>
        <v>0</v>
      </c>
      <c r="T7" s="1476" t="s">
        <v>8</v>
      </c>
      <c r="U7" s="1477">
        <f t="shared" ref="U7:U15" si="1">H7</f>
        <v>0</v>
      </c>
      <c r="V7" s="1476" t="s">
        <v>8</v>
      </c>
      <c r="W7" s="1477">
        <f t="shared" ref="W7:W15"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501"/>
      <c r="F8" s="498">
        <f>SUMIF(61:61,E8,62:62)-SUMIF(61:61,C8,62:62)+100</f>
        <v>0</v>
      </c>
      <c r="G8" s="501"/>
      <c r="H8" s="496">
        <f>SUMIF(61:61,G8,62:62)-SUMIF(61:61,C8,62:62)+100</f>
        <v>0</v>
      </c>
      <c r="I8" s="501"/>
      <c r="J8" s="496">
        <f>SUMIF(61:61,I8,62:62)-SUMIF(61:61,C8,62:62)+100</f>
        <v>0</v>
      </c>
      <c r="K8" s="500"/>
      <c r="L8" s="1987"/>
      <c r="M8" s="1988"/>
      <c r="N8" s="1988"/>
      <c r="O8" s="1988"/>
      <c r="P8" s="3763" t="s">
        <v>510</v>
      </c>
      <c r="Q8" s="3764"/>
      <c r="R8" s="1476" t="s">
        <v>8</v>
      </c>
      <c r="S8" s="1477">
        <f t="shared" si="0"/>
        <v>0</v>
      </c>
      <c r="T8" s="1476" t="s">
        <v>8</v>
      </c>
      <c r="U8" s="1477">
        <f t="shared" si="1"/>
        <v>0</v>
      </c>
      <c r="V8" s="1476" t="s">
        <v>8</v>
      </c>
      <c r="W8" s="1477">
        <f t="shared" si="2"/>
        <v>0</v>
      </c>
      <c r="X8" s="1478"/>
      <c r="Y8" s="3763" t="s">
        <v>510</v>
      </c>
      <c r="Z8" s="3764"/>
      <c r="AA8" s="1479" t="e">
        <f t="shared" ref="AA8:AA46" si="3">D8/F8</f>
        <v>#DIV/0!</v>
      </c>
      <c r="AB8" s="1479" t="e">
        <f t="shared" ref="AB8:AB46" si="4">D8/H8</f>
        <v>#DIV/0!</v>
      </c>
      <c r="AC8" s="1479" t="e">
        <f t="shared" ref="AC8:AC46" si="5">D8/J8</f>
        <v>#DIV/0!</v>
      </c>
    </row>
    <row r="9" spans="1:29" s="1185" customFormat="1" ht="15">
      <c r="A9" s="2598"/>
      <c r="B9" s="2605" t="s">
        <v>2707</v>
      </c>
      <c r="C9" s="828"/>
      <c r="D9" s="252">
        <v>100</v>
      </c>
      <c r="E9" s="831"/>
      <c r="F9" s="252">
        <f>SUMIF(63:63,E9,64:64)-SUMIF(63:63,C9,64:64)+100</f>
        <v>100</v>
      </c>
      <c r="G9" s="829"/>
      <c r="H9" s="252">
        <f>SUMIF(63:63,G9,64:64)-SUMIF(63:63,C9,64:64)+100</f>
        <v>100</v>
      </c>
      <c r="I9" s="829"/>
      <c r="J9" s="252">
        <f>SUMIF(63:63,I9,64:64)-SUMIF(63:63,C9,64:64)+100</f>
        <v>100</v>
      </c>
      <c r="K9" s="500"/>
      <c r="L9" s="1987"/>
      <c r="M9" s="1988"/>
      <c r="N9" s="1988"/>
      <c r="O9" s="1989"/>
      <c r="P9" s="3771" t="s">
        <v>512</v>
      </c>
      <c r="Q9" s="1116" t="str">
        <f t="shared" ref="Q9:Q15" si="6">B9</f>
        <v>用途</v>
      </c>
      <c r="R9" s="1476" t="s">
        <v>8</v>
      </c>
      <c r="S9" s="1477">
        <f t="shared" si="0"/>
        <v>100</v>
      </c>
      <c r="T9" s="1476" t="s">
        <v>8</v>
      </c>
      <c r="U9" s="1477">
        <f t="shared" si="1"/>
        <v>100</v>
      </c>
      <c r="V9" s="1476" t="s">
        <v>8</v>
      </c>
      <c r="W9" s="1477">
        <f t="shared" si="2"/>
        <v>100</v>
      </c>
      <c r="X9" s="1478"/>
      <c r="Y9" s="3712"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SUMIF(65:65,E10,66:66)-SUMIF(65:65,C10,66:66)+100</f>
        <v>100</v>
      </c>
      <c r="G10" s="833"/>
      <c r="H10" s="253">
        <f>SUMIF(65:65,G10,66:66)-SUMIF(65:65,C10,66:66)+100</f>
        <v>100</v>
      </c>
      <c r="I10" s="832"/>
      <c r="J10" s="253">
        <f>SUMIF(65:65,I10,66:66)-SUMIF(65:65,C10,66:66)+100</f>
        <v>100</v>
      </c>
      <c r="K10" s="560"/>
      <c r="L10" s="1990"/>
      <c r="M10" s="2029"/>
      <c r="N10" s="2029"/>
      <c r="O10" s="1991"/>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2"/>
      <c r="M11" s="1986"/>
      <c r="N11" s="1986"/>
      <c r="O11" s="1993"/>
      <c r="P11" s="3771"/>
      <c r="Q11" s="1116" t="str">
        <f t="shared" si="6"/>
        <v>容积率</v>
      </c>
      <c r="R11" s="1476" t="s">
        <v>8</v>
      </c>
      <c r="S11" s="1477" t="e">
        <f t="shared" si="0"/>
        <v>#N/A</v>
      </c>
      <c r="T11" s="1476" t="s">
        <v>8</v>
      </c>
      <c r="U11" s="1477" t="e">
        <f t="shared" si="1"/>
        <v>#N/A</v>
      </c>
      <c r="V11" s="1476" t="s">
        <v>8</v>
      </c>
      <c r="W11" s="1477" t="e">
        <f t="shared" si="2"/>
        <v>#N/A</v>
      </c>
      <c r="X11" s="1478"/>
      <c r="Y11" s="3712"/>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15"/>
      <c r="F12" s="253">
        <f>SUMIF(70:70,E12,71:71)-SUMIF(70:70,C12,71:71)+100</f>
        <v>100</v>
      </c>
      <c r="G12" s="883"/>
      <c r="H12" s="253">
        <f>SUMIF(70:70,G12,71:71)-SUMIF(70:70,C12,71:71)+100</f>
        <v>100</v>
      </c>
      <c r="I12" s="515"/>
      <c r="J12" s="253">
        <f>SUMIF(70:70,I12,71:71)-SUMIF(70:70,C12,71:71)+100</f>
        <v>100</v>
      </c>
      <c r="K12" s="557"/>
      <c r="L12" s="1987"/>
      <c r="M12" s="1988"/>
      <c r="N12" s="1988"/>
      <c r="O12" s="1989"/>
      <c r="P12" s="3771"/>
      <c r="Q12" s="1116">
        <f t="shared" si="6"/>
        <v>111</v>
      </c>
      <c r="R12" s="1476" t="s">
        <v>8</v>
      </c>
      <c r="S12" s="1477">
        <f t="shared" si="0"/>
        <v>100</v>
      </c>
      <c r="T12" s="1476" t="s">
        <v>8</v>
      </c>
      <c r="U12" s="1477">
        <f t="shared" si="1"/>
        <v>100</v>
      </c>
      <c r="V12" s="1476" t="s">
        <v>8</v>
      </c>
      <c r="W12" s="1477">
        <f t="shared" si="2"/>
        <v>100</v>
      </c>
      <c r="X12" s="1478"/>
      <c r="Y12" s="3712"/>
      <c r="Z12" s="1115">
        <f t="shared" si="7"/>
        <v>111</v>
      </c>
      <c r="AA12" s="1479">
        <f>D12/F12</f>
        <v>1</v>
      </c>
      <c r="AB12" s="1479">
        <f>D12/H12</f>
        <v>1</v>
      </c>
      <c r="AC12" s="1479">
        <f>D12/J12</f>
        <v>1</v>
      </c>
    </row>
    <row r="13" spans="1:29" ht="15">
      <c r="A13" s="2601"/>
      <c r="B13" s="2607">
        <v>111</v>
      </c>
      <c r="C13" s="515"/>
      <c r="D13" s="516">
        <v>100</v>
      </c>
      <c r="E13" s="515"/>
      <c r="F13" s="253">
        <f>SUMIF(72:72,E13,73:73)-SUMIF(72:72,C13,73:73)+100</f>
        <v>100</v>
      </c>
      <c r="G13" s="883"/>
      <c r="H13" s="516">
        <f>SUMIF(72:72,G13,73:73)-SUMIF(72:72,C13,73:73)+100</f>
        <v>100</v>
      </c>
      <c r="I13" s="515"/>
      <c r="J13" s="516">
        <f>SUMIF(72:72,I13,73:73)-SUMIF(72:72,C13,73:73)+100</f>
        <v>100</v>
      </c>
      <c r="K13" s="557"/>
      <c r="L13" s="1994"/>
      <c r="M13" s="1986"/>
      <c r="N13" s="1986"/>
      <c r="O13" s="1993"/>
      <c r="P13" s="3771"/>
      <c r="Q13" s="1116">
        <f t="shared" si="6"/>
        <v>111</v>
      </c>
      <c r="R13" s="1476" t="s">
        <v>8</v>
      </c>
      <c r="S13" s="1477">
        <f t="shared" si="0"/>
        <v>100</v>
      </c>
      <c r="T13" s="1476" t="s">
        <v>8</v>
      </c>
      <c r="U13" s="1477">
        <f t="shared" si="1"/>
        <v>100</v>
      </c>
      <c r="V13" s="1476" t="s">
        <v>8</v>
      </c>
      <c r="W13" s="1477">
        <f t="shared" si="2"/>
        <v>100</v>
      </c>
      <c r="X13" s="1478"/>
      <c r="Y13" s="3712"/>
      <c r="Z13" s="1115">
        <f t="shared" si="7"/>
        <v>111</v>
      </c>
      <c r="AA13" s="1479">
        <f t="shared" si="3"/>
        <v>1</v>
      </c>
      <c r="AB13" s="1479">
        <f t="shared" si="4"/>
        <v>1</v>
      </c>
      <c r="AC13" s="1479">
        <f t="shared" si="5"/>
        <v>1</v>
      </c>
    </row>
    <row r="14" spans="1:29" ht="15.75" thickBot="1">
      <c r="A14" s="2602"/>
      <c r="B14" s="2608">
        <v>111</v>
      </c>
      <c r="C14" s="521"/>
      <c r="D14" s="522">
        <v>100</v>
      </c>
      <c r="E14" s="521"/>
      <c r="F14" s="522">
        <f>SUMIF(74:74,E14,75:75)-SUMIF(74:74,C14,75:75)+100</f>
        <v>100</v>
      </c>
      <c r="G14" s="883"/>
      <c r="H14" s="522">
        <f>SUMIF(74:74,G14,75:75)-SUMIF(74:74,C14,75:75)+100</f>
        <v>100</v>
      </c>
      <c r="I14" s="515"/>
      <c r="J14" s="522">
        <f>SUMIF(74:74,I14,75:75)-SUMIF(74:74,C14,75:75)+100</f>
        <v>100</v>
      </c>
      <c r="K14" s="557"/>
      <c r="L14" s="1994"/>
      <c r="M14" s="1986"/>
      <c r="N14" s="1986"/>
      <c r="O14" s="1993"/>
      <c r="P14" s="3771"/>
      <c r="Q14" s="1116">
        <f t="shared" si="6"/>
        <v>111</v>
      </c>
      <c r="R14" s="1476" t="s">
        <v>8</v>
      </c>
      <c r="S14" s="1477">
        <f t="shared" si="0"/>
        <v>100</v>
      </c>
      <c r="T14" s="1476" t="s">
        <v>8</v>
      </c>
      <c r="U14" s="1477">
        <f t="shared" si="1"/>
        <v>100</v>
      </c>
      <c r="V14" s="1476" t="s">
        <v>8</v>
      </c>
      <c r="W14" s="1477">
        <f t="shared" si="2"/>
        <v>100</v>
      </c>
      <c r="X14" s="1478"/>
      <c r="Y14" s="3712"/>
      <c r="Z14" s="1115">
        <f t="shared" si="7"/>
        <v>111</v>
      </c>
      <c r="AA14" s="1479">
        <f t="shared" si="3"/>
        <v>1</v>
      </c>
      <c r="AB14" s="1479">
        <f t="shared" si="4"/>
        <v>1</v>
      </c>
      <c r="AC14" s="1479">
        <f t="shared" si="5"/>
        <v>1</v>
      </c>
    </row>
    <row r="15" spans="1:29" ht="71.25">
      <c r="A15" s="2594" t="s">
        <v>2705</v>
      </c>
      <c r="B15" s="164" t="s">
        <v>518</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4"/>
      <c r="M15" s="1986"/>
      <c r="N15" s="1986"/>
      <c r="O15" s="1993"/>
      <c r="P15" s="3773" t="s">
        <v>517</v>
      </c>
      <c r="Q15" s="1480" t="str">
        <f t="shared" si="6"/>
        <v>商业繁华度</v>
      </c>
      <c r="R15" s="1481" t="s">
        <v>8</v>
      </c>
      <c r="S15" s="1482">
        <f t="shared" si="0"/>
        <v>100</v>
      </c>
      <c r="T15" s="1481" t="s">
        <v>8</v>
      </c>
      <c r="U15" s="1482">
        <f t="shared" si="1"/>
        <v>100</v>
      </c>
      <c r="V15" s="1481" t="s">
        <v>8</v>
      </c>
      <c r="W15" s="1482">
        <f t="shared" si="2"/>
        <v>100</v>
      </c>
      <c r="X15" s="1475"/>
      <c r="Y15" s="3773" t="s">
        <v>517</v>
      </c>
      <c r="Z15" s="1483" t="str">
        <f t="shared" si="7"/>
        <v>商业繁华度</v>
      </c>
      <c r="AA15" s="1484">
        <f t="shared" si="3"/>
        <v>1</v>
      </c>
      <c r="AB15" s="1484">
        <f t="shared" si="4"/>
        <v>1</v>
      </c>
      <c r="AC15" s="1484">
        <f t="shared" si="5"/>
        <v>1</v>
      </c>
    </row>
    <row r="16" spans="1:29" ht="15">
      <c r="A16" s="508"/>
      <c r="B16" s="840"/>
      <c r="C16" s="552"/>
      <c r="D16" s="531"/>
      <c r="E16" s="552"/>
      <c r="F16" s="533"/>
      <c r="G16" s="552"/>
      <c r="H16" s="535"/>
      <c r="I16" s="552"/>
      <c r="J16" s="531"/>
      <c r="K16" s="870"/>
      <c r="L16" s="1994"/>
      <c r="M16" s="1986"/>
      <c r="N16" s="1986"/>
      <c r="O16" s="1993"/>
      <c r="P16" s="3774"/>
      <c r="Q16" s="1480"/>
      <c r="R16" s="1481"/>
      <c r="S16" s="1482"/>
      <c r="T16" s="1481"/>
      <c r="U16" s="1482"/>
      <c r="V16" s="1481"/>
      <c r="W16" s="1482"/>
      <c r="X16" s="1475"/>
      <c r="Y16" s="3774"/>
      <c r="Z16" s="1483"/>
      <c r="AA16" s="1484">
        <v>1</v>
      </c>
      <c r="AB16" s="1484">
        <v>1</v>
      </c>
      <c r="AC16" s="1484">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4"/>
      <c r="M17" s="1986"/>
      <c r="N17" s="1986"/>
      <c r="O17" s="1993"/>
      <c r="P17" s="3774"/>
      <c r="Q17" s="1480" t="str">
        <f>B17</f>
        <v>交通便捷度</v>
      </c>
      <c r="R17" s="1481" t="s">
        <v>8</v>
      </c>
      <c r="S17" s="1482">
        <f>F17</f>
        <v>100</v>
      </c>
      <c r="T17" s="1481" t="s">
        <v>8</v>
      </c>
      <c r="U17" s="1482">
        <f>H17</f>
        <v>100</v>
      </c>
      <c r="V17" s="1481" t="s">
        <v>8</v>
      </c>
      <c r="W17" s="1482">
        <f>J17</f>
        <v>100</v>
      </c>
      <c r="X17" s="1475"/>
      <c r="Y17" s="3774"/>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4"/>
      <c r="M18" s="1986"/>
      <c r="N18" s="1986"/>
      <c r="O18" s="1993"/>
      <c r="P18" s="3774"/>
      <c r="Q18" s="1480"/>
      <c r="R18" s="1481"/>
      <c r="S18" s="1482"/>
      <c r="T18" s="1481"/>
      <c r="U18" s="1482"/>
      <c r="V18" s="1481"/>
      <c r="W18" s="1482"/>
      <c r="X18" s="1475"/>
      <c r="Y18" s="3774"/>
      <c r="Z18" s="1483"/>
      <c r="AA18" s="1484">
        <v>1</v>
      </c>
      <c r="AB18" s="1484">
        <v>1</v>
      </c>
      <c r="AC18" s="1484">
        <v>1</v>
      </c>
    </row>
    <row r="19" spans="1:29" ht="42.75">
      <c r="A19" s="508"/>
      <c r="B19" s="2411"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4"/>
      <c r="M19" s="1986"/>
      <c r="N19" s="1986"/>
      <c r="O19" s="1993"/>
      <c r="P19" s="3774"/>
      <c r="Q19" s="1480" t="str">
        <f>B19</f>
        <v>公共配套设施</v>
      </c>
      <c r="R19" s="1481" t="s">
        <v>8</v>
      </c>
      <c r="S19" s="1482">
        <f>F19</f>
        <v>100</v>
      </c>
      <c r="T19" s="1481" t="s">
        <v>8</v>
      </c>
      <c r="U19" s="1482">
        <f>H19</f>
        <v>100</v>
      </c>
      <c r="V19" s="1481" t="s">
        <v>8</v>
      </c>
      <c r="W19" s="1482">
        <f>J19</f>
        <v>100</v>
      </c>
      <c r="X19" s="1475"/>
      <c r="Y19" s="3774"/>
      <c r="Z19" s="1483" t="str">
        <f>Q19</f>
        <v>公共配套设施</v>
      </c>
      <c r="AA19" s="1484">
        <f t="shared" si="3"/>
        <v>1</v>
      </c>
      <c r="AB19" s="1484">
        <f t="shared" si="4"/>
        <v>1</v>
      </c>
      <c r="AC19" s="1484">
        <f t="shared" si="5"/>
        <v>1</v>
      </c>
    </row>
    <row r="20" spans="1:29" ht="15">
      <c r="A20" s="508"/>
      <c r="B20" s="571"/>
      <c r="C20" s="552"/>
      <c r="D20" s="531"/>
      <c r="E20" s="532"/>
      <c r="F20" s="533"/>
      <c r="G20" s="534"/>
      <c r="H20" s="531"/>
      <c r="I20" s="532"/>
      <c r="J20" s="531"/>
      <c r="K20" s="870"/>
      <c r="L20" s="1994"/>
      <c r="M20" s="1986"/>
      <c r="N20" s="1986"/>
      <c r="O20" s="1993"/>
      <c r="P20" s="3774"/>
      <c r="Q20" s="1480"/>
      <c r="R20" s="1481"/>
      <c r="S20" s="1482"/>
      <c r="T20" s="1481"/>
      <c r="U20" s="1482"/>
      <c r="V20" s="1481"/>
      <c r="W20" s="1482"/>
      <c r="X20" s="1475"/>
      <c r="Y20" s="3774"/>
      <c r="Z20" s="1483"/>
      <c r="AA20" s="1484">
        <v>1</v>
      </c>
      <c r="AB20" s="1484">
        <v>1</v>
      </c>
      <c r="AC20" s="1484">
        <v>1</v>
      </c>
    </row>
    <row r="21" spans="1:29" ht="28.5">
      <c r="A21" s="508"/>
      <c r="B21" s="2404"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4"/>
      <c r="M21" s="1986"/>
      <c r="N21" s="1986"/>
      <c r="O21" s="1993"/>
      <c r="P21" s="3774"/>
      <c r="Q21" s="2396" t="str">
        <f>B21</f>
        <v>基础设施水平</v>
      </c>
      <c r="R21" s="1481" t="s">
        <v>8</v>
      </c>
      <c r="S21" s="1482">
        <f>F21</f>
        <v>100</v>
      </c>
      <c r="T21" s="1481" t="s">
        <v>8</v>
      </c>
      <c r="U21" s="1482">
        <f>H21</f>
        <v>100</v>
      </c>
      <c r="V21" s="1481" t="s">
        <v>8</v>
      </c>
      <c r="W21" s="1482">
        <f>J21</f>
        <v>100</v>
      </c>
      <c r="X21" s="2398"/>
      <c r="Y21" s="3774"/>
      <c r="Z21" s="2397" t="str">
        <f>Q21</f>
        <v>基础设施水平</v>
      </c>
      <c r="AA21" s="1484">
        <f t="shared" ref="AA21" si="8">D21/F21</f>
        <v>1</v>
      </c>
      <c r="AB21" s="1484">
        <f t="shared" ref="AB21" si="9">D21/H21</f>
        <v>1</v>
      </c>
      <c r="AC21" s="1484">
        <f t="shared" ref="AC21" si="10">D21/J21</f>
        <v>1</v>
      </c>
    </row>
    <row r="22" spans="1:29" ht="15">
      <c r="A22" s="508"/>
      <c r="B22" s="893"/>
      <c r="C22" s="844"/>
      <c r="D22" s="531"/>
      <c r="E22" s="552"/>
      <c r="F22" s="533"/>
      <c r="G22" s="552"/>
      <c r="H22" s="531"/>
      <c r="I22" s="552"/>
      <c r="J22" s="531"/>
      <c r="K22" s="2413"/>
      <c r="L22" s="1994"/>
      <c r="M22" s="1986"/>
      <c r="N22" s="1986"/>
      <c r="O22" s="1993"/>
      <c r="P22" s="3774"/>
      <c r="Q22" s="2396"/>
      <c r="R22" s="1481"/>
      <c r="S22" s="1482"/>
      <c r="T22" s="1481"/>
      <c r="U22" s="1482"/>
      <c r="V22" s="1481"/>
      <c r="W22" s="1482"/>
      <c r="X22" s="2398"/>
      <c r="Y22" s="3774"/>
      <c r="Z22" s="2397"/>
      <c r="AA22" s="1484">
        <v>1</v>
      </c>
      <c r="AB22" s="1484">
        <v>1</v>
      </c>
      <c r="AC22" s="1484">
        <v>1</v>
      </c>
    </row>
    <row r="23" spans="1:29" ht="57">
      <c r="A23" s="508"/>
      <c r="B23" s="842" t="s">
        <v>296</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4"/>
      <c r="M23" s="1986"/>
      <c r="N23" s="1986"/>
      <c r="O23" s="1993"/>
      <c r="P23" s="3774"/>
      <c r="Q23" s="1480" t="str">
        <f>B23</f>
        <v>自然及人文环境</v>
      </c>
      <c r="R23" s="1481" t="s">
        <v>8</v>
      </c>
      <c r="S23" s="1482">
        <f>F23</f>
        <v>100</v>
      </c>
      <c r="T23" s="1481" t="s">
        <v>8</v>
      </c>
      <c r="U23" s="1482">
        <f>H23</f>
        <v>100</v>
      </c>
      <c r="V23" s="1481" t="s">
        <v>8</v>
      </c>
      <c r="W23" s="1482">
        <f>J23</f>
        <v>100</v>
      </c>
      <c r="X23" s="1475"/>
      <c r="Y23" s="3774"/>
      <c r="Z23" s="1483" t="str">
        <f>Q23</f>
        <v>自然及人文环境</v>
      </c>
      <c r="AA23" s="1484">
        <f t="shared" si="3"/>
        <v>1</v>
      </c>
      <c r="AB23" s="1484">
        <f t="shared" si="4"/>
        <v>1</v>
      </c>
      <c r="AC23" s="1484">
        <f t="shared" si="5"/>
        <v>1</v>
      </c>
    </row>
    <row r="24" spans="1:29" ht="15">
      <c r="A24" s="508"/>
      <c r="B24" s="571"/>
      <c r="C24" s="552"/>
      <c r="D24" s="531"/>
      <c r="E24" s="532"/>
      <c r="F24" s="533"/>
      <c r="G24" s="534"/>
      <c r="H24" s="531"/>
      <c r="I24" s="532"/>
      <c r="J24" s="531"/>
      <c r="K24" s="870"/>
      <c r="L24" s="1994"/>
      <c r="M24" s="1986"/>
      <c r="N24" s="1986"/>
      <c r="O24" s="1993"/>
      <c r="P24" s="3774"/>
      <c r="Q24" s="1480"/>
      <c r="R24" s="1481"/>
      <c r="S24" s="1482"/>
      <c r="T24" s="1481"/>
      <c r="U24" s="1482"/>
      <c r="V24" s="1481"/>
      <c r="W24" s="1482"/>
      <c r="X24" s="1475"/>
      <c r="Y24" s="3774"/>
      <c r="Z24" s="1483"/>
      <c r="AA24" s="1484">
        <v>1</v>
      </c>
      <c r="AB24" s="1484">
        <v>1</v>
      </c>
      <c r="AC24" s="1484">
        <v>1</v>
      </c>
    </row>
    <row r="25" spans="1:29" ht="15">
      <c r="A25" s="508"/>
      <c r="B25" s="503" t="s">
        <v>524</v>
      </c>
      <c r="C25" s="559"/>
      <c r="D25" s="516">
        <v>100</v>
      </c>
      <c r="E25" s="559"/>
      <c r="F25" s="551">
        <f>SUMIF(86:86,E25,87:87)-SUMIF(86:86,C25,87:87)+100</f>
        <v>100</v>
      </c>
      <c r="G25" s="559"/>
      <c r="H25" s="516">
        <f>SUMIF(86:86,G25,87:87)-SUMIF(86:86,C25,87:87)+100</f>
        <v>100</v>
      </c>
      <c r="I25" s="559"/>
      <c r="J25" s="516">
        <f>SUMIF(86:86,I25,87:87)-SUMIF(86:86,C25,87:87)+100</f>
        <v>100</v>
      </c>
      <c r="K25" s="560"/>
      <c r="L25" s="1994"/>
      <c r="M25" s="1986"/>
      <c r="N25" s="1986"/>
      <c r="O25" s="1993"/>
      <c r="P25" s="3774"/>
      <c r="Q25" s="1480" t="str">
        <f t="shared" ref="Q25:Q46" si="11">B25</f>
        <v>临街状况</v>
      </c>
      <c r="R25" s="1481" t="s">
        <v>8</v>
      </c>
      <c r="S25" s="1482">
        <f>F25</f>
        <v>100</v>
      </c>
      <c r="T25" s="1481" t="s">
        <v>8</v>
      </c>
      <c r="U25" s="1482">
        <f>H25</f>
        <v>100</v>
      </c>
      <c r="V25" s="1481" t="s">
        <v>8</v>
      </c>
      <c r="W25" s="1482">
        <f>J25</f>
        <v>100</v>
      </c>
      <c r="X25" s="1475"/>
      <c r="Y25" s="3774"/>
      <c r="Z25" s="1483" t="str">
        <f>Q25</f>
        <v>临街状况</v>
      </c>
      <c r="AA25" s="1484">
        <f t="shared" si="3"/>
        <v>1</v>
      </c>
      <c r="AB25" s="1484">
        <f t="shared" si="4"/>
        <v>1</v>
      </c>
      <c r="AC25" s="1484">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94"/>
      <c r="M26" s="1986"/>
      <c r="N26" s="1986"/>
      <c r="O26" s="1993"/>
      <c r="P26" s="3774"/>
      <c r="Q26" s="1480" t="str">
        <f t="shared" si="11"/>
        <v>平面位置/可视性</v>
      </c>
      <c r="R26" s="1481" t="s">
        <v>8</v>
      </c>
      <c r="S26" s="1482">
        <f>F26</f>
        <v>100</v>
      </c>
      <c r="T26" s="1481" t="s">
        <v>8</v>
      </c>
      <c r="U26" s="1482">
        <f>H26</f>
        <v>100</v>
      </c>
      <c r="V26" s="1481" t="s">
        <v>8</v>
      </c>
      <c r="W26" s="1482">
        <f>J26</f>
        <v>100</v>
      </c>
      <c r="X26" s="1475"/>
      <c r="Y26" s="3774"/>
      <c r="Z26" s="1483" t="str">
        <f>Q26</f>
        <v>平面位置/可视性</v>
      </c>
      <c r="AA26" s="1484">
        <f t="shared" si="3"/>
        <v>1</v>
      </c>
      <c r="AB26" s="1484">
        <f t="shared" si="4"/>
        <v>1</v>
      </c>
      <c r="AC26" s="1484">
        <f t="shared" si="5"/>
        <v>1</v>
      </c>
    </row>
    <row r="27" spans="1:29" s="1185"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87"/>
      <c r="M27" s="1988"/>
      <c r="N27" s="1988"/>
      <c r="O27" s="1989"/>
      <c r="P27" s="3774"/>
      <c r="Q27" s="1116" t="str">
        <f t="shared" si="11"/>
        <v>人流量</v>
      </c>
      <c r="R27" s="1476" t="s">
        <v>8</v>
      </c>
      <c r="S27" s="1477">
        <f>F27</f>
        <v>100</v>
      </c>
      <c r="T27" s="1476" t="s">
        <v>8</v>
      </c>
      <c r="U27" s="1477">
        <f>H27</f>
        <v>100</v>
      </c>
      <c r="V27" s="1476" t="s">
        <v>8</v>
      </c>
      <c r="W27" s="1477">
        <f>J27</f>
        <v>100</v>
      </c>
      <c r="X27" s="1478"/>
      <c r="Y27" s="3774"/>
      <c r="Z27" s="1115" t="str">
        <f>Q27</f>
        <v>人流量</v>
      </c>
      <c r="AA27" s="1484">
        <f>D27/F27</f>
        <v>1</v>
      </c>
      <c r="AB27" s="1484">
        <f>D27/H27</f>
        <v>1</v>
      </c>
      <c r="AC27" s="1484">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94"/>
      <c r="M28" s="1986"/>
      <c r="N28" s="1986"/>
      <c r="O28" s="1993"/>
      <c r="P28" s="3774"/>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774"/>
      <c r="Z28" s="1483" t="str">
        <f t="shared" ref="Z28:Z46" si="15">Q28</f>
        <v>楼层</v>
      </c>
      <c r="AA28" s="1484">
        <f t="shared" si="3"/>
        <v>1</v>
      </c>
      <c r="AB28" s="1484">
        <f t="shared" si="4"/>
        <v>1</v>
      </c>
      <c r="AC28" s="1484">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4"/>
      <c r="M29" s="1986"/>
      <c r="N29" s="1986"/>
      <c r="O29" s="1993"/>
      <c r="P29" s="3774"/>
      <c r="Q29" s="1480">
        <f t="shared" si="11"/>
        <v>111</v>
      </c>
      <c r="R29" s="1481" t="s">
        <v>8</v>
      </c>
      <c r="S29" s="1482">
        <f t="shared" si="12"/>
        <v>100</v>
      </c>
      <c r="T29" s="1481" t="s">
        <v>8</v>
      </c>
      <c r="U29" s="1482">
        <f t="shared" si="13"/>
        <v>100</v>
      </c>
      <c r="V29" s="1481" t="s">
        <v>8</v>
      </c>
      <c r="W29" s="1482">
        <f t="shared" si="14"/>
        <v>100</v>
      </c>
      <c r="X29" s="1475"/>
      <c r="Y29" s="3774"/>
      <c r="Z29" s="1483">
        <f t="shared" si="15"/>
        <v>111</v>
      </c>
      <c r="AA29" s="1484">
        <f t="shared" si="3"/>
        <v>1</v>
      </c>
      <c r="AB29" s="1484">
        <f t="shared" si="4"/>
        <v>1</v>
      </c>
      <c r="AC29" s="1484">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4"/>
      <c r="M30" s="1986"/>
      <c r="N30" s="1986"/>
      <c r="O30" s="1993"/>
      <c r="P30" s="3774"/>
      <c r="Q30" s="1480">
        <f t="shared" si="11"/>
        <v>111</v>
      </c>
      <c r="R30" s="1481" t="s">
        <v>8</v>
      </c>
      <c r="S30" s="1482">
        <f t="shared" si="12"/>
        <v>100</v>
      </c>
      <c r="T30" s="1481" t="s">
        <v>8</v>
      </c>
      <c r="U30" s="1482">
        <f t="shared" si="13"/>
        <v>100</v>
      </c>
      <c r="V30" s="1481" t="s">
        <v>8</v>
      </c>
      <c r="W30" s="1482">
        <f t="shared" si="14"/>
        <v>100</v>
      </c>
      <c r="X30" s="1475"/>
      <c r="Y30" s="3774"/>
      <c r="Z30" s="1483">
        <f t="shared" si="15"/>
        <v>111</v>
      </c>
      <c r="AA30" s="1484">
        <f t="shared" si="3"/>
        <v>1</v>
      </c>
      <c r="AB30" s="1484">
        <f t="shared" si="4"/>
        <v>1</v>
      </c>
      <c r="AC30" s="1484">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4"/>
      <c r="M31" s="1986"/>
      <c r="N31" s="1986"/>
      <c r="O31" s="1993"/>
      <c r="P31" s="3774"/>
      <c r="Q31" s="1480">
        <f t="shared" si="11"/>
        <v>111</v>
      </c>
      <c r="R31" s="1481" t="s">
        <v>8</v>
      </c>
      <c r="S31" s="1482">
        <f t="shared" si="12"/>
        <v>100</v>
      </c>
      <c r="T31" s="1481" t="s">
        <v>8</v>
      </c>
      <c r="U31" s="1482">
        <f t="shared" si="13"/>
        <v>100</v>
      </c>
      <c r="V31" s="1481" t="s">
        <v>8</v>
      </c>
      <c r="W31" s="1482">
        <f t="shared" si="14"/>
        <v>100</v>
      </c>
      <c r="X31" s="1475"/>
      <c r="Y31" s="3774"/>
      <c r="Z31" s="1483">
        <f t="shared" si="15"/>
        <v>111</v>
      </c>
      <c r="AA31" s="1484">
        <f t="shared" si="3"/>
        <v>1</v>
      </c>
      <c r="AB31" s="1484">
        <f t="shared" si="4"/>
        <v>1</v>
      </c>
      <c r="AC31" s="1484">
        <f t="shared" si="5"/>
        <v>1</v>
      </c>
    </row>
    <row r="32" spans="1:29" ht="15">
      <c r="A32" s="2591" t="s">
        <v>2706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4"/>
      <c r="M32" s="1986"/>
      <c r="N32" s="1986"/>
      <c r="O32" s="1993"/>
      <c r="P32" s="3775" t="s">
        <v>527</v>
      </c>
      <c r="Q32" s="1480" t="str">
        <f t="shared" si="11"/>
        <v>商业类型</v>
      </c>
      <c r="R32" s="1481" t="s">
        <v>8</v>
      </c>
      <c r="S32" s="1482">
        <f t="shared" si="12"/>
        <v>100</v>
      </c>
      <c r="T32" s="1481" t="s">
        <v>8</v>
      </c>
      <c r="U32" s="1482">
        <f t="shared" si="13"/>
        <v>100</v>
      </c>
      <c r="V32" s="1481" t="s">
        <v>8</v>
      </c>
      <c r="W32" s="1482">
        <f t="shared" si="14"/>
        <v>100</v>
      </c>
      <c r="X32" s="1475"/>
      <c r="Y32" s="3776" t="s">
        <v>527</v>
      </c>
      <c r="Z32" s="1483" t="str">
        <f t="shared" si="15"/>
        <v>商业类型</v>
      </c>
      <c r="AA32" s="1484">
        <f t="shared" si="3"/>
        <v>1</v>
      </c>
      <c r="AB32" s="1484">
        <f t="shared" si="4"/>
        <v>1</v>
      </c>
      <c r="AC32" s="1484">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2"/>
      <c r="M33" s="2022"/>
      <c r="N33" s="2022"/>
      <c r="O33" s="1995"/>
      <c r="P33" s="3776"/>
      <c r="Q33" s="1509" t="str">
        <f t="shared" si="11"/>
        <v>项目建筑规模</v>
      </c>
      <c r="R33" s="1485" t="s">
        <v>8</v>
      </c>
      <c r="S33" s="1486" t="e">
        <f t="shared" si="12"/>
        <v>#N/A</v>
      </c>
      <c r="T33" s="1485" t="s">
        <v>8</v>
      </c>
      <c r="U33" s="1486" t="e">
        <f t="shared" si="13"/>
        <v>#N/A</v>
      </c>
      <c r="V33" s="1485" t="s">
        <v>8</v>
      </c>
      <c r="W33" s="1486" t="e">
        <f t="shared" si="14"/>
        <v>#N/A</v>
      </c>
      <c r="X33" s="1487"/>
      <c r="Y33" s="3776"/>
      <c r="Z33" s="1488" t="str">
        <f t="shared" si="15"/>
        <v>项目建筑规模</v>
      </c>
      <c r="AA33" s="1484" t="e">
        <f t="shared" si="3"/>
        <v>#N/A</v>
      </c>
      <c r="AB33" s="1484" t="e">
        <f t="shared" si="4"/>
        <v>#N/A</v>
      </c>
      <c r="AC33" s="1484"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4"/>
      <c r="M34" s="1986"/>
      <c r="N34" s="1986"/>
      <c r="O34" s="1993"/>
      <c r="P34" s="3776"/>
      <c r="Q34" s="1480" t="str">
        <f t="shared" si="11"/>
        <v>建筑结构</v>
      </c>
      <c r="R34" s="1481" t="s">
        <v>8</v>
      </c>
      <c r="S34" s="1482">
        <f t="shared" si="12"/>
        <v>100</v>
      </c>
      <c r="T34" s="1481" t="s">
        <v>8</v>
      </c>
      <c r="U34" s="1482">
        <f t="shared" si="13"/>
        <v>100</v>
      </c>
      <c r="V34" s="1481" t="s">
        <v>8</v>
      </c>
      <c r="W34" s="1482">
        <f t="shared" si="14"/>
        <v>100</v>
      </c>
      <c r="X34" s="1475"/>
      <c r="Y34" s="3776"/>
      <c r="Z34" s="1483" t="str">
        <f t="shared" si="15"/>
        <v>建筑结构</v>
      </c>
      <c r="AA34" s="1484">
        <f t="shared" si="3"/>
        <v>1</v>
      </c>
      <c r="AB34" s="1484">
        <f t="shared" si="4"/>
        <v>1</v>
      </c>
      <c r="AC34" s="1484">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4"/>
      <c r="M35" s="1986"/>
      <c r="N35" s="1986"/>
      <c r="O35" s="1993"/>
      <c r="P35" s="3776"/>
      <c r="Q35" s="1480" t="str">
        <f t="shared" si="11"/>
        <v>公共部分装修</v>
      </c>
      <c r="R35" s="1481" t="s">
        <v>8</v>
      </c>
      <c r="S35" s="1482">
        <f t="shared" si="12"/>
        <v>100</v>
      </c>
      <c r="T35" s="1481" t="s">
        <v>8</v>
      </c>
      <c r="U35" s="1482">
        <f t="shared" si="13"/>
        <v>100</v>
      </c>
      <c r="V35" s="1481" t="s">
        <v>8</v>
      </c>
      <c r="W35" s="1482">
        <f t="shared" si="14"/>
        <v>100</v>
      </c>
      <c r="X35" s="1475"/>
      <c r="Y35" s="3776"/>
      <c r="Z35" s="1483" t="str">
        <f t="shared" si="15"/>
        <v>公共部分装修</v>
      </c>
      <c r="AA35" s="1484">
        <f t="shared" si="3"/>
        <v>1</v>
      </c>
      <c r="AB35" s="1484">
        <f t="shared" si="4"/>
        <v>1</v>
      </c>
      <c r="AC35" s="1484">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4"/>
      <c r="M36" s="1986"/>
      <c r="N36" s="1986"/>
      <c r="O36" s="1993"/>
      <c r="P36" s="3776"/>
      <c r="Q36" s="1480" t="str">
        <f t="shared" si="11"/>
        <v>成新度</v>
      </c>
      <c r="R36" s="1481" t="s">
        <v>8</v>
      </c>
      <c r="S36" s="1482" t="e">
        <f t="shared" si="12"/>
        <v>#N/A</v>
      </c>
      <c r="T36" s="1481" t="s">
        <v>8</v>
      </c>
      <c r="U36" s="1482" t="e">
        <f t="shared" si="13"/>
        <v>#N/A</v>
      </c>
      <c r="V36" s="1481" t="s">
        <v>8</v>
      </c>
      <c r="W36" s="1482" t="e">
        <f t="shared" si="14"/>
        <v>#N/A</v>
      </c>
      <c r="X36" s="1475"/>
      <c r="Y36" s="3776"/>
      <c r="Z36" s="1483" t="str">
        <f t="shared" si="15"/>
        <v>成新度</v>
      </c>
      <c r="AA36" s="1484" t="e">
        <f t="shared" si="3"/>
        <v>#N/A</v>
      </c>
      <c r="AB36" s="1484" t="e">
        <f t="shared" si="4"/>
        <v>#N/A</v>
      </c>
      <c r="AC36" s="1484" t="e">
        <f t="shared" si="5"/>
        <v>#N/A</v>
      </c>
    </row>
    <row r="37" spans="1:29" s="1185" customFormat="1" ht="15">
      <c r="A37" s="576"/>
      <c r="B37" s="1781" t="s">
        <v>2517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7"/>
      <c r="M37" s="1988"/>
      <c r="N37" s="1988"/>
      <c r="O37" s="1989"/>
      <c r="P37" s="3776"/>
      <c r="Q37" s="1116" t="str">
        <f t="shared" si="11"/>
        <v>市政基础设施</v>
      </c>
      <c r="R37" s="1476" t="s">
        <v>8</v>
      </c>
      <c r="S37" s="1477">
        <f t="shared" si="12"/>
        <v>100</v>
      </c>
      <c r="T37" s="1476" t="s">
        <v>8</v>
      </c>
      <c r="U37" s="1477">
        <f t="shared" si="13"/>
        <v>100</v>
      </c>
      <c r="V37" s="1476" t="s">
        <v>8</v>
      </c>
      <c r="W37" s="1477">
        <f t="shared" si="14"/>
        <v>100</v>
      </c>
      <c r="X37" s="1478"/>
      <c r="Y37" s="3776"/>
      <c r="Z37" s="1115" t="str">
        <f t="shared" si="15"/>
        <v>市政基础设施</v>
      </c>
      <c r="AA37" s="1479">
        <f t="shared" si="3"/>
        <v>1</v>
      </c>
      <c r="AB37" s="1479">
        <f t="shared" si="4"/>
        <v>1</v>
      </c>
      <c r="AC37" s="1479">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4"/>
      <c r="M38" s="1986"/>
      <c r="N38" s="1986"/>
      <c r="O38" s="1993"/>
      <c r="P38" s="3776" t="s">
        <v>743</v>
      </c>
      <c r="Q38" s="1480" t="str">
        <f t="shared" si="11"/>
        <v>业态</v>
      </c>
      <c r="R38" s="1481" t="s">
        <v>8</v>
      </c>
      <c r="S38" s="1482">
        <f t="shared" si="12"/>
        <v>100</v>
      </c>
      <c r="T38" s="1481" t="s">
        <v>8</v>
      </c>
      <c r="U38" s="1482">
        <f t="shared" si="13"/>
        <v>100</v>
      </c>
      <c r="V38" s="1481" t="s">
        <v>8</v>
      </c>
      <c r="W38" s="1482">
        <f t="shared" si="14"/>
        <v>100</v>
      </c>
      <c r="X38" s="1475"/>
      <c r="Y38" s="3776" t="s">
        <v>743</v>
      </c>
      <c r="Z38" s="1483" t="str">
        <f t="shared" si="15"/>
        <v>业态</v>
      </c>
      <c r="AA38" s="1484">
        <f t="shared" si="3"/>
        <v>1</v>
      </c>
      <c r="AB38" s="1484">
        <f t="shared" si="4"/>
        <v>1</v>
      </c>
      <c r="AC38" s="1484">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776"/>
      <c r="Q39" s="1480" t="str">
        <f t="shared" si="11"/>
        <v>层高</v>
      </c>
      <c r="R39" s="1481" t="s">
        <v>8</v>
      </c>
      <c r="S39" s="1482">
        <f t="shared" si="12"/>
        <v>100</v>
      </c>
      <c r="T39" s="1481" t="s">
        <v>8</v>
      </c>
      <c r="U39" s="1482">
        <f t="shared" si="13"/>
        <v>100</v>
      </c>
      <c r="V39" s="1481" t="s">
        <v>8</v>
      </c>
      <c r="W39" s="1482">
        <f t="shared" si="14"/>
        <v>100</v>
      </c>
      <c r="X39" s="1475"/>
      <c r="Y39" s="3776"/>
      <c r="Z39" s="1483" t="str">
        <f t="shared" si="15"/>
        <v>层高</v>
      </c>
      <c r="AA39" s="1484">
        <f t="shared" si="3"/>
        <v>1</v>
      </c>
      <c r="AB39" s="1484">
        <f t="shared" si="4"/>
        <v>1</v>
      </c>
      <c r="AC39" s="1484">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4"/>
      <c r="M40" s="1986"/>
      <c r="N40" s="1986"/>
      <c r="O40" s="1993"/>
      <c r="P40" s="3776"/>
      <c r="Q40" s="1480" t="str">
        <f t="shared" si="11"/>
        <v>单套建筑面积</v>
      </c>
      <c r="R40" s="1481" t="s">
        <v>8</v>
      </c>
      <c r="S40" s="1482">
        <f t="shared" si="12"/>
        <v>100</v>
      </c>
      <c r="T40" s="1481" t="s">
        <v>8</v>
      </c>
      <c r="U40" s="1482">
        <f t="shared" si="13"/>
        <v>100</v>
      </c>
      <c r="V40" s="1481" t="s">
        <v>8</v>
      </c>
      <c r="W40" s="1482">
        <f t="shared" si="14"/>
        <v>100</v>
      </c>
      <c r="X40" s="1475"/>
      <c r="Y40" s="3776"/>
      <c r="Z40" s="1483" t="str">
        <f t="shared" si="15"/>
        <v>单套建筑面积</v>
      </c>
      <c r="AA40" s="1484">
        <f t="shared" si="3"/>
        <v>1</v>
      </c>
      <c r="AB40" s="1484">
        <f t="shared" si="4"/>
        <v>1</v>
      </c>
      <c r="AC40" s="1484">
        <f t="shared" si="5"/>
        <v>1</v>
      </c>
    </row>
    <row r="41" spans="1:29" s="1267"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2"/>
      <c r="M41" s="2022"/>
      <c r="N41" s="2022"/>
      <c r="O41" s="1995"/>
      <c r="P41" s="3776"/>
      <c r="Q41" s="1509" t="str">
        <f t="shared" si="11"/>
        <v>进深比</v>
      </c>
      <c r="R41" s="1485" t="s">
        <v>8</v>
      </c>
      <c r="S41" s="1486">
        <f t="shared" si="12"/>
        <v>100</v>
      </c>
      <c r="T41" s="1485" t="s">
        <v>8</v>
      </c>
      <c r="U41" s="1486">
        <f t="shared" si="13"/>
        <v>100</v>
      </c>
      <c r="V41" s="1485" t="s">
        <v>8</v>
      </c>
      <c r="W41" s="1486">
        <f t="shared" si="14"/>
        <v>100</v>
      </c>
      <c r="X41" s="1487"/>
      <c r="Y41" s="3776"/>
      <c r="Z41" s="1488" t="str">
        <f t="shared" si="15"/>
        <v>进深比</v>
      </c>
      <c r="AA41" s="1484">
        <f t="shared" si="3"/>
        <v>1</v>
      </c>
      <c r="AB41" s="1484">
        <f t="shared" si="4"/>
        <v>1</v>
      </c>
      <c r="AC41" s="1484">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4"/>
      <c r="M42" s="1986"/>
      <c r="N42" s="1986"/>
      <c r="O42" s="1993"/>
      <c r="P42" s="3776"/>
      <c r="Q42" s="1480" t="str">
        <f t="shared" si="11"/>
        <v>内部装修</v>
      </c>
      <c r="R42" s="1481" t="s">
        <v>8</v>
      </c>
      <c r="S42" s="1482">
        <f t="shared" si="12"/>
        <v>100</v>
      </c>
      <c r="T42" s="1481" t="s">
        <v>8</v>
      </c>
      <c r="U42" s="1482">
        <f t="shared" si="13"/>
        <v>100</v>
      </c>
      <c r="V42" s="1481" t="s">
        <v>8</v>
      </c>
      <c r="W42" s="1482">
        <f t="shared" si="14"/>
        <v>100</v>
      </c>
      <c r="X42" s="1475"/>
      <c r="Y42" s="3776"/>
      <c r="Z42" s="1483" t="str">
        <f t="shared" si="15"/>
        <v>内部装修</v>
      </c>
      <c r="AA42" s="1484">
        <f t="shared" si="3"/>
        <v>1</v>
      </c>
      <c r="AB42" s="1484">
        <f t="shared" si="4"/>
        <v>1</v>
      </c>
      <c r="AC42" s="1484">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4"/>
      <c r="M43" s="1986"/>
      <c r="N43" s="1986"/>
      <c r="O43" s="1993"/>
      <c r="P43" s="3776"/>
      <c r="Q43" s="1480" t="str">
        <f t="shared" si="11"/>
        <v>内部装修维护情况</v>
      </c>
      <c r="R43" s="1481" t="s">
        <v>8</v>
      </c>
      <c r="S43" s="1482">
        <f t="shared" si="12"/>
        <v>100</v>
      </c>
      <c r="T43" s="1481" t="s">
        <v>8</v>
      </c>
      <c r="U43" s="1482">
        <f t="shared" si="13"/>
        <v>100</v>
      </c>
      <c r="V43" s="1481" t="s">
        <v>8</v>
      </c>
      <c r="W43" s="1482">
        <f t="shared" si="14"/>
        <v>100</v>
      </c>
      <c r="X43" s="1475"/>
      <c r="Y43" s="3776"/>
      <c r="Z43" s="1483" t="str">
        <f t="shared" si="15"/>
        <v>内部装修维护情况</v>
      </c>
      <c r="AA43" s="1484">
        <f t="shared" si="3"/>
        <v>1</v>
      </c>
      <c r="AB43" s="1484">
        <f t="shared" si="4"/>
        <v>1</v>
      </c>
      <c r="AC43" s="1484">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7"/>
      <c r="M44" s="1988"/>
      <c r="N44" s="1988"/>
      <c r="O44" s="1989"/>
      <c r="P44" s="3776"/>
      <c r="Q44" s="1116">
        <f t="shared" si="11"/>
        <v>111</v>
      </c>
      <c r="R44" s="1476" t="s">
        <v>8</v>
      </c>
      <c r="S44" s="1477">
        <f t="shared" si="12"/>
        <v>100</v>
      </c>
      <c r="T44" s="1476" t="s">
        <v>8</v>
      </c>
      <c r="U44" s="1477">
        <f t="shared" si="13"/>
        <v>100</v>
      </c>
      <c r="V44" s="1476" t="s">
        <v>8</v>
      </c>
      <c r="W44" s="1477">
        <f t="shared" si="14"/>
        <v>100</v>
      </c>
      <c r="X44" s="1478"/>
      <c r="Y44" s="3776"/>
      <c r="Z44" s="1115">
        <f t="shared" si="15"/>
        <v>111</v>
      </c>
      <c r="AA44" s="1479">
        <f t="shared" si="3"/>
        <v>1</v>
      </c>
      <c r="AB44" s="1479">
        <f t="shared" si="4"/>
        <v>1</v>
      </c>
      <c r="AC44" s="1479">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4"/>
      <c r="M45" s="1986"/>
      <c r="N45" s="1986"/>
      <c r="O45" s="1993"/>
      <c r="P45" s="3776"/>
      <c r="Q45" s="1480">
        <f t="shared" si="11"/>
        <v>111</v>
      </c>
      <c r="R45" s="1481" t="s">
        <v>8</v>
      </c>
      <c r="S45" s="1482">
        <f t="shared" si="12"/>
        <v>100</v>
      </c>
      <c r="T45" s="1481" t="s">
        <v>8</v>
      </c>
      <c r="U45" s="1482">
        <f t="shared" si="13"/>
        <v>100</v>
      </c>
      <c r="V45" s="1481" t="s">
        <v>8</v>
      </c>
      <c r="W45" s="1482">
        <f t="shared" si="14"/>
        <v>100</v>
      </c>
      <c r="X45" s="1475"/>
      <c r="Y45" s="3776"/>
      <c r="Z45" s="1483">
        <f t="shared" si="15"/>
        <v>111</v>
      </c>
      <c r="AA45" s="1484">
        <f t="shared" si="3"/>
        <v>1</v>
      </c>
      <c r="AB45" s="1484">
        <f t="shared" si="4"/>
        <v>1</v>
      </c>
      <c r="AC45" s="1484">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4"/>
      <c r="M46" s="1986"/>
      <c r="N46" s="1986"/>
      <c r="O46" s="1993"/>
      <c r="P46" s="3914"/>
      <c r="Q46" s="1480">
        <f t="shared" si="11"/>
        <v>111</v>
      </c>
      <c r="R46" s="1481" t="s">
        <v>8</v>
      </c>
      <c r="S46" s="1482">
        <f t="shared" si="12"/>
        <v>100</v>
      </c>
      <c r="T46" s="1481" t="s">
        <v>8</v>
      </c>
      <c r="U46" s="1482">
        <f t="shared" si="13"/>
        <v>100</v>
      </c>
      <c r="V46" s="1481" t="s">
        <v>8</v>
      </c>
      <c r="W46" s="1482">
        <f t="shared" si="14"/>
        <v>100</v>
      </c>
      <c r="X46" s="1475"/>
      <c r="Y46" s="3914"/>
      <c r="Z46" s="1483">
        <f t="shared" si="15"/>
        <v>111</v>
      </c>
      <c r="AA46" s="1484">
        <f t="shared" si="3"/>
        <v>1</v>
      </c>
      <c r="AB46" s="1484">
        <f t="shared" si="4"/>
        <v>1</v>
      </c>
      <c r="AC46" s="1484">
        <f t="shared" si="5"/>
        <v>1</v>
      </c>
    </row>
    <row r="47" spans="1:29" ht="15">
      <c r="A47" s="583" t="s">
        <v>713</v>
      </c>
      <c r="B47" s="858"/>
      <c r="C47" s="2437" t="s">
        <v>1</v>
      </c>
      <c r="D47" s="2438"/>
      <c r="E47" s="2439"/>
      <c r="F47" s="2440"/>
      <c r="G47" s="2441"/>
      <c r="H47" s="2442"/>
      <c r="I47" s="2439"/>
      <c r="J47" s="2442"/>
      <c r="K47" s="1514"/>
      <c r="L47" s="1996"/>
      <c r="M47" s="1997"/>
      <c r="N47" s="1986"/>
      <c r="O47" s="1997"/>
      <c r="P47" s="3771" t="str">
        <f>A47</f>
        <v>成交单价（元/平方米）</v>
      </c>
      <c r="Q47" s="3771"/>
      <c r="R47" s="3913">
        <f>E47</f>
        <v>0</v>
      </c>
      <c r="S47" s="3913"/>
      <c r="T47" s="3913">
        <f>G47</f>
        <v>0</v>
      </c>
      <c r="U47" s="3913"/>
      <c r="V47" s="3913">
        <f>I47</f>
        <v>0</v>
      </c>
      <c r="W47" s="3913"/>
      <c r="X47" s="1470"/>
      <c r="Y47" s="1489"/>
      <c r="Z47" s="1470"/>
      <c r="AA47" s="1470"/>
      <c r="AB47" s="1470"/>
      <c r="AC47" s="1470"/>
    </row>
    <row r="48" spans="1:29" ht="15.75" thickBot="1">
      <c r="A48" s="591" t="s">
        <v>2711</v>
      </c>
      <c r="B48" s="859"/>
      <c r="C48" s="2443" t="e">
        <f>R49</f>
        <v>#DIV/0!</v>
      </c>
      <c r="D48" s="2977" t="s">
        <v>2935</v>
      </c>
      <c r="E48" s="2444" t="e">
        <f>R48</f>
        <v>#DIV/0!</v>
      </c>
      <c r="F48" s="2978"/>
      <c r="G48" s="2443" t="e">
        <f>T48</f>
        <v>#DIV/0!</v>
      </c>
      <c r="H48" s="2978"/>
      <c r="I48" s="2444" t="e">
        <f>V48</f>
        <v>#DIV/0!</v>
      </c>
      <c r="J48" s="2978"/>
      <c r="K48" s="2986">
        <f>F48+H48+J48</f>
        <v>0</v>
      </c>
      <c r="L48" s="1996"/>
      <c r="M48" s="1997"/>
      <c r="N48" s="1986"/>
      <c r="O48" s="1997"/>
      <c r="P48" s="3771" t="str">
        <f>A48</f>
        <v>比较价格（元/平方米）</v>
      </c>
      <c r="Q48" s="3771"/>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1470"/>
      <c r="Y48" s="1470"/>
      <c r="Z48" s="1470"/>
      <c r="AA48" s="1470"/>
      <c r="AB48" s="1470"/>
      <c r="AC48" s="1470"/>
    </row>
    <row r="49" spans="1:29" ht="15.75" thickBot="1">
      <c r="A49" s="595" t="s">
        <v>2871</v>
      </c>
      <c r="B49" s="596"/>
      <c r="C49" s="2445" t="e">
        <f>R49</f>
        <v>#DIV/0!</v>
      </c>
      <c r="D49" s="2445"/>
      <c r="E49" s="2445"/>
      <c r="F49" s="2445"/>
      <c r="G49" s="2445"/>
      <c r="H49" s="2445"/>
      <c r="I49" s="2445"/>
      <c r="J49" s="2445"/>
      <c r="K49" s="1515"/>
      <c r="L49" s="1996"/>
      <c r="M49" s="1997"/>
      <c r="N49" s="1986"/>
      <c r="O49" s="1997"/>
      <c r="P49" s="3792" t="str">
        <f>A49</f>
        <v>估价对象XX用房的比较价格（楼面单价，元/平方米）</v>
      </c>
      <c r="Q49" s="3793"/>
      <c r="R49" s="3912" t="e">
        <f>IF(F1="售价",ROUND(IF(D48="简单平均",AVERAGE(R48:V48),R48*F48+T48*H48+V48*J48),0),ROUND(IF(D48="简单平均",AVERAGE(R48:V48),R48*F48+T48*H48+V48*J48),1))</f>
        <v>#DIV/0!</v>
      </c>
      <c r="S49" s="3912"/>
      <c r="T49" s="3912"/>
      <c r="U49" s="3912"/>
      <c r="V49" s="3912"/>
      <c r="W49" s="3912"/>
      <c r="X49" s="1470"/>
      <c r="Y49" s="1470"/>
      <c r="Z49" s="1470"/>
      <c r="AA49" s="1470"/>
      <c r="AB49" s="1470"/>
      <c r="AC49" s="1470"/>
    </row>
    <row r="50" spans="1:29">
      <c r="A50" s="3176"/>
      <c r="B50" s="3176"/>
      <c r="C50" s="3176"/>
      <c r="D50" s="3176"/>
      <c r="E50" s="3176"/>
      <c r="F50" s="3176"/>
      <c r="G50" s="3178"/>
      <c r="H50" s="3176"/>
      <c r="I50" s="3176"/>
      <c r="J50" s="3176"/>
      <c r="K50" s="3179"/>
      <c r="L50" s="2001"/>
      <c r="M50" s="1997"/>
      <c r="N50" s="1997"/>
      <c r="O50" s="1997"/>
      <c r="P50" s="1997"/>
      <c r="Q50" s="1997"/>
      <c r="R50" s="1997"/>
      <c r="S50" s="1997"/>
      <c r="T50" s="1997"/>
      <c r="U50" s="1997"/>
      <c r="V50" s="1997"/>
      <c r="W50" s="1997"/>
      <c r="X50" s="1997"/>
      <c r="Y50" s="1997"/>
      <c r="Z50" s="1997"/>
      <c r="AA50" s="1997"/>
      <c r="AB50" s="1997"/>
      <c r="AC50" s="1997"/>
    </row>
    <row r="51" spans="1:29">
      <c r="A51" s="3176"/>
      <c r="B51" s="3176"/>
      <c r="C51" s="3176"/>
      <c r="D51" s="3176"/>
      <c r="E51" s="3176"/>
      <c r="F51" s="3176"/>
      <c r="G51" s="3176"/>
      <c r="H51" s="3176"/>
      <c r="I51" s="3176"/>
      <c r="J51" s="3176"/>
      <c r="K51" s="317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6"/>
      <c r="B52" s="3176"/>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6"/>
      <c r="B53" s="3176"/>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7"/>
      <c r="B54" s="3177"/>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2" t="s">
        <v>551</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4" customFormat="1" ht="15">
      <c r="A58" s="619" t="s">
        <v>506</v>
      </c>
      <c r="B58" s="620"/>
      <c r="C58" s="2486"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5"/>
      <c r="N59" s="624"/>
      <c r="O59" s="626"/>
      <c r="P59" s="2009"/>
      <c r="Q59" s="1876"/>
      <c r="R59" s="1876"/>
      <c r="S59" s="1876"/>
      <c r="T59" s="1876"/>
      <c r="U59" s="1876"/>
      <c r="V59" s="1876"/>
      <c r="W59" s="1876"/>
      <c r="X59" s="1876"/>
      <c r="Y59" s="1876"/>
      <c r="Z59" s="1876"/>
      <c r="AA59" s="1876"/>
      <c r="AB59" s="1876"/>
      <c r="AC59" s="1876"/>
    </row>
    <row r="60" spans="1:29" s="1185" customFormat="1" ht="15.75" thickBot="1">
      <c r="A60" s="627" t="s">
        <v>552</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508</v>
      </c>
      <c r="B61" s="622"/>
      <c r="C61" s="634" t="s">
        <v>553</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170"/>
    </row>
    <row r="63" spans="1:29">
      <c r="A63" s="638" t="s">
        <v>554</v>
      </c>
      <c r="B63" s="639" t="s">
        <v>511</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645"/>
      <c r="F64" s="645"/>
      <c r="G64" s="645"/>
      <c r="H64" s="645"/>
      <c r="I64" s="645"/>
      <c r="J64" s="645"/>
      <c r="K64" s="645"/>
      <c r="L64" s="645"/>
      <c r="M64" s="646"/>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515</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45"/>
      <c r="E73" s="645"/>
      <c r="F73" s="645"/>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516</v>
      </c>
      <c r="B76" s="639" t="s">
        <v>555</v>
      </c>
      <c r="C76" s="677" t="s">
        <v>556</v>
      </c>
      <c r="D76" s="677" t="s">
        <v>557</v>
      </c>
      <c r="E76" s="677" t="s">
        <v>558</v>
      </c>
      <c r="F76" s="677" t="s">
        <v>559</v>
      </c>
      <c r="G76" s="677" t="s">
        <v>560</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563</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2509</v>
      </c>
      <c r="C80" s="682" t="s">
        <v>556</v>
      </c>
      <c r="D80" s="682" t="s">
        <v>557</v>
      </c>
      <c r="E80" s="682" t="s">
        <v>558</v>
      </c>
      <c r="F80" s="682" t="s">
        <v>559</v>
      </c>
      <c r="G80" s="682" t="s">
        <v>560</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2510</v>
      </c>
      <c r="C82" s="2409" t="s">
        <v>2511</v>
      </c>
      <c r="D82" s="2409" t="s">
        <v>2512</v>
      </c>
      <c r="E82" s="2409" t="s">
        <v>2513</v>
      </c>
      <c r="F82" s="2409" t="s">
        <v>2514</v>
      </c>
      <c r="G82" s="2409" t="s">
        <v>2515</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721</v>
      </c>
      <c r="C84" s="682" t="s">
        <v>556</v>
      </c>
      <c r="D84" s="682" t="s">
        <v>557</v>
      </c>
      <c r="E84" s="682" t="s">
        <v>558</v>
      </c>
      <c r="F84" s="682" t="s">
        <v>559</v>
      </c>
      <c r="G84" s="682" t="s">
        <v>560</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647" t="s">
        <v>748</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tr">
        <f>B26</f>
        <v>平面位置/可视性</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66"/>
      <c r="D89" s="645"/>
      <c r="E89" s="645"/>
      <c r="F89" s="645"/>
      <c r="G89" s="645"/>
      <c r="H89" s="645"/>
      <c r="I89" s="645"/>
      <c r="J89" s="645"/>
      <c r="K89" s="645"/>
      <c r="L89" s="645"/>
      <c r="M89" s="645"/>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人流量</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3"/>
      <c r="B92" s="647" t="str">
        <f>B28</f>
        <v>楼层</v>
      </c>
      <c r="C92" s="662"/>
      <c r="D92" s="662"/>
      <c r="E92" s="662"/>
      <c r="F92" s="662"/>
      <c r="G92" s="662"/>
      <c r="H92" s="662"/>
      <c r="I92" s="662"/>
      <c r="J92" s="662"/>
      <c r="K92" s="662"/>
      <c r="L92" s="861"/>
      <c r="M92" s="862"/>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45"/>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45"/>
      <c r="E95" s="645"/>
      <c r="F95" s="645"/>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66"/>
      <c r="D97" s="645"/>
      <c r="E97" s="645"/>
      <c r="F97" s="645"/>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62"/>
      <c r="D98" s="662"/>
      <c r="E98" s="662"/>
      <c r="F98" s="662"/>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674"/>
      <c r="D99" s="674"/>
      <c r="E99" s="674"/>
      <c r="F99" s="674"/>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528</v>
      </c>
      <c r="B100" s="639" t="s">
        <v>749</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726</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728</v>
      </c>
      <c r="C107" s="662"/>
      <c r="D107" s="662"/>
      <c r="E107" s="66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c r="A110" s="709"/>
      <c r="B110" s="655"/>
      <c r="C110" s="865">
        <v>0.5</v>
      </c>
      <c r="D110" s="865">
        <v>0.6</v>
      </c>
      <c r="E110" s="865">
        <v>0.7</v>
      </c>
      <c r="F110" s="865">
        <v>0.8</v>
      </c>
      <c r="G110" s="865">
        <v>0.9</v>
      </c>
      <c r="H110" s="865">
        <v>1.0001</v>
      </c>
      <c r="I110" s="876"/>
      <c r="J110" s="876"/>
      <c r="K110" s="877"/>
      <c r="L110" s="878"/>
      <c r="M110" s="879"/>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7"/>
      <c r="O111" s="2017"/>
      <c r="P111" s="2016"/>
      <c r="Q111" s="2009"/>
      <c r="R111" s="1997"/>
      <c r="S111" s="1997"/>
      <c r="T111" s="1997"/>
      <c r="U111" s="1997"/>
      <c r="V111" s="1997"/>
      <c r="W111" s="1997"/>
      <c r="X111" s="1997"/>
      <c r="Y111" s="1997"/>
      <c r="Z111" s="1997"/>
      <c r="AA111" s="1997"/>
      <c r="AB111" s="1997"/>
      <c r="AC111" s="1997"/>
    </row>
    <row r="112" spans="1:29" s="1267" customFormat="1" ht="15" thickTop="1">
      <c r="A112" s="702"/>
      <c r="B112" s="1782" t="s">
        <v>2508</v>
      </c>
      <c r="C112" s="662"/>
      <c r="D112" s="662"/>
      <c r="E112" s="662"/>
      <c r="F112" s="662"/>
      <c r="G112" s="662"/>
      <c r="H112" s="692"/>
      <c r="I112" s="692"/>
      <c r="J112" s="692"/>
      <c r="K112" s="693"/>
      <c r="L112" s="694"/>
      <c r="M112" s="695"/>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750</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647" t="s">
        <v>751</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752</v>
      </c>
      <c r="C118" s="880"/>
      <c r="D118" s="880"/>
      <c r="E118" s="880"/>
      <c r="F118" s="880"/>
      <c r="G118" s="880"/>
      <c r="H118" s="663"/>
      <c r="I118" s="663"/>
      <c r="J118" s="663"/>
      <c r="K118" s="663"/>
      <c r="L118" s="664"/>
      <c r="M118" s="66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2017"/>
      <c r="O119" s="2017"/>
      <c r="P119" s="2016"/>
      <c r="Q119" s="2009"/>
      <c r="R119" s="1997"/>
      <c r="S119" s="1997"/>
      <c r="T119" s="1997"/>
      <c r="U119" s="1997"/>
      <c r="V119" s="1997"/>
      <c r="W119" s="1997"/>
      <c r="X119" s="1997"/>
      <c r="Y119" s="1997"/>
      <c r="Z119" s="1997"/>
      <c r="AA119" s="1997"/>
      <c r="AB119" s="1997"/>
      <c r="AC119" s="1997"/>
    </row>
    <row r="120" spans="1:29" s="1267" customFormat="1" ht="15" thickTop="1">
      <c r="A120" s="702"/>
      <c r="B120" s="647" t="s">
        <v>753</v>
      </c>
      <c r="C120" s="692"/>
      <c r="D120" s="692"/>
      <c r="E120" s="692"/>
      <c r="F120" s="692"/>
      <c r="G120" s="663"/>
      <c r="H120" s="663"/>
      <c r="I120" s="663"/>
      <c r="J120" s="663"/>
      <c r="K120" s="663"/>
      <c r="L120" s="664"/>
      <c r="M120" s="665"/>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732</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45"/>
      <c r="E129" s="645"/>
      <c r="F129" s="645"/>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1"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754</v>
      </c>
      <c r="C1" s="480" t="s">
        <v>697</v>
      </c>
      <c r="D1" s="820"/>
      <c r="E1" s="482"/>
      <c r="F1" s="2491"/>
      <c r="G1" s="1505" t="s">
        <v>698</v>
      </c>
      <c r="H1" s="482"/>
      <c r="I1" s="482"/>
      <c r="J1" s="482"/>
      <c r="K1" s="483"/>
      <c r="L1" s="3172"/>
      <c r="M1" s="3173"/>
      <c r="N1" s="3173"/>
      <c r="O1" s="3173"/>
      <c r="P1" s="3236"/>
      <c r="Q1" s="1984"/>
      <c r="R1" s="1984"/>
      <c r="S1" s="1984"/>
      <c r="T1" s="1984"/>
      <c r="U1" s="1984"/>
      <c r="V1" s="1984"/>
      <c r="W1" s="1984"/>
      <c r="X1" s="1984"/>
      <c r="Y1" s="1984"/>
      <c r="Z1" s="1984"/>
      <c r="AA1" s="1984"/>
      <c r="AB1" s="1984"/>
      <c r="AC1" s="3174"/>
    </row>
    <row r="2" spans="1:29" s="1264" customFormat="1" ht="28.5" customHeight="1">
      <c r="A2" s="417" t="s">
        <v>460</v>
      </c>
      <c r="B2" s="821" t="e">
        <f>ROUND(B3*D3/10000,0)</f>
        <v>#DIV/0!</v>
      </c>
      <c r="C2" s="1979"/>
      <c r="D2" s="1979"/>
      <c r="E2" s="1915"/>
      <c r="F2" s="1981"/>
      <c r="G2" s="1980"/>
      <c r="H2" s="1980"/>
      <c r="I2" s="1980"/>
      <c r="J2" s="1980"/>
      <c r="K2" s="1980"/>
      <c r="L2" s="1983"/>
      <c r="M2" s="1984"/>
      <c r="N2" s="1984"/>
      <c r="O2" s="1984"/>
      <c r="P2" s="3236"/>
      <c r="Q2" s="1984"/>
      <c r="R2" s="1984"/>
      <c r="S2" s="1984"/>
      <c r="T2" s="1984"/>
      <c r="U2" s="1984"/>
      <c r="V2" s="1984"/>
      <c r="W2" s="1984"/>
      <c r="X2" s="1984"/>
      <c r="Y2" s="1984"/>
      <c r="Z2" s="1984"/>
      <c r="AA2" s="1984"/>
      <c r="AB2" s="1984"/>
      <c r="AC2" s="3174"/>
    </row>
    <row r="3" spans="1:29" s="1264" customFormat="1" ht="28.5" customHeight="1" thickBot="1">
      <c r="A3" s="485" t="s">
        <v>496</v>
      </c>
      <c r="B3" s="486" t="e">
        <f>C50</f>
        <v>#DIV/0!</v>
      </c>
      <c r="C3" s="823" t="s">
        <v>699</v>
      </c>
      <c r="D3" s="822">
        <f>SUMIF('数据-汇总表'!$C19:$C33,D1,'数据-汇总表'!$E19:$E33)</f>
        <v>0</v>
      </c>
      <c r="E3" s="1915"/>
      <c r="F3" s="1981"/>
      <c r="G3" s="1980"/>
      <c r="H3" s="1980"/>
      <c r="I3" s="1980"/>
      <c r="J3" s="1980"/>
      <c r="K3" s="1982"/>
      <c r="L3" s="1983"/>
      <c r="M3" s="1984"/>
      <c r="N3" s="1984"/>
      <c r="O3" s="1984"/>
      <c r="P3" s="3236"/>
      <c r="Q3" s="1984"/>
      <c r="R3" s="1984"/>
      <c r="S3" s="1984"/>
      <c r="T3" s="1984"/>
      <c r="U3" s="1984"/>
      <c r="V3" s="1984"/>
      <c r="W3" s="1984"/>
      <c r="X3" s="1984"/>
      <c r="Y3" s="1984"/>
      <c r="Z3" s="1984"/>
      <c r="AA3" s="1984"/>
      <c r="AB3" s="1984"/>
      <c r="AC3" s="3174"/>
    </row>
    <row r="4" spans="1:29" ht="15">
      <c r="A4" s="488" t="s">
        <v>498</v>
      </c>
      <c r="B4" s="489"/>
      <c r="C4" s="3777" t="s">
        <v>499</v>
      </c>
      <c r="D4" s="3778"/>
      <c r="E4" s="3882" t="s">
        <v>500</v>
      </c>
      <c r="F4" s="3883"/>
      <c r="G4" s="3777" t="s">
        <v>501</v>
      </c>
      <c r="H4" s="3778"/>
      <c r="I4" s="3777" t="s">
        <v>502</v>
      </c>
      <c r="J4" s="3778"/>
      <c r="K4" s="490" t="s">
        <v>503</v>
      </c>
      <c r="L4" s="1985"/>
      <c r="M4" s="1986"/>
      <c r="N4" s="1986"/>
      <c r="O4" s="1986"/>
      <c r="P4" s="3915" t="s">
        <v>504</v>
      </c>
      <c r="Q4" s="3780"/>
      <c r="R4" s="3765" t="s">
        <v>500</v>
      </c>
      <c r="S4" s="3766"/>
      <c r="T4" s="3765" t="s">
        <v>501</v>
      </c>
      <c r="U4" s="3766"/>
      <c r="V4" s="3785" t="s">
        <v>502</v>
      </c>
      <c r="W4" s="3785"/>
      <c r="X4" s="1475"/>
      <c r="Y4" s="3765" t="s">
        <v>504</v>
      </c>
      <c r="Z4" s="3766"/>
      <c r="AA4" s="3760" t="s">
        <v>500</v>
      </c>
      <c r="AB4" s="3760" t="s">
        <v>501</v>
      </c>
      <c r="AC4" s="3760" t="s">
        <v>502</v>
      </c>
    </row>
    <row r="5" spans="1:29" ht="15">
      <c r="A5" s="491"/>
      <c r="B5" s="492"/>
      <c r="C5" s="3788" t="s">
        <v>2865</v>
      </c>
      <c r="D5" s="3789"/>
      <c r="E5" s="3884" t="s">
        <v>2866</v>
      </c>
      <c r="F5" s="3885"/>
      <c r="G5" s="3788" t="s">
        <v>2867</v>
      </c>
      <c r="H5" s="3789"/>
      <c r="I5" s="3788" t="s">
        <v>2868</v>
      </c>
      <c r="J5" s="3789"/>
      <c r="K5" s="490"/>
      <c r="L5" s="1985"/>
      <c r="M5" s="1986"/>
      <c r="N5" s="1986"/>
      <c r="O5" s="1986"/>
      <c r="P5" s="3916"/>
      <c r="Q5" s="3782"/>
      <c r="R5" s="3767"/>
      <c r="S5" s="3768"/>
      <c r="T5" s="3767"/>
      <c r="U5" s="3768"/>
      <c r="V5" s="3785"/>
      <c r="W5" s="3785"/>
      <c r="X5" s="1475"/>
      <c r="Y5" s="3767"/>
      <c r="Z5" s="3768"/>
      <c r="AA5" s="3761"/>
      <c r="AB5" s="3761"/>
      <c r="AC5" s="3761"/>
    </row>
    <row r="6" spans="1:29" ht="15.75" thickBot="1">
      <c r="A6" s="493"/>
      <c r="B6" s="494"/>
      <c r="C6" s="3786" t="s">
        <v>2869</v>
      </c>
      <c r="D6" s="3787"/>
      <c r="E6" s="3886" t="s">
        <v>2869</v>
      </c>
      <c r="F6" s="3887"/>
      <c r="G6" s="3786" t="s">
        <v>2869</v>
      </c>
      <c r="H6" s="3787"/>
      <c r="I6" s="3786" t="s">
        <v>2869</v>
      </c>
      <c r="J6" s="3787"/>
      <c r="K6" s="490" t="s">
        <v>505</v>
      </c>
      <c r="L6" s="1985"/>
      <c r="M6" s="1986"/>
      <c r="N6" s="1986"/>
      <c r="O6" s="1986"/>
      <c r="P6" s="3917"/>
      <c r="Q6" s="3784"/>
      <c r="R6" s="3767"/>
      <c r="S6" s="3768"/>
      <c r="T6" s="3769"/>
      <c r="U6" s="3770"/>
      <c r="V6" s="3785"/>
      <c r="W6" s="3785"/>
      <c r="X6" s="1475"/>
      <c r="Y6" s="3769"/>
      <c r="Z6" s="3770"/>
      <c r="AA6" s="3762"/>
      <c r="AB6" s="3762"/>
      <c r="AC6" s="3762"/>
    </row>
    <row r="7" spans="1:29" s="1185" customFormat="1" ht="15.75" thickBot="1">
      <c r="A7" s="2596"/>
      <c r="B7" s="2603" t="s">
        <v>506</v>
      </c>
      <c r="C7" s="495">
        <f>'数据-取费表'!B2</f>
        <v>44623</v>
      </c>
      <c r="D7" s="496">
        <v>100</v>
      </c>
      <c r="E7" s="497"/>
      <c r="F7" s="498">
        <f>SUMIF(59:59,YEAR(E7)&amp;"-"&amp;MONTH(E7),60:60)</f>
        <v>0</v>
      </c>
      <c r="G7" s="497"/>
      <c r="H7" s="496">
        <f>SUMIF(59:59,YEAR(G7)&amp;"-"&amp;MONTH(G7),60:60)</f>
        <v>0</v>
      </c>
      <c r="I7" s="497"/>
      <c r="J7" s="496">
        <f>SUMIF(59:59,YEAR(I7)&amp;"-"&amp;MONTH(I7),60:60)</f>
        <v>0</v>
      </c>
      <c r="K7" s="500"/>
      <c r="L7" s="1987"/>
      <c r="M7" s="1988"/>
      <c r="N7" s="1988"/>
      <c r="O7" s="1988"/>
      <c r="P7" s="3772" t="s">
        <v>507</v>
      </c>
      <c r="Q7" s="3772"/>
      <c r="R7" s="1476" t="s">
        <v>8</v>
      </c>
      <c r="S7" s="1477">
        <f t="shared" ref="S7:S15" si="0">F7</f>
        <v>0</v>
      </c>
      <c r="T7" s="1476" t="s">
        <v>8</v>
      </c>
      <c r="U7" s="1477">
        <f t="shared" ref="U7:U15" si="1">H7</f>
        <v>0</v>
      </c>
      <c r="V7" s="1476" t="s">
        <v>8</v>
      </c>
      <c r="W7" s="1477">
        <f t="shared" ref="W7:W15"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501"/>
      <c r="F8" s="498">
        <f>SUMIF(62:62,E8,63:63)-SUMIF(62:62,C8,63:63)+100</f>
        <v>0</v>
      </c>
      <c r="G8" s="501"/>
      <c r="H8" s="496">
        <f>SUMIF(62:62,G8,63:63)-SUMIF(62:62,C8,63:63)+100</f>
        <v>0</v>
      </c>
      <c r="I8" s="501"/>
      <c r="J8" s="496">
        <f>SUMIF(62:62,I8,63:63)-SUMIF(62:62,C8,63:63)+100</f>
        <v>0</v>
      </c>
      <c r="K8" s="500"/>
      <c r="L8" s="1987"/>
      <c r="M8" s="1988"/>
      <c r="N8" s="1988"/>
      <c r="O8" s="1988"/>
      <c r="P8" s="3772" t="s">
        <v>510</v>
      </c>
      <c r="Q8" s="3764"/>
      <c r="R8" s="1476" t="s">
        <v>8</v>
      </c>
      <c r="S8" s="1477">
        <f t="shared" si="0"/>
        <v>0</v>
      </c>
      <c r="T8" s="1476" t="s">
        <v>8</v>
      </c>
      <c r="U8" s="1477">
        <f t="shared" si="1"/>
        <v>0</v>
      </c>
      <c r="V8" s="1476" t="s">
        <v>8</v>
      </c>
      <c r="W8" s="1477">
        <f t="shared" si="2"/>
        <v>0</v>
      </c>
      <c r="X8" s="1478"/>
      <c r="Y8" s="3763" t="s">
        <v>510</v>
      </c>
      <c r="Z8" s="3764"/>
      <c r="AA8" s="1479" t="e">
        <f t="shared" ref="AA8:AA47" si="3">D8/F8</f>
        <v>#DIV/0!</v>
      </c>
      <c r="AB8" s="1479" t="e">
        <f t="shared" ref="AB8:AB47" si="4">D8/H8</f>
        <v>#DIV/0!</v>
      </c>
      <c r="AC8" s="1479" t="e">
        <f t="shared" ref="AC8:AC47" si="5">D8/J8</f>
        <v>#DIV/0!</v>
      </c>
    </row>
    <row r="9" spans="1:29" s="1185" customFormat="1" ht="15">
      <c r="A9" s="2598"/>
      <c r="B9" s="2605" t="s">
        <v>2707</v>
      </c>
      <c r="C9" s="828"/>
      <c r="D9" s="252">
        <v>100</v>
      </c>
      <c r="E9" s="831"/>
      <c r="F9" s="252">
        <f>SUMIF(64:64,E9,65:65)-SUMIF(64:64,C9,65:65)+100</f>
        <v>100</v>
      </c>
      <c r="G9" s="829"/>
      <c r="H9" s="252">
        <f>SUMIF(64:64,G9,65:65)-SUMIF(64:64,C9,65:65)+100</f>
        <v>100</v>
      </c>
      <c r="I9" s="829"/>
      <c r="J9" s="252">
        <f>SUMIF(64:64,I9,65:65)-SUMIF(64:64,C9,65:65)+100</f>
        <v>100</v>
      </c>
      <c r="K9" s="500"/>
      <c r="L9" s="1987"/>
      <c r="M9" s="1988"/>
      <c r="N9" s="1988"/>
      <c r="O9" s="1988"/>
      <c r="P9" s="3771" t="s">
        <v>512</v>
      </c>
      <c r="Q9" s="1116" t="str">
        <f t="shared" ref="Q9:Q15" si="6">B9</f>
        <v>用途</v>
      </c>
      <c r="R9" s="1476" t="s">
        <v>8</v>
      </c>
      <c r="S9" s="1477">
        <f t="shared" si="0"/>
        <v>100</v>
      </c>
      <c r="T9" s="1476" t="s">
        <v>8</v>
      </c>
      <c r="U9" s="1477">
        <f t="shared" si="1"/>
        <v>100</v>
      </c>
      <c r="V9" s="1476" t="s">
        <v>8</v>
      </c>
      <c r="W9" s="1477">
        <f t="shared" si="2"/>
        <v>100</v>
      </c>
      <c r="X9" s="1478"/>
      <c r="Y9" s="3712"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SUMIF(66:66,E10,67:67)-SUMIF(66:66,C10,67:67)+100</f>
        <v>100</v>
      </c>
      <c r="G10" s="833"/>
      <c r="H10" s="253">
        <f>SUMIF(66:66,G10,67:67)-SUMIF(66:66,C10,67:67)+100</f>
        <v>100</v>
      </c>
      <c r="I10" s="832"/>
      <c r="J10" s="253">
        <f>SUMIF(66:66,I10,67:67)-SUMIF(66:66,C10,67:67)+100</f>
        <v>100</v>
      </c>
      <c r="K10" s="560"/>
      <c r="L10" s="1990"/>
      <c r="M10" s="2029"/>
      <c r="N10" s="2029"/>
      <c r="O10" s="2029"/>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2"/>
      <c r="M11" s="1986"/>
      <c r="N11" s="1986"/>
      <c r="O11" s="1986"/>
      <c r="P11" s="3771"/>
      <c r="Q11" s="1116" t="str">
        <f t="shared" si="6"/>
        <v>容积率</v>
      </c>
      <c r="R11" s="1476" t="s">
        <v>8</v>
      </c>
      <c r="S11" s="1477" t="e">
        <f t="shared" si="0"/>
        <v>#N/A</v>
      </c>
      <c r="T11" s="1476" t="s">
        <v>8</v>
      </c>
      <c r="U11" s="1477" t="e">
        <f t="shared" si="1"/>
        <v>#N/A</v>
      </c>
      <c r="V11" s="1476" t="s">
        <v>8</v>
      </c>
      <c r="W11" s="1477" t="e">
        <f t="shared" si="2"/>
        <v>#N/A</v>
      </c>
      <c r="X11" s="1478"/>
      <c r="Y11" s="3712"/>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04"/>
      <c r="F12" s="253">
        <f>SUMIF(71:71,E12,72:72)-SUMIF(71:71,C12,72:72)+100</f>
        <v>100</v>
      </c>
      <c r="G12" s="881"/>
      <c r="H12" s="253">
        <f>SUMIF(71:71,G12,72:72)-SUMIF(71:71,C12,72:72)+100</f>
        <v>100</v>
      </c>
      <c r="I12" s="504"/>
      <c r="J12" s="253">
        <f>SUMIF(71:71,I12,72:72)-SUMIF(71:71,C12,72:72)+100</f>
        <v>100</v>
      </c>
      <c r="K12" s="557"/>
      <c r="L12" s="1987"/>
      <c r="M12" s="1988"/>
      <c r="N12" s="1988"/>
      <c r="O12" s="1988"/>
      <c r="P12" s="3771"/>
      <c r="Q12" s="1116">
        <f t="shared" si="6"/>
        <v>111</v>
      </c>
      <c r="R12" s="1476" t="s">
        <v>8</v>
      </c>
      <c r="S12" s="1477">
        <f t="shared" si="0"/>
        <v>100</v>
      </c>
      <c r="T12" s="1476" t="s">
        <v>8</v>
      </c>
      <c r="U12" s="1477">
        <f t="shared" si="1"/>
        <v>100</v>
      </c>
      <c r="V12" s="1476" t="s">
        <v>8</v>
      </c>
      <c r="W12" s="1477">
        <f t="shared" si="2"/>
        <v>100</v>
      </c>
      <c r="X12" s="1478"/>
      <c r="Y12" s="3712"/>
      <c r="Z12" s="1115">
        <f t="shared" si="7"/>
        <v>111</v>
      </c>
      <c r="AA12" s="1479">
        <f>D12/F12</f>
        <v>1</v>
      </c>
      <c r="AB12" s="1479">
        <f>D12/H12</f>
        <v>1</v>
      </c>
      <c r="AC12" s="1479">
        <f>D12/J12</f>
        <v>1</v>
      </c>
    </row>
    <row r="13" spans="1:29" ht="15">
      <c r="A13" s="2601"/>
      <c r="B13" s="2607">
        <v>111</v>
      </c>
      <c r="C13" s="515"/>
      <c r="D13" s="516">
        <v>100</v>
      </c>
      <c r="E13" s="504"/>
      <c r="F13" s="253">
        <f>SUMIF(73:73,E13,74:74)-SUMIF(73:73,C13,74:74)+100</f>
        <v>100</v>
      </c>
      <c r="G13" s="881"/>
      <c r="H13" s="516">
        <f>SUMIF(73:73,G13,74:74)-SUMIF(73:73,C13,74:74)+100</f>
        <v>100</v>
      </c>
      <c r="I13" s="504"/>
      <c r="J13" s="516">
        <f>SUMIF(73:73,I13,74:74)-SUMIF(73:73,C13,74:74)+100</f>
        <v>100</v>
      </c>
      <c r="K13" s="557"/>
      <c r="L13" s="1994"/>
      <c r="M13" s="1986"/>
      <c r="N13" s="1986"/>
      <c r="O13" s="1986"/>
      <c r="P13" s="3771"/>
      <c r="Q13" s="1116">
        <f t="shared" si="6"/>
        <v>111</v>
      </c>
      <c r="R13" s="1476" t="s">
        <v>8</v>
      </c>
      <c r="S13" s="1477">
        <f t="shared" si="0"/>
        <v>100</v>
      </c>
      <c r="T13" s="1476" t="s">
        <v>8</v>
      </c>
      <c r="U13" s="1477">
        <f t="shared" si="1"/>
        <v>100</v>
      </c>
      <c r="V13" s="1476" t="s">
        <v>8</v>
      </c>
      <c r="W13" s="1477">
        <f t="shared" si="2"/>
        <v>100</v>
      </c>
      <c r="X13" s="1478"/>
      <c r="Y13" s="3712"/>
      <c r="Z13" s="1115">
        <f t="shared" si="7"/>
        <v>111</v>
      </c>
      <c r="AA13" s="1479">
        <f t="shared" si="3"/>
        <v>1</v>
      </c>
      <c r="AB13" s="1479">
        <f t="shared" si="4"/>
        <v>1</v>
      </c>
      <c r="AC13" s="1479">
        <f t="shared" si="5"/>
        <v>1</v>
      </c>
    </row>
    <row r="14" spans="1:29" ht="15.75" thickBot="1">
      <c r="A14" s="2602"/>
      <c r="B14" s="2608">
        <v>111</v>
      </c>
      <c r="C14" s="521"/>
      <c r="D14" s="522">
        <v>100</v>
      </c>
      <c r="E14" s="882"/>
      <c r="F14" s="522">
        <f>SUMIF(75:75,E14,76:76)-SUMIF(75:75,C14,76:76)+100</f>
        <v>100</v>
      </c>
      <c r="G14" s="881"/>
      <c r="H14" s="522">
        <f>SUMIF(75:75,G14,76:76)-SUMIF(75:75,C14,76:76)+100</f>
        <v>100</v>
      </c>
      <c r="I14" s="504"/>
      <c r="J14" s="522">
        <f>SUMIF(75:75,I14,76:76)-SUMIF(75:75,C14,76:76)+100</f>
        <v>100</v>
      </c>
      <c r="K14" s="557"/>
      <c r="L14" s="1994"/>
      <c r="M14" s="1986"/>
      <c r="N14" s="1986"/>
      <c r="O14" s="1986"/>
      <c r="P14" s="3771"/>
      <c r="Q14" s="1116">
        <f t="shared" si="6"/>
        <v>111</v>
      </c>
      <c r="R14" s="1476" t="s">
        <v>8</v>
      </c>
      <c r="S14" s="1477">
        <f t="shared" si="0"/>
        <v>100</v>
      </c>
      <c r="T14" s="1476" t="s">
        <v>8</v>
      </c>
      <c r="U14" s="1477">
        <f t="shared" si="1"/>
        <v>100</v>
      </c>
      <c r="V14" s="1476" t="s">
        <v>8</v>
      </c>
      <c r="W14" s="1477">
        <f t="shared" si="2"/>
        <v>100</v>
      </c>
      <c r="X14" s="1478"/>
      <c r="Y14" s="3712"/>
      <c r="Z14" s="1115">
        <f t="shared" si="7"/>
        <v>111</v>
      </c>
      <c r="AA14" s="1479">
        <f t="shared" si="3"/>
        <v>1</v>
      </c>
      <c r="AB14" s="1479">
        <f t="shared" si="4"/>
        <v>1</v>
      </c>
      <c r="AC14" s="1479">
        <f t="shared" si="5"/>
        <v>1</v>
      </c>
    </row>
    <row r="15" spans="1:29" ht="71.25">
      <c r="A15" s="2594" t="s">
        <v>2705</v>
      </c>
      <c r="B15" s="523" t="s">
        <v>519</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4"/>
      <c r="M15" s="1986"/>
      <c r="N15" s="1986"/>
      <c r="O15" s="1986"/>
      <c r="P15" s="3773" t="s">
        <v>517</v>
      </c>
      <c r="Q15" s="1480" t="str">
        <f t="shared" si="6"/>
        <v>办公集聚程度</v>
      </c>
      <c r="R15" s="1481" t="s">
        <v>8</v>
      </c>
      <c r="S15" s="1482">
        <f t="shared" si="0"/>
        <v>100</v>
      </c>
      <c r="T15" s="1481" t="s">
        <v>8</v>
      </c>
      <c r="U15" s="1482">
        <f t="shared" si="1"/>
        <v>100</v>
      </c>
      <c r="V15" s="1481" t="s">
        <v>8</v>
      </c>
      <c r="W15" s="1482">
        <f t="shared" si="2"/>
        <v>100</v>
      </c>
      <c r="X15" s="1475"/>
      <c r="Y15" s="3773" t="s">
        <v>517</v>
      </c>
      <c r="Z15" s="1483" t="str">
        <f t="shared" si="7"/>
        <v>办公集聚程度</v>
      </c>
      <c r="AA15" s="1484">
        <f t="shared" si="3"/>
        <v>1</v>
      </c>
      <c r="AB15" s="1484">
        <f t="shared" si="4"/>
        <v>1</v>
      </c>
      <c r="AC15" s="1484">
        <f t="shared" si="5"/>
        <v>1</v>
      </c>
    </row>
    <row r="16" spans="1:29" ht="15">
      <c r="A16" s="508"/>
      <c r="B16" s="529"/>
      <c r="C16" s="530"/>
      <c r="D16" s="531"/>
      <c r="E16" s="552"/>
      <c r="F16" s="531"/>
      <c r="G16" s="530"/>
      <c r="H16" s="535"/>
      <c r="I16" s="552"/>
      <c r="J16" s="531"/>
      <c r="K16" s="870"/>
      <c r="L16" s="1994"/>
      <c r="M16" s="1986"/>
      <c r="N16" s="1986"/>
      <c r="O16" s="1986"/>
      <c r="P16" s="3774"/>
      <c r="Q16" s="1480"/>
      <c r="R16" s="1481"/>
      <c r="S16" s="1482"/>
      <c r="T16" s="1481"/>
      <c r="U16" s="1482"/>
      <c r="V16" s="1481"/>
      <c r="W16" s="1482"/>
      <c r="X16" s="1475"/>
      <c r="Y16" s="3774"/>
      <c r="Z16" s="1483"/>
      <c r="AA16" s="1484">
        <v>1</v>
      </c>
      <c r="AB16" s="1484">
        <v>1</v>
      </c>
      <c r="AC16" s="1484">
        <v>1</v>
      </c>
    </row>
    <row r="17" spans="1:29" ht="85.5">
      <c r="A17" s="508"/>
      <c r="B17" s="536" t="s">
        <v>295</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4"/>
      <c r="M17" s="1986"/>
      <c r="N17" s="1986"/>
      <c r="O17" s="1986"/>
      <c r="P17" s="3774"/>
      <c r="Q17" s="1480" t="str">
        <f>B17</f>
        <v>交通便捷度</v>
      </c>
      <c r="R17" s="1481" t="s">
        <v>8</v>
      </c>
      <c r="S17" s="1482">
        <f>F17</f>
        <v>100</v>
      </c>
      <c r="T17" s="1481" t="s">
        <v>8</v>
      </c>
      <c r="U17" s="1482">
        <f>H17</f>
        <v>100</v>
      </c>
      <c r="V17" s="1481" t="s">
        <v>8</v>
      </c>
      <c r="W17" s="1482">
        <f>J17</f>
        <v>100</v>
      </c>
      <c r="X17" s="1475"/>
      <c r="Y17" s="3774"/>
      <c r="Z17" s="1483" t="str">
        <f>Q17</f>
        <v>交通便捷度</v>
      </c>
      <c r="AA17" s="1484">
        <f t="shared" si="3"/>
        <v>1</v>
      </c>
      <c r="AB17" s="1484">
        <f t="shared" si="4"/>
        <v>1</v>
      </c>
      <c r="AC17" s="1484">
        <f t="shared" si="5"/>
        <v>1</v>
      </c>
    </row>
    <row r="18" spans="1:29" ht="15">
      <c r="A18" s="508"/>
      <c r="B18" s="542"/>
      <c r="C18" s="543"/>
      <c r="D18" s="535"/>
      <c r="E18" s="545"/>
      <c r="F18" s="535"/>
      <c r="G18" s="544"/>
      <c r="H18" s="531"/>
      <c r="I18" s="544"/>
      <c r="J18" s="531"/>
      <c r="K18" s="870"/>
      <c r="L18" s="1994"/>
      <c r="M18" s="1986"/>
      <c r="N18" s="1986"/>
      <c r="O18" s="1986"/>
      <c r="P18" s="3774"/>
      <c r="Q18" s="1480"/>
      <c r="R18" s="1481"/>
      <c r="S18" s="1482"/>
      <c r="T18" s="1481"/>
      <c r="U18" s="1482"/>
      <c r="V18" s="1481"/>
      <c r="W18" s="1482"/>
      <c r="X18" s="1475"/>
      <c r="Y18" s="3774"/>
      <c r="Z18" s="1483"/>
      <c r="AA18" s="1484">
        <v>1</v>
      </c>
      <c r="AB18" s="1484">
        <v>1</v>
      </c>
      <c r="AC18" s="1484">
        <v>1</v>
      </c>
    </row>
    <row r="19" spans="1:29" ht="42.75">
      <c r="A19" s="508"/>
      <c r="B19" s="2414" t="s">
        <v>2498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4"/>
      <c r="M19" s="1986"/>
      <c r="N19" s="1986"/>
      <c r="O19" s="1986"/>
      <c r="P19" s="3774"/>
      <c r="Q19" s="1480" t="str">
        <f>B19</f>
        <v>公共配套设施</v>
      </c>
      <c r="R19" s="1481" t="s">
        <v>8</v>
      </c>
      <c r="S19" s="1482">
        <f>F19</f>
        <v>100</v>
      </c>
      <c r="T19" s="1481" t="s">
        <v>8</v>
      </c>
      <c r="U19" s="1482">
        <f>H19</f>
        <v>100</v>
      </c>
      <c r="V19" s="1481" t="s">
        <v>8</v>
      </c>
      <c r="W19" s="1482">
        <f>J19</f>
        <v>100</v>
      </c>
      <c r="X19" s="1475"/>
      <c r="Y19" s="3774"/>
      <c r="Z19" s="1483" t="str">
        <f>Q19</f>
        <v>公共配套设施</v>
      </c>
      <c r="AA19" s="1484">
        <f t="shared" si="3"/>
        <v>1</v>
      </c>
      <c r="AB19" s="1484">
        <f t="shared" si="4"/>
        <v>1</v>
      </c>
      <c r="AC19" s="1484">
        <f t="shared" si="5"/>
        <v>1</v>
      </c>
    </row>
    <row r="20" spans="1:29" ht="15">
      <c r="A20" s="508"/>
      <c r="B20" s="542"/>
      <c r="C20" s="530"/>
      <c r="D20" s="531"/>
      <c r="E20" s="534"/>
      <c r="F20" s="531"/>
      <c r="G20" s="532"/>
      <c r="H20" s="531"/>
      <c r="I20" s="532"/>
      <c r="J20" s="531"/>
      <c r="K20" s="870"/>
      <c r="L20" s="1994"/>
      <c r="M20" s="1986"/>
      <c r="N20" s="1986"/>
      <c r="O20" s="1986"/>
      <c r="P20" s="3774"/>
      <c r="Q20" s="1480"/>
      <c r="R20" s="1481"/>
      <c r="S20" s="1482"/>
      <c r="T20" s="1481"/>
      <c r="U20" s="1482"/>
      <c r="V20" s="1481"/>
      <c r="W20" s="1482"/>
      <c r="X20" s="1475"/>
      <c r="Y20" s="3774"/>
      <c r="Z20" s="1483"/>
      <c r="AA20" s="1484">
        <v>1</v>
      </c>
      <c r="AB20" s="1484">
        <v>1</v>
      </c>
      <c r="AC20" s="1484">
        <v>1</v>
      </c>
    </row>
    <row r="21" spans="1:29" ht="28.5">
      <c r="A21" s="508"/>
      <c r="B21" s="2402" t="s">
        <v>2510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4"/>
      <c r="M21" s="1986"/>
      <c r="N21" s="1986"/>
      <c r="O21" s="1986"/>
      <c r="P21" s="3774"/>
      <c r="Q21" s="2396" t="str">
        <f>B21</f>
        <v>基础设施水平</v>
      </c>
      <c r="R21" s="1481" t="s">
        <v>8</v>
      </c>
      <c r="S21" s="1482">
        <f>F21</f>
        <v>100</v>
      </c>
      <c r="T21" s="1481" t="s">
        <v>8</v>
      </c>
      <c r="U21" s="1482">
        <f>H21</f>
        <v>100</v>
      </c>
      <c r="V21" s="1481" t="s">
        <v>8</v>
      </c>
      <c r="W21" s="1482">
        <f>J21</f>
        <v>100</v>
      </c>
      <c r="X21" s="2398"/>
      <c r="Y21" s="3774"/>
      <c r="Z21" s="2397" t="str">
        <f>Q21</f>
        <v>基础设施水平</v>
      </c>
      <c r="AA21" s="1484">
        <f t="shared" ref="AA21" si="8">D21/F21</f>
        <v>1</v>
      </c>
      <c r="AB21" s="1484">
        <f t="shared" ref="AB21" si="9">D21/H21</f>
        <v>1</v>
      </c>
      <c r="AC21" s="1484">
        <f t="shared" ref="AC21" si="10">D21/J21</f>
        <v>1</v>
      </c>
    </row>
    <row r="22" spans="1:29" ht="15">
      <c r="A22" s="508"/>
      <c r="B22" s="554"/>
      <c r="C22" s="543"/>
      <c r="D22" s="531"/>
      <c r="E22" s="552"/>
      <c r="F22" s="531"/>
      <c r="G22" s="530"/>
      <c r="H22" s="531"/>
      <c r="I22" s="530"/>
      <c r="J22" s="531"/>
      <c r="K22" s="2413"/>
      <c r="L22" s="1994"/>
      <c r="M22" s="1986"/>
      <c r="N22" s="1986"/>
      <c r="O22" s="1986"/>
      <c r="P22" s="3774"/>
      <c r="Q22" s="2396"/>
      <c r="R22" s="1481"/>
      <c r="S22" s="1482"/>
      <c r="T22" s="1481"/>
      <c r="U22" s="1482"/>
      <c r="V22" s="1481"/>
      <c r="W22" s="1482"/>
      <c r="X22" s="2398"/>
      <c r="Y22" s="3774"/>
      <c r="Z22" s="2397"/>
      <c r="AA22" s="1484">
        <v>1</v>
      </c>
      <c r="AB22" s="1484">
        <v>1</v>
      </c>
      <c r="AC22" s="1484">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4"/>
      <c r="M23" s="1986"/>
      <c r="N23" s="1986"/>
      <c r="O23" s="1986"/>
      <c r="P23" s="3774"/>
      <c r="Q23" s="1480" t="str">
        <f>B23</f>
        <v>环境质量</v>
      </c>
      <c r="R23" s="1481" t="s">
        <v>8</v>
      </c>
      <c r="S23" s="1482">
        <f>F23</f>
        <v>100</v>
      </c>
      <c r="T23" s="1481" t="s">
        <v>8</v>
      </c>
      <c r="U23" s="1482">
        <f>H23</f>
        <v>100</v>
      </c>
      <c r="V23" s="1481" t="s">
        <v>8</v>
      </c>
      <c r="W23" s="1482">
        <f>J23</f>
        <v>100</v>
      </c>
      <c r="X23" s="1475"/>
      <c r="Y23" s="3774"/>
      <c r="Z23" s="1483" t="str">
        <f>Q23</f>
        <v>环境质量</v>
      </c>
      <c r="AA23" s="1484">
        <f t="shared" si="3"/>
        <v>1</v>
      </c>
      <c r="AB23" s="1484">
        <f t="shared" si="4"/>
        <v>1</v>
      </c>
      <c r="AC23" s="1484">
        <f t="shared" si="5"/>
        <v>1</v>
      </c>
    </row>
    <row r="24" spans="1:29" ht="15">
      <c r="A24" s="508"/>
      <c r="B24" s="554"/>
      <c r="C24" s="530"/>
      <c r="D24" s="531"/>
      <c r="E24" s="534"/>
      <c r="F24" s="531"/>
      <c r="G24" s="532"/>
      <c r="H24" s="531"/>
      <c r="I24" s="532"/>
      <c r="J24" s="531"/>
      <c r="K24" s="870"/>
      <c r="L24" s="1994"/>
      <c r="M24" s="1986"/>
      <c r="N24" s="1986"/>
      <c r="O24" s="1986"/>
      <c r="P24" s="3774"/>
      <c r="Q24" s="1480"/>
      <c r="R24" s="1481"/>
      <c r="S24" s="1482"/>
      <c r="T24" s="1481"/>
      <c r="U24" s="1482"/>
      <c r="V24" s="1481"/>
      <c r="W24" s="1482"/>
      <c r="X24" s="1475"/>
      <c r="Y24" s="3774"/>
      <c r="Z24" s="1483"/>
      <c r="AA24" s="1484">
        <v>1</v>
      </c>
      <c r="AB24" s="1484">
        <v>1</v>
      </c>
      <c r="AC24" s="1484">
        <v>1</v>
      </c>
    </row>
    <row r="25" spans="1:29" ht="27">
      <c r="A25" s="491"/>
      <c r="B25" s="536" t="s">
        <v>525</v>
      </c>
      <c r="C25" s="883"/>
      <c r="D25" s="516">
        <v>100</v>
      </c>
      <c r="E25" s="515"/>
      <c r="F25" s="516">
        <f>SUMIF(87:87,E26,88:88)-SUMIF(87:87,C26,88:88)+100</f>
        <v>100</v>
      </c>
      <c r="G25" s="883"/>
      <c r="H25" s="516">
        <f>SUMIF(87:87,G26,88:88)-SUMIF(87:87,C26,88:88)+100</f>
        <v>100</v>
      </c>
      <c r="I25" s="515"/>
      <c r="J25" s="516">
        <f>SUMIF(87:87,I26,88:88)-SUMIF(87:87,C26,88:88)+100</f>
        <v>100</v>
      </c>
      <c r="K25" s="869"/>
      <c r="L25" s="1994"/>
      <c r="M25" s="1986"/>
      <c r="N25" s="1986"/>
      <c r="O25" s="1986"/>
      <c r="P25" s="3774"/>
      <c r="Q25" s="1480" t="str">
        <f>B25</f>
        <v>毗邻道路的类型与等级</v>
      </c>
      <c r="R25" s="1481" t="s">
        <v>8</v>
      </c>
      <c r="S25" s="1482">
        <f>F25</f>
        <v>100</v>
      </c>
      <c r="T25" s="1481" t="s">
        <v>8</v>
      </c>
      <c r="U25" s="1482">
        <f>H25</f>
        <v>100</v>
      </c>
      <c r="V25" s="1481" t="s">
        <v>8</v>
      </c>
      <c r="W25" s="1482">
        <f>J25</f>
        <v>100</v>
      </c>
      <c r="X25" s="1475"/>
      <c r="Y25" s="3774"/>
      <c r="Z25" s="1483" t="str">
        <f>Q25</f>
        <v>毗邻道路的类型与等级</v>
      </c>
      <c r="AA25" s="1484">
        <f t="shared" si="3"/>
        <v>1</v>
      </c>
      <c r="AB25" s="1484">
        <f t="shared" si="4"/>
        <v>1</v>
      </c>
      <c r="AC25" s="1484">
        <f t="shared" si="5"/>
        <v>1</v>
      </c>
    </row>
    <row r="26" spans="1:29" ht="15">
      <c r="A26" s="491"/>
      <c r="B26" s="542"/>
      <c r="C26" s="556"/>
      <c r="D26" s="516"/>
      <c r="E26" s="559"/>
      <c r="F26" s="516"/>
      <c r="G26" s="556"/>
      <c r="H26" s="516"/>
      <c r="I26" s="559"/>
      <c r="J26" s="516"/>
      <c r="K26" s="870"/>
      <c r="L26" s="1994"/>
      <c r="M26" s="1986"/>
      <c r="N26" s="1986"/>
      <c r="O26" s="1986"/>
      <c r="P26" s="3774"/>
      <c r="Q26" s="1480"/>
      <c r="R26" s="1481"/>
      <c r="S26" s="1482"/>
      <c r="T26" s="1481"/>
      <c r="U26" s="1482"/>
      <c r="V26" s="1481"/>
      <c r="W26" s="1482"/>
      <c r="X26" s="1475"/>
      <c r="Y26" s="3774"/>
      <c r="Z26" s="1483"/>
      <c r="AA26" s="1484">
        <v>1</v>
      </c>
      <c r="AB26" s="1484">
        <v>1</v>
      </c>
      <c r="AC26" s="1484">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94"/>
      <c r="M27" s="1986"/>
      <c r="N27" s="1986"/>
      <c r="O27" s="1986"/>
      <c r="P27" s="3774"/>
      <c r="Q27" s="1480" t="str">
        <f t="shared" ref="Q27:Q47" si="11">B27</f>
        <v>楼层</v>
      </c>
      <c r="R27" s="1481" t="s">
        <v>8</v>
      </c>
      <c r="S27" s="1482">
        <f>F27</f>
        <v>100</v>
      </c>
      <c r="T27" s="1481" t="s">
        <v>8</v>
      </c>
      <c r="U27" s="1482">
        <f>H27</f>
        <v>100</v>
      </c>
      <c r="V27" s="1481" t="s">
        <v>8</v>
      </c>
      <c r="W27" s="1482">
        <f>J27</f>
        <v>100</v>
      </c>
      <c r="X27" s="1475"/>
      <c r="Y27" s="3774"/>
      <c r="Z27" s="1483" t="str">
        <f>Q27</f>
        <v>楼层</v>
      </c>
      <c r="AA27" s="1484">
        <f t="shared" si="3"/>
        <v>1</v>
      </c>
      <c r="AB27" s="1484">
        <f t="shared" si="4"/>
        <v>1</v>
      </c>
      <c r="AC27" s="1484">
        <f t="shared" si="5"/>
        <v>1</v>
      </c>
    </row>
    <row r="28" spans="1:29" s="1185"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87"/>
      <c r="M28" s="1988"/>
      <c r="N28" s="1988"/>
      <c r="O28" s="1988"/>
      <c r="P28" s="3774"/>
      <c r="Q28" s="1116" t="str">
        <f t="shared" si="11"/>
        <v>朝向</v>
      </c>
      <c r="R28" s="1476" t="s">
        <v>8</v>
      </c>
      <c r="S28" s="1477">
        <f>F28</f>
        <v>100</v>
      </c>
      <c r="T28" s="1476" t="s">
        <v>8</v>
      </c>
      <c r="U28" s="1477">
        <f>H28</f>
        <v>100</v>
      </c>
      <c r="V28" s="1476" t="s">
        <v>8</v>
      </c>
      <c r="W28" s="1477">
        <f>J28</f>
        <v>100</v>
      </c>
      <c r="X28" s="1478"/>
      <c r="Y28" s="3774"/>
      <c r="Z28" s="1115" t="str">
        <f>Q28</f>
        <v>朝向</v>
      </c>
      <c r="AA28" s="1484">
        <f>D28/F28</f>
        <v>1</v>
      </c>
      <c r="AB28" s="1484">
        <f>D28/H28</f>
        <v>1</v>
      </c>
      <c r="AC28" s="1484">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4"/>
      <c r="M29" s="1986"/>
      <c r="N29" s="1986"/>
      <c r="O29" s="1986"/>
      <c r="P29" s="3774"/>
      <c r="Q29" s="1480">
        <f t="shared" si="11"/>
        <v>111</v>
      </c>
      <c r="R29" s="1481" t="s">
        <v>8</v>
      </c>
      <c r="S29" s="1482">
        <f t="shared" ref="S29:S47" si="12">F29</f>
        <v>100</v>
      </c>
      <c r="T29" s="1481" t="s">
        <v>8</v>
      </c>
      <c r="U29" s="1482">
        <f t="shared" ref="U29:U47" si="13">H29</f>
        <v>100</v>
      </c>
      <c r="V29" s="1481" t="s">
        <v>8</v>
      </c>
      <c r="W29" s="1482">
        <f t="shared" ref="W29:W47" si="14">J29</f>
        <v>100</v>
      </c>
      <c r="X29" s="1475"/>
      <c r="Y29" s="3774"/>
      <c r="Z29" s="1483">
        <f t="shared" ref="Z29:Z47" si="15">Q29</f>
        <v>111</v>
      </c>
      <c r="AA29" s="1484">
        <f t="shared" si="3"/>
        <v>1</v>
      </c>
      <c r="AB29" s="1484">
        <f t="shared" si="4"/>
        <v>1</v>
      </c>
      <c r="AC29" s="1484">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4"/>
      <c r="M30" s="1986"/>
      <c r="N30" s="1986"/>
      <c r="O30" s="1986"/>
      <c r="P30" s="3774"/>
      <c r="Q30" s="1480">
        <f t="shared" si="11"/>
        <v>111</v>
      </c>
      <c r="R30" s="1481" t="s">
        <v>8</v>
      </c>
      <c r="S30" s="1482">
        <f t="shared" si="12"/>
        <v>100</v>
      </c>
      <c r="T30" s="1481" t="s">
        <v>8</v>
      </c>
      <c r="U30" s="1482">
        <f t="shared" si="13"/>
        <v>100</v>
      </c>
      <c r="V30" s="1481" t="s">
        <v>8</v>
      </c>
      <c r="W30" s="1482">
        <f t="shared" si="14"/>
        <v>100</v>
      </c>
      <c r="X30" s="1475"/>
      <c r="Y30" s="3774"/>
      <c r="Z30" s="1483">
        <f t="shared" si="15"/>
        <v>111</v>
      </c>
      <c r="AA30" s="1484">
        <f t="shared" si="3"/>
        <v>1</v>
      </c>
      <c r="AB30" s="1484">
        <f t="shared" si="4"/>
        <v>1</v>
      </c>
      <c r="AC30" s="1484">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4"/>
      <c r="M31" s="1986"/>
      <c r="N31" s="1986"/>
      <c r="O31" s="1986"/>
      <c r="P31" s="3774"/>
      <c r="Q31" s="1480">
        <f t="shared" si="11"/>
        <v>111</v>
      </c>
      <c r="R31" s="1481" t="s">
        <v>8</v>
      </c>
      <c r="S31" s="1482">
        <f t="shared" si="12"/>
        <v>100</v>
      </c>
      <c r="T31" s="1481" t="s">
        <v>8</v>
      </c>
      <c r="U31" s="1482">
        <f t="shared" si="13"/>
        <v>100</v>
      </c>
      <c r="V31" s="1481" t="s">
        <v>8</v>
      </c>
      <c r="W31" s="1482">
        <f t="shared" si="14"/>
        <v>100</v>
      </c>
      <c r="X31" s="1475"/>
      <c r="Y31" s="3774"/>
      <c r="Z31" s="1483">
        <f t="shared" si="15"/>
        <v>111</v>
      </c>
      <c r="AA31" s="1484">
        <f t="shared" si="3"/>
        <v>1</v>
      </c>
      <c r="AB31" s="1484">
        <f t="shared" si="4"/>
        <v>1</v>
      </c>
      <c r="AC31" s="1484">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4"/>
      <c r="M32" s="1986"/>
      <c r="N32" s="1986"/>
      <c r="O32" s="1986"/>
      <c r="P32" s="3774"/>
      <c r="Q32" s="1480">
        <f t="shared" si="11"/>
        <v>111</v>
      </c>
      <c r="R32" s="1481" t="s">
        <v>8</v>
      </c>
      <c r="S32" s="1482">
        <f t="shared" si="12"/>
        <v>100</v>
      </c>
      <c r="T32" s="1481" t="s">
        <v>8</v>
      </c>
      <c r="U32" s="1482">
        <f t="shared" si="13"/>
        <v>100</v>
      </c>
      <c r="V32" s="1481" t="s">
        <v>8</v>
      </c>
      <c r="W32" s="1482">
        <f t="shared" si="14"/>
        <v>100</v>
      </c>
      <c r="X32" s="1475"/>
      <c r="Y32" s="3774"/>
      <c r="Z32" s="1483">
        <f t="shared" si="15"/>
        <v>111</v>
      </c>
      <c r="AA32" s="1484">
        <f t="shared" si="3"/>
        <v>1</v>
      </c>
      <c r="AB32" s="1484">
        <f t="shared" si="4"/>
        <v>1</v>
      </c>
      <c r="AC32" s="1484">
        <f t="shared" si="5"/>
        <v>1</v>
      </c>
    </row>
    <row r="33" spans="1:29" ht="15">
      <c r="A33" s="2591" t="s">
        <v>2706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4"/>
      <c r="M33" s="1986"/>
      <c r="N33" s="1986"/>
      <c r="O33" s="1986"/>
      <c r="P33" s="3775" t="s">
        <v>527</v>
      </c>
      <c r="Q33" s="1480" t="str">
        <f t="shared" si="11"/>
        <v>建筑类型</v>
      </c>
      <c r="R33" s="1481" t="s">
        <v>8</v>
      </c>
      <c r="S33" s="1482">
        <f t="shared" si="12"/>
        <v>100</v>
      </c>
      <c r="T33" s="1481" t="s">
        <v>8</v>
      </c>
      <c r="U33" s="1482">
        <f t="shared" si="13"/>
        <v>100</v>
      </c>
      <c r="V33" s="1481" t="s">
        <v>8</v>
      </c>
      <c r="W33" s="1482">
        <f t="shared" si="14"/>
        <v>100</v>
      </c>
      <c r="X33" s="1475"/>
      <c r="Y33" s="3776" t="s">
        <v>527</v>
      </c>
      <c r="Z33" s="1483" t="str">
        <f t="shared" si="15"/>
        <v>建筑类型</v>
      </c>
      <c r="AA33" s="1484">
        <f t="shared" si="3"/>
        <v>1</v>
      </c>
      <c r="AB33" s="1484">
        <f t="shared" si="4"/>
        <v>1</v>
      </c>
      <c r="AC33" s="1484">
        <f t="shared" si="5"/>
        <v>1</v>
      </c>
    </row>
    <row r="34" spans="1:29" s="1267"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2"/>
      <c r="M34" s="2022"/>
      <c r="N34" s="2022"/>
      <c r="O34" s="2022"/>
      <c r="P34" s="3776"/>
      <c r="Q34" s="1509" t="str">
        <f t="shared" si="11"/>
        <v>项目建筑规模</v>
      </c>
      <c r="R34" s="1485" t="s">
        <v>8</v>
      </c>
      <c r="S34" s="1486" t="e">
        <f t="shared" si="12"/>
        <v>#N/A</v>
      </c>
      <c r="T34" s="1485" t="s">
        <v>8</v>
      </c>
      <c r="U34" s="1486" t="e">
        <f t="shared" si="13"/>
        <v>#N/A</v>
      </c>
      <c r="V34" s="1485" t="s">
        <v>8</v>
      </c>
      <c r="W34" s="1486" t="e">
        <f t="shared" si="14"/>
        <v>#N/A</v>
      </c>
      <c r="X34" s="1487"/>
      <c r="Y34" s="3776"/>
      <c r="Z34" s="1488" t="str">
        <f t="shared" si="15"/>
        <v>项目建筑规模</v>
      </c>
      <c r="AA34" s="1484" t="e">
        <f t="shared" si="3"/>
        <v>#N/A</v>
      </c>
      <c r="AB34" s="1484" t="e">
        <f t="shared" si="4"/>
        <v>#N/A</v>
      </c>
      <c r="AC34" s="1484"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4"/>
      <c r="M35" s="1986"/>
      <c r="N35" s="1986"/>
      <c r="O35" s="1986"/>
      <c r="P35" s="3776"/>
      <c r="Q35" s="1480" t="str">
        <f t="shared" si="11"/>
        <v>建筑结构</v>
      </c>
      <c r="R35" s="1481" t="s">
        <v>8</v>
      </c>
      <c r="S35" s="1482">
        <f t="shared" si="12"/>
        <v>100</v>
      </c>
      <c r="T35" s="1481" t="s">
        <v>8</v>
      </c>
      <c r="U35" s="1482">
        <f t="shared" si="13"/>
        <v>100</v>
      </c>
      <c r="V35" s="1481" t="s">
        <v>8</v>
      </c>
      <c r="W35" s="1482">
        <f t="shared" si="14"/>
        <v>100</v>
      </c>
      <c r="X35" s="1475"/>
      <c r="Y35" s="3776"/>
      <c r="Z35" s="1483" t="str">
        <f t="shared" si="15"/>
        <v>建筑结构</v>
      </c>
      <c r="AA35" s="1484">
        <f t="shared" si="3"/>
        <v>1</v>
      </c>
      <c r="AB35" s="1484">
        <f t="shared" si="4"/>
        <v>1</v>
      </c>
      <c r="AC35" s="1484">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4"/>
      <c r="M36" s="1986"/>
      <c r="N36" s="1986"/>
      <c r="O36" s="1986"/>
      <c r="P36" s="3776"/>
      <c r="Q36" s="1480" t="str">
        <f t="shared" si="11"/>
        <v>公共部分装修</v>
      </c>
      <c r="R36" s="1481" t="s">
        <v>8</v>
      </c>
      <c r="S36" s="1482">
        <f t="shared" si="12"/>
        <v>100</v>
      </c>
      <c r="T36" s="1481" t="s">
        <v>8</v>
      </c>
      <c r="U36" s="1482">
        <f t="shared" si="13"/>
        <v>100</v>
      </c>
      <c r="V36" s="1481" t="s">
        <v>8</v>
      </c>
      <c r="W36" s="1482">
        <f t="shared" si="14"/>
        <v>100</v>
      </c>
      <c r="X36" s="1475"/>
      <c r="Y36" s="3776"/>
      <c r="Z36" s="1483" t="str">
        <f t="shared" si="15"/>
        <v>公共部分装修</v>
      </c>
      <c r="AA36" s="1484">
        <f t="shared" si="3"/>
        <v>1</v>
      </c>
      <c r="AB36" s="1484">
        <f t="shared" si="4"/>
        <v>1</v>
      </c>
      <c r="AC36" s="1484">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4"/>
      <c r="M37" s="1986"/>
      <c r="N37" s="1986"/>
      <c r="O37" s="1986"/>
      <c r="P37" s="3776"/>
      <c r="Q37" s="1480" t="str">
        <f t="shared" si="11"/>
        <v>成新度</v>
      </c>
      <c r="R37" s="1481" t="s">
        <v>8</v>
      </c>
      <c r="S37" s="1482" t="e">
        <f t="shared" si="12"/>
        <v>#N/A</v>
      </c>
      <c r="T37" s="1481" t="s">
        <v>8</v>
      </c>
      <c r="U37" s="1482" t="e">
        <f t="shared" si="13"/>
        <v>#N/A</v>
      </c>
      <c r="V37" s="1481" t="s">
        <v>8</v>
      </c>
      <c r="W37" s="1482" t="e">
        <f t="shared" si="14"/>
        <v>#N/A</v>
      </c>
      <c r="X37" s="1475"/>
      <c r="Y37" s="3776"/>
      <c r="Z37" s="1483" t="str">
        <f t="shared" si="15"/>
        <v>成新度</v>
      </c>
      <c r="AA37" s="1484" t="e">
        <f t="shared" si="3"/>
        <v>#N/A</v>
      </c>
      <c r="AB37" s="1484" t="e">
        <f t="shared" si="4"/>
        <v>#N/A</v>
      </c>
      <c r="AC37" s="1484" t="e">
        <f t="shared" si="5"/>
        <v>#N/A</v>
      </c>
    </row>
    <row r="38" spans="1:29" s="118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7"/>
      <c r="M38" s="1988"/>
      <c r="N38" s="1988"/>
      <c r="O38" s="1988"/>
      <c r="P38" s="3776"/>
      <c r="Q38" s="1116" t="str">
        <f t="shared" si="11"/>
        <v>写字楼等级</v>
      </c>
      <c r="R38" s="1476" t="s">
        <v>8</v>
      </c>
      <c r="S38" s="1477">
        <f t="shared" si="12"/>
        <v>100</v>
      </c>
      <c r="T38" s="1476" t="s">
        <v>8</v>
      </c>
      <c r="U38" s="1477">
        <f t="shared" si="13"/>
        <v>100</v>
      </c>
      <c r="V38" s="1476" t="s">
        <v>8</v>
      </c>
      <c r="W38" s="1477">
        <f t="shared" si="14"/>
        <v>100</v>
      </c>
      <c r="X38" s="1478"/>
      <c r="Y38" s="3776"/>
      <c r="Z38" s="1115" t="str">
        <f t="shared" si="15"/>
        <v>写字楼等级</v>
      </c>
      <c r="AA38" s="1479">
        <f t="shared" si="3"/>
        <v>1</v>
      </c>
      <c r="AB38" s="1479">
        <f t="shared" si="4"/>
        <v>1</v>
      </c>
      <c r="AC38" s="1479">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4"/>
      <c r="M39" s="1986"/>
      <c r="N39" s="1986"/>
      <c r="O39" s="1986"/>
      <c r="P39" s="3776" t="s">
        <v>527</v>
      </c>
      <c r="Q39" s="1480" t="str">
        <f t="shared" si="11"/>
        <v>物业管理</v>
      </c>
      <c r="R39" s="1481" t="s">
        <v>8</v>
      </c>
      <c r="S39" s="1482">
        <f t="shared" si="12"/>
        <v>100</v>
      </c>
      <c r="T39" s="1481" t="s">
        <v>8</v>
      </c>
      <c r="U39" s="1482">
        <f t="shared" si="13"/>
        <v>100</v>
      </c>
      <c r="V39" s="1481" t="s">
        <v>8</v>
      </c>
      <c r="W39" s="1482">
        <f t="shared" si="14"/>
        <v>100</v>
      </c>
      <c r="X39" s="1475"/>
      <c r="Y39" s="3776" t="s">
        <v>527</v>
      </c>
      <c r="Z39" s="1483" t="str">
        <f t="shared" si="15"/>
        <v>物业管理</v>
      </c>
      <c r="AA39" s="1484">
        <f t="shared" si="3"/>
        <v>1</v>
      </c>
      <c r="AB39" s="1484">
        <f t="shared" si="4"/>
        <v>1</v>
      </c>
      <c r="AC39" s="1484">
        <f t="shared" si="5"/>
        <v>1</v>
      </c>
    </row>
    <row r="40" spans="1:29" ht="15">
      <c r="A40" s="570"/>
      <c r="B40" s="1781" t="s">
        <v>2517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4"/>
      <c r="M40" s="1986"/>
      <c r="N40" s="1986"/>
      <c r="O40" s="1986"/>
      <c r="P40" s="3776"/>
      <c r="Q40" s="1480" t="str">
        <f t="shared" si="11"/>
        <v>市政基础设施</v>
      </c>
      <c r="R40" s="1481" t="s">
        <v>8</v>
      </c>
      <c r="S40" s="1482">
        <f t="shared" si="12"/>
        <v>100</v>
      </c>
      <c r="T40" s="1481" t="s">
        <v>8</v>
      </c>
      <c r="U40" s="1482">
        <f t="shared" si="13"/>
        <v>100</v>
      </c>
      <c r="V40" s="1481" t="s">
        <v>8</v>
      </c>
      <c r="W40" s="1482">
        <f t="shared" si="14"/>
        <v>100</v>
      </c>
      <c r="X40" s="1475"/>
      <c r="Y40" s="3776"/>
      <c r="Z40" s="1483" t="str">
        <f t="shared" si="15"/>
        <v>市政基础设施</v>
      </c>
      <c r="AA40" s="1484">
        <f t="shared" si="3"/>
        <v>1</v>
      </c>
      <c r="AB40" s="1484">
        <f t="shared" si="4"/>
        <v>1</v>
      </c>
      <c r="AC40" s="1484">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4"/>
      <c r="M41" s="1986"/>
      <c r="N41" s="1986"/>
      <c r="O41" s="1986"/>
      <c r="P41" s="3776"/>
      <c r="Q41" s="1480" t="str">
        <f t="shared" si="11"/>
        <v>层高</v>
      </c>
      <c r="R41" s="1481" t="s">
        <v>8</v>
      </c>
      <c r="S41" s="1482">
        <f t="shared" si="12"/>
        <v>100</v>
      </c>
      <c r="T41" s="1481" t="s">
        <v>8</v>
      </c>
      <c r="U41" s="1482">
        <f t="shared" si="13"/>
        <v>100</v>
      </c>
      <c r="V41" s="1481" t="s">
        <v>8</v>
      </c>
      <c r="W41" s="1482">
        <f t="shared" si="14"/>
        <v>100</v>
      </c>
      <c r="X41" s="1475"/>
      <c r="Y41" s="3776"/>
      <c r="Z41" s="1483" t="str">
        <f t="shared" si="15"/>
        <v>层高</v>
      </c>
      <c r="AA41" s="1484">
        <f t="shared" si="3"/>
        <v>1</v>
      </c>
      <c r="AB41" s="1484">
        <f t="shared" si="4"/>
        <v>1</v>
      </c>
      <c r="AC41" s="1484">
        <f t="shared" si="5"/>
        <v>1</v>
      </c>
    </row>
    <row r="42" spans="1:29" s="1267"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2"/>
      <c r="M42" s="2022"/>
      <c r="N42" s="2022"/>
      <c r="O42" s="2022"/>
      <c r="P42" s="3776"/>
      <c r="Q42" s="1509" t="str">
        <f t="shared" si="11"/>
        <v>单套建筑面积</v>
      </c>
      <c r="R42" s="1485" t="s">
        <v>8</v>
      </c>
      <c r="S42" s="1486">
        <f t="shared" si="12"/>
        <v>100</v>
      </c>
      <c r="T42" s="1485" t="s">
        <v>8</v>
      </c>
      <c r="U42" s="1486">
        <f t="shared" si="13"/>
        <v>100</v>
      </c>
      <c r="V42" s="1485" t="s">
        <v>8</v>
      </c>
      <c r="W42" s="1486">
        <f t="shared" si="14"/>
        <v>100</v>
      </c>
      <c r="X42" s="1487"/>
      <c r="Y42" s="3776"/>
      <c r="Z42" s="1488" t="str">
        <f t="shared" si="15"/>
        <v>单套建筑面积</v>
      </c>
      <c r="AA42" s="1484">
        <f t="shared" si="3"/>
        <v>1</v>
      </c>
      <c r="AB42" s="1484">
        <f t="shared" si="4"/>
        <v>1</v>
      </c>
      <c r="AC42" s="1484">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4"/>
      <c r="M43" s="1986"/>
      <c r="N43" s="1986"/>
      <c r="O43" s="1986"/>
      <c r="P43" s="3776"/>
      <c r="Q43" s="1480" t="str">
        <f t="shared" si="11"/>
        <v>内部装修</v>
      </c>
      <c r="R43" s="1481" t="s">
        <v>8</v>
      </c>
      <c r="S43" s="1482">
        <f t="shared" si="12"/>
        <v>100</v>
      </c>
      <c r="T43" s="1481" t="s">
        <v>8</v>
      </c>
      <c r="U43" s="1482">
        <f t="shared" si="13"/>
        <v>100</v>
      </c>
      <c r="V43" s="1481" t="s">
        <v>8</v>
      </c>
      <c r="W43" s="1482">
        <f t="shared" si="14"/>
        <v>100</v>
      </c>
      <c r="X43" s="1475"/>
      <c r="Y43" s="3776"/>
      <c r="Z43" s="1483" t="str">
        <f t="shared" si="15"/>
        <v>内部装修</v>
      </c>
      <c r="AA43" s="1484">
        <f t="shared" si="3"/>
        <v>1</v>
      </c>
      <c r="AB43" s="1484">
        <f t="shared" si="4"/>
        <v>1</v>
      </c>
      <c r="AC43" s="1484">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4"/>
      <c r="M44" s="1986"/>
      <c r="N44" s="1986"/>
      <c r="O44" s="1986"/>
      <c r="P44" s="3776"/>
      <c r="Q44" s="1480" t="str">
        <f t="shared" si="11"/>
        <v>内部装修维护情况</v>
      </c>
      <c r="R44" s="1481" t="s">
        <v>8</v>
      </c>
      <c r="S44" s="1482">
        <f t="shared" si="12"/>
        <v>100</v>
      </c>
      <c r="T44" s="1481" t="s">
        <v>8</v>
      </c>
      <c r="U44" s="1482">
        <f t="shared" si="13"/>
        <v>100</v>
      </c>
      <c r="V44" s="1481" t="s">
        <v>8</v>
      </c>
      <c r="W44" s="1482">
        <f t="shared" si="14"/>
        <v>100</v>
      </c>
      <c r="X44" s="1475"/>
      <c r="Y44" s="3776"/>
      <c r="Z44" s="1483" t="str">
        <f t="shared" si="15"/>
        <v>内部装修维护情况</v>
      </c>
      <c r="AA44" s="1484">
        <f t="shared" si="3"/>
        <v>1</v>
      </c>
      <c r="AB44" s="1484">
        <f t="shared" si="4"/>
        <v>1</v>
      </c>
      <c r="AC44" s="1484">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7"/>
      <c r="M45" s="1988"/>
      <c r="N45" s="1988"/>
      <c r="O45" s="1988"/>
      <c r="P45" s="3776"/>
      <c r="Q45" s="1116">
        <f t="shared" si="11"/>
        <v>111</v>
      </c>
      <c r="R45" s="1476" t="s">
        <v>8</v>
      </c>
      <c r="S45" s="1477">
        <f t="shared" si="12"/>
        <v>100</v>
      </c>
      <c r="T45" s="1476" t="s">
        <v>8</v>
      </c>
      <c r="U45" s="1477">
        <f t="shared" si="13"/>
        <v>100</v>
      </c>
      <c r="V45" s="1476" t="s">
        <v>8</v>
      </c>
      <c r="W45" s="1477">
        <f t="shared" si="14"/>
        <v>100</v>
      </c>
      <c r="X45" s="1478"/>
      <c r="Y45" s="3776"/>
      <c r="Z45" s="1115">
        <f t="shared" si="15"/>
        <v>111</v>
      </c>
      <c r="AA45" s="1479">
        <f t="shared" si="3"/>
        <v>1</v>
      </c>
      <c r="AB45" s="1479">
        <f t="shared" si="4"/>
        <v>1</v>
      </c>
      <c r="AC45" s="147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4"/>
      <c r="M46" s="1986"/>
      <c r="N46" s="1986"/>
      <c r="O46" s="1986"/>
      <c r="P46" s="3776"/>
      <c r="Q46" s="1480">
        <f t="shared" si="11"/>
        <v>111</v>
      </c>
      <c r="R46" s="1481" t="s">
        <v>8</v>
      </c>
      <c r="S46" s="1482">
        <f t="shared" si="12"/>
        <v>100</v>
      </c>
      <c r="T46" s="1481" t="s">
        <v>8</v>
      </c>
      <c r="U46" s="1482">
        <f t="shared" si="13"/>
        <v>100</v>
      </c>
      <c r="V46" s="1481" t="s">
        <v>8</v>
      </c>
      <c r="W46" s="1482">
        <f t="shared" si="14"/>
        <v>100</v>
      </c>
      <c r="X46" s="1475"/>
      <c r="Y46" s="3776"/>
      <c r="Z46" s="1483">
        <f t="shared" si="15"/>
        <v>111</v>
      </c>
      <c r="AA46" s="1484">
        <f t="shared" si="3"/>
        <v>1</v>
      </c>
      <c r="AB46" s="1484">
        <f t="shared" si="4"/>
        <v>1</v>
      </c>
      <c r="AC46" s="1484">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4"/>
      <c r="M47" s="1986"/>
      <c r="N47" s="1986"/>
      <c r="O47" s="1986"/>
      <c r="P47" s="3914"/>
      <c r="Q47" s="1480">
        <f t="shared" si="11"/>
        <v>111</v>
      </c>
      <c r="R47" s="1481" t="s">
        <v>8</v>
      </c>
      <c r="S47" s="1482">
        <f t="shared" si="12"/>
        <v>100</v>
      </c>
      <c r="T47" s="1481" t="s">
        <v>8</v>
      </c>
      <c r="U47" s="1482">
        <f t="shared" si="13"/>
        <v>100</v>
      </c>
      <c r="V47" s="1481" t="s">
        <v>8</v>
      </c>
      <c r="W47" s="1482">
        <f t="shared" si="14"/>
        <v>100</v>
      </c>
      <c r="X47" s="1475"/>
      <c r="Y47" s="3914"/>
      <c r="Z47" s="1483">
        <f t="shared" si="15"/>
        <v>111</v>
      </c>
      <c r="AA47" s="1484">
        <f t="shared" si="3"/>
        <v>1</v>
      </c>
      <c r="AB47" s="1484">
        <f t="shared" si="4"/>
        <v>1</v>
      </c>
      <c r="AC47" s="1484">
        <f t="shared" si="5"/>
        <v>1</v>
      </c>
    </row>
    <row r="48" spans="1:29" ht="15">
      <c r="A48" s="583" t="s">
        <v>713</v>
      </c>
      <c r="B48" s="858"/>
      <c r="C48" s="2437" t="s">
        <v>1</v>
      </c>
      <c r="D48" s="2438"/>
      <c r="E48" s="2439"/>
      <c r="F48" s="2440"/>
      <c r="G48" s="2441"/>
      <c r="H48" s="2442"/>
      <c r="I48" s="2439"/>
      <c r="J48" s="2442"/>
      <c r="K48" s="1514"/>
      <c r="L48" s="1996"/>
      <c r="M48" s="1986"/>
      <c r="N48" s="1986"/>
      <c r="O48" s="1986"/>
      <c r="P48" s="3793" t="str">
        <f>A48</f>
        <v>成交单价（元/平方米）</v>
      </c>
      <c r="Q48" s="3771"/>
      <c r="R48" s="3913">
        <f>E48</f>
        <v>0</v>
      </c>
      <c r="S48" s="3913"/>
      <c r="T48" s="3913">
        <f>G48</f>
        <v>0</v>
      </c>
      <c r="U48" s="3913"/>
      <c r="V48" s="3913">
        <f>I48</f>
        <v>0</v>
      </c>
      <c r="W48" s="3913"/>
      <c r="X48" s="1470"/>
      <c r="Y48" s="1489"/>
      <c r="Z48" s="1470"/>
      <c r="AA48" s="1470"/>
      <c r="AB48" s="1470"/>
      <c r="AC48" s="1470"/>
    </row>
    <row r="49" spans="1:29" ht="15.75" thickBot="1">
      <c r="A49" s="591" t="s">
        <v>2711</v>
      </c>
      <c r="B49" s="859"/>
      <c r="C49" s="2443" t="e">
        <f>R50</f>
        <v>#DIV/0!</v>
      </c>
      <c r="D49" s="2977" t="s">
        <v>2935</v>
      </c>
      <c r="E49" s="2444" t="e">
        <f>R49</f>
        <v>#DIV/0!</v>
      </c>
      <c r="F49" s="2978"/>
      <c r="G49" s="2443" t="e">
        <f>T49</f>
        <v>#DIV/0!</v>
      </c>
      <c r="H49" s="2978"/>
      <c r="I49" s="2444" t="e">
        <f>V49</f>
        <v>#DIV/0!</v>
      </c>
      <c r="J49" s="2978"/>
      <c r="K49" s="2986">
        <f>F49+H49+J49</f>
        <v>0</v>
      </c>
      <c r="L49" s="1996"/>
      <c r="M49" s="1986"/>
      <c r="N49" s="1986"/>
      <c r="O49" s="1986"/>
      <c r="P49" s="3793" t="str">
        <f>A49</f>
        <v>比较价格（元/平方米）</v>
      </c>
      <c r="Q49" s="3771"/>
      <c r="R49" s="3913" t="e">
        <f>IF(F1="售价",ROUND(PRODUCT(R48,AA7:AA47),0),ROUND(PRODUCT(R48,AA7:AA47),1))</f>
        <v>#DIV/0!</v>
      </c>
      <c r="S49" s="3913"/>
      <c r="T49" s="3913" t="e">
        <f>IF(F1="售价",ROUND(PRODUCT(T48,AB7:AB47),0),ROUND(PRODUCT(T48,AB7:AB47),1))</f>
        <v>#DIV/0!</v>
      </c>
      <c r="U49" s="3913"/>
      <c r="V49" s="3913" t="e">
        <f>IF(F1="售价",ROUND(PRODUCT(V48,AC7:AC47),0),ROUND(PRODUCT(V48,AC7:AC47),1))</f>
        <v>#DIV/0!</v>
      </c>
      <c r="W49" s="3913"/>
      <c r="X49" s="1470"/>
      <c r="Y49" s="1470"/>
      <c r="Z49" s="1470"/>
      <c r="AA49" s="1470"/>
      <c r="AB49" s="1470"/>
      <c r="AC49" s="1470"/>
    </row>
    <row r="50" spans="1:29" ht="15.75" thickBot="1">
      <c r="A50" s="595" t="s">
        <v>2871</v>
      </c>
      <c r="B50" s="596"/>
      <c r="C50" s="2445" t="e">
        <f>R50</f>
        <v>#DIV/0!</v>
      </c>
      <c r="D50" s="2445"/>
      <c r="E50" s="2445"/>
      <c r="F50" s="2445"/>
      <c r="G50" s="2445"/>
      <c r="H50" s="2445"/>
      <c r="I50" s="2445"/>
      <c r="J50" s="2445"/>
      <c r="K50" s="1515"/>
      <c r="L50" s="1996"/>
      <c r="M50" s="1986"/>
      <c r="N50" s="1986"/>
      <c r="O50" s="1986"/>
      <c r="P50" s="3918" t="str">
        <f>A50</f>
        <v>估价对象XX用房的比较价格（楼面单价，元/平方米）</v>
      </c>
      <c r="Q50" s="3793"/>
      <c r="R50" s="3912" t="e">
        <f>IF(F1="售价",ROUND(IF(D49="简单平均",AVERAGE(R49:V49),R49*F49+T49*H49+V49*J49),0),ROUND(IF(D49="简单平均",AVERAGE(R49:V49),R49*F49+T49*H49+V49*J49),1))</f>
        <v>#DIV/0!</v>
      </c>
      <c r="S50" s="3912"/>
      <c r="T50" s="3912"/>
      <c r="U50" s="3912"/>
      <c r="V50" s="3912"/>
      <c r="W50" s="3912"/>
      <c r="X50" s="1470"/>
      <c r="Y50" s="1470"/>
      <c r="Z50" s="1470"/>
      <c r="AA50" s="1470"/>
      <c r="AB50" s="1470"/>
      <c r="AC50" s="1470"/>
    </row>
    <row r="51" spans="1:29">
      <c r="A51" s="3176"/>
      <c r="B51" s="3176"/>
      <c r="C51" s="3176"/>
      <c r="D51" s="3176"/>
      <c r="E51" s="3176"/>
      <c r="F51" s="3176"/>
      <c r="G51" s="3178"/>
      <c r="H51" s="3176"/>
      <c r="I51" s="3176"/>
      <c r="J51" s="3176"/>
      <c r="K51" s="3179"/>
      <c r="L51" s="2001"/>
      <c r="M51" s="1997"/>
      <c r="N51" s="1997"/>
      <c r="O51" s="1997"/>
      <c r="P51" s="2058"/>
      <c r="Q51" s="1997"/>
      <c r="R51" s="1997"/>
      <c r="S51" s="1997"/>
      <c r="T51" s="1997"/>
      <c r="U51" s="1997"/>
      <c r="V51" s="1997"/>
      <c r="W51" s="1997"/>
      <c r="X51" s="1997"/>
      <c r="Y51" s="1997"/>
      <c r="Z51" s="1997"/>
      <c r="AA51" s="1997"/>
      <c r="AB51" s="1997"/>
      <c r="AC51" s="1997"/>
    </row>
    <row r="52" spans="1:29">
      <c r="A52" s="3176"/>
      <c r="B52" s="3176"/>
      <c r="C52" s="3176"/>
      <c r="D52" s="3176"/>
      <c r="E52" s="3176"/>
      <c r="F52" s="3176"/>
      <c r="G52" s="3176"/>
      <c r="H52" s="3176"/>
      <c r="I52" s="3176"/>
      <c r="J52" s="3176"/>
      <c r="K52" s="317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6"/>
      <c r="B53" s="3176"/>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6"/>
      <c r="B54" s="3176"/>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1"/>
      <c r="M54" s="1997"/>
      <c r="N54" s="1997"/>
      <c r="O54" s="1997"/>
      <c r="P54" s="2058"/>
      <c r="Q54" s="1997"/>
      <c r="R54" s="1997"/>
      <c r="S54" s="1997"/>
      <c r="T54" s="1997"/>
      <c r="U54" s="1997"/>
      <c r="V54" s="1997"/>
      <c r="W54" s="1997"/>
      <c r="X54" s="1997"/>
      <c r="Y54" s="1997"/>
      <c r="Z54" s="1997"/>
      <c r="AA54" s="1997"/>
      <c r="AB54" s="1997"/>
      <c r="AC54" s="1997"/>
    </row>
    <row r="55" spans="1:29" s="1272" customFormat="1" ht="13.5" customHeight="1">
      <c r="A55" s="3177"/>
      <c r="B55" s="3177"/>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4"/>
      <c r="M55" s="1998"/>
      <c r="N55" s="1998"/>
      <c r="O55" s="1998"/>
      <c r="P55" s="2059"/>
      <c r="Q55" s="1998"/>
      <c r="R55" s="1998"/>
      <c r="S55" s="1998"/>
      <c r="T55" s="1998"/>
      <c r="U55" s="1998"/>
      <c r="V55" s="1998"/>
      <c r="W55" s="1998"/>
      <c r="X55" s="1998"/>
      <c r="Y55" s="1998"/>
      <c r="Z55" s="1998"/>
      <c r="AA55" s="1998"/>
      <c r="AB55" s="1998"/>
      <c r="AC55" s="1998"/>
    </row>
    <row r="56" spans="1:29" s="1272"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2" t="s">
        <v>551</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4" customFormat="1" ht="15">
      <c r="A59" s="619" t="s">
        <v>506</v>
      </c>
      <c r="B59" s="620"/>
      <c r="C59" s="2486" t="str">
        <f>YEAR(C7)&amp;"-"&amp;MONTH(C7)</f>
        <v>2022-3</v>
      </c>
      <c r="D59" s="2488">
        <f>EDATE(C59,-1)</f>
        <v>44593</v>
      </c>
      <c r="E59" s="2488">
        <f t="shared" ref="E59:O59" si="16">EDATE(D59,-1)</f>
        <v>44562</v>
      </c>
      <c r="F59" s="2488">
        <f t="shared" si="16"/>
        <v>44531</v>
      </c>
      <c r="G59" s="2488">
        <f t="shared" si="16"/>
        <v>44501</v>
      </c>
      <c r="H59" s="2488">
        <f t="shared" si="16"/>
        <v>44470</v>
      </c>
      <c r="I59" s="2488">
        <f t="shared" si="16"/>
        <v>44440</v>
      </c>
      <c r="J59" s="2488">
        <f t="shared" si="16"/>
        <v>44409</v>
      </c>
      <c r="K59" s="2488">
        <f t="shared" si="16"/>
        <v>44378</v>
      </c>
      <c r="L59" s="2488">
        <f t="shared" si="16"/>
        <v>44348</v>
      </c>
      <c r="M59" s="2488">
        <f t="shared" si="16"/>
        <v>44317</v>
      </c>
      <c r="N59" s="2488">
        <f t="shared" si="16"/>
        <v>44287</v>
      </c>
      <c r="O59" s="2488">
        <f t="shared" si="16"/>
        <v>44256</v>
      </c>
      <c r="P59" s="2061"/>
      <c r="Q59" s="2012"/>
      <c r="R59" s="2012"/>
      <c r="S59" s="2012"/>
      <c r="T59" s="2012"/>
      <c r="U59" s="2012"/>
      <c r="V59" s="2012"/>
      <c r="W59" s="2012"/>
      <c r="X59" s="2012"/>
      <c r="Y59" s="2012"/>
      <c r="Z59" s="2012"/>
      <c r="AA59" s="2012"/>
      <c r="AB59" s="2012"/>
      <c r="AC59" s="2012"/>
    </row>
    <row r="60" spans="1:29" s="1185" customFormat="1" ht="15">
      <c r="A60" s="621"/>
      <c r="B60" s="622"/>
      <c r="C60" s="623">
        <v>100</v>
      </c>
      <c r="D60" s="624"/>
      <c r="E60" s="624"/>
      <c r="F60" s="624"/>
      <c r="G60" s="624"/>
      <c r="H60" s="624"/>
      <c r="I60" s="624"/>
      <c r="J60" s="624"/>
      <c r="K60" s="624"/>
      <c r="L60" s="624"/>
      <c r="M60" s="625"/>
      <c r="N60" s="624"/>
      <c r="O60" s="625"/>
      <c r="P60" s="2062"/>
      <c r="Q60" s="1876"/>
      <c r="R60" s="1876"/>
      <c r="S60" s="1876"/>
      <c r="T60" s="1876"/>
      <c r="U60" s="1876"/>
      <c r="V60" s="1876"/>
      <c r="W60" s="1876"/>
      <c r="X60" s="1876"/>
      <c r="Y60" s="1876"/>
      <c r="Z60" s="1876"/>
      <c r="AA60" s="1876"/>
      <c r="AB60" s="1876"/>
      <c r="AC60" s="1876"/>
    </row>
    <row r="61" spans="1:29" s="1185" customFormat="1" ht="15.75" thickBot="1">
      <c r="A61" s="627" t="s">
        <v>552</v>
      </c>
      <c r="B61" s="628"/>
      <c r="C61" s="629"/>
      <c r="D61" s="630"/>
      <c r="E61" s="630"/>
      <c r="F61" s="630"/>
      <c r="G61" s="630"/>
      <c r="H61" s="630"/>
      <c r="I61" s="630"/>
      <c r="J61" s="630"/>
      <c r="K61" s="630"/>
      <c r="L61" s="630"/>
      <c r="M61" s="631"/>
      <c r="N61" s="630"/>
      <c r="O61" s="631"/>
      <c r="P61" s="2062"/>
      <c r="Q61" s="2009"/>
      <c r="R61" s="1876"/>
      <c r="S61" s="1876"/>
      <c r="T61" s="1876"/>
      <c r="U61" s="1876"/>
      <c r="V61" s="1876"/>
      <c r="W61" s="1876"/>
      <c r="X61" s="1876"/>
      <c r="Y61" s="1876"/>
      <c r="Z61" s="1876"/>
      <c r="AA61" s="1876"/>
      <c r="AB61" s="1876"/>
      <c r="AC61" s="1876"/>
    </row>
    <row r="62" spans="1:29" s="1185" customFormat="1" ht="15">
      <c r="A62" s="633" t="s">
        <v>508</v>
      </c>
      <c r="B62" s="622"/>
      <c r="C62" s="634" t="s">
        <v>553</v>
      </c>
      <c r="D62" s="635"/>
      <c r="E62" s="635"/>
      <c r="F62" s="635"/>
      <c r="G62" s="635"/>
      <c r="H62" s="635"/>
      <c r="I62" s="635"/>
      <c r="J62" s="635"/>
      <c r="K62" s="635"/>
      <c r="L62" s="636"/>
      <c r="M62" s="637"/>
      <c r="N62" s="2013"/>
      <c r="O62" s="2013"/>
      <c r="P62" s="2063"/>
      <c r="Q62" s="2009"/>
      <c r="R62" s="1876"/>
      <c r="S62" s="1876"/>
      <c r="T62" s="1876"/>
      <c r="U62" s="1876"/>
      <c r="V62" s="1876"/>
      <c r="W62" s="1876"/>
      <c r="X62" s="1876"/>
      <c r="Y62" s="1876"/>
      <c r="Z62" s="1876"/>
      <c r="AA62" s="1876"/>
      <c r="AB62" s="1876"/>
      <c r="AC62" s="1876"/>
    </row>
    <row r="63" spans="1:29" s="1185" customFormat="1" ht="15.75" thickBot="1">
      <c r="A63" s="633"/>
      <c r="B63" s="622"/>
      <c r="C63" s="860">
        <v>100</v>
      </c>
      <c r="D63" s="624"/>
      <c r="E63" s="624"/>
      <c r="F63" s="624"/>
      <c r="G63" s="624"/>
      <c r="H63" s="624"/>
      <c r="I63" s="624"/>
      <c r="J63" s="624"/>
      <c r="K63" s="624"/>
      <c r="L63" s="624"/>
      <c r="M63" s="626"/>
      <c r="N63" s="2013"/>
      <c r="O63" s="2013"/>
      <c r="P63" s="2062"/>
      <c r="Q63" s="2009"/>
      <c r="R63" s="1876"/>
      <c r="S63" s="1876"/>
      <c r="T63" s="1876"/>
      <c r="U63" s="1876"/>
      <c r="V63" s="1876"/>
      <c r="W63" s="1876"/>
      <c r="X63" s="1876"/>
      <c r="Y63" s="1876"/>
      <c r="Z63" s="1876"/>
      <c r="AA63" s="1876"/>
      <c r="AB63" s="1876"/>
      <c r="AC63" s="1876"/>
    </row>
    <row r="64" spans="1:29">
      <c r="A64" s="638" t="s">
        <v>554</v>
      </c>
      <c r="B64" s="639" t="s">
        <v>511</v>
      </c>
      <c r="C64" s="678">
        <f>C9</f>
        <v>0</v>
      </c>
      <c r="D64" s="574"/>
      <c r="E64" s="574"/>
      <c r="F64" s="574"/>
      <c r="G64" s="574"/>
      <c r="H64" s="574"/>
      <c r="I64" s="574"/>
      <c r="J64" s="574"/>
      <c r="K64" s="640"/>
      <c r="L64" s="641"/>
      <c r="M64" s="642"/>
      <c r="N64" s="2015"/>
      <c r="O64" s="2015"/>
      <c r="P64" s="2064"/>
      <c r="Q64" s="2009"/>
      <c r="R64" s="1997"/>
      <c r="S64" s="1997"/>
      <c r="T64" s="1997"/>
      <c r="U64" s="1997"/>
      <c r="V64" s="1997"/>
      <c r="W64" s="1997"/>
      <c r="X64" s="1997"/>
      <c r="Y64" s="1997"/>
      <c r="Z64" s="1997"/>
      <c r="AA64" s="1997"/>
      <c r="AB64" s="1997"/>
      <c r="AC64" s="1997"/>
    </row>
    <row r="65" spans="1:29" ht="15.75" thickBot="1">
      <c r="A65" s="643"/>
      <c r="B65" s="644"/>
      <c r="C65" s="645"/>
      <c r="D65" s="645"/>
      <c r="E65" s="645"/>
      <c r="F65" s="645"/>
      <c r="G65" s="645"/>
      <c r="H65" s="645"/>
      <c r="I65" s="645"/>
      <c r="J65" s="645"/>
      <c r="K65" s="645"/>
      <c r="L65" s="645"/>
      <c r="M65" s="646"/>
      <c r="N65" s="2017"/>
      <c r="O65" s="2017"/>
      <c r="P65" s="2064"/>
      <c r="Q65" s="2009"/>
      <c r="R65" s="1997"/>
      <c r="S65" s="1997"/>
      <c r="T65" s="1997"/>
      <c r="U65" s="1997"/>
      <c r="V65" s="1997"/>
      <c r="W65" s="1997"/>
      <c r="X65" s="1997"/>
      <c r="Y65" s="1997"/>
      <c r="Z65" s="1997"/>
      <c r="AA65" s="1997"/>
      <c r="AB65" s="1997"/>
      <c r="AC65" s="1997"/>
    </row>
    <row r="66" spans="1:29" ht="27.75" thickTop="1">
      <c r="A66" s="643"/>
      <c r="B66" s="647" t="s">
        <v>514</v>
      </c>
      <c r="C66" s="648" t="s">
        <v>714</v>
      </c>
      <c r="D66" s="648" t="s">
        <v>715</v>
      </c>
      <c r="E66" s="648" t="s">
        <v>716</v>
      </c>
      <c r="F66" s="648" t="s">
        <v>717</v>
      </c>
      <c r="G66" s="648" t="s">
        <v>718</v>
      </c>
      <c r="H66" s="648" t="s">
        <v>719</v>
      </c>
      <c r="I66" s="648" t="s">
        <v>720</v>
      </c>
      <c r="J66" s="648"/>
      <c r="K66" s="649"/>
      <c r="L66" s="650"/>
      <c r="M66" s="651"/>
      <c r="N66" s="2015"/>
      <c r="O66" s="2015"/>
      <c r="P66" s="2064"/>
      <c r="Q66" s="2009"/>
      <c r="R66" s="1997"/>
      <c r="S66" s="1997"/>
      <c r="T66" s="1997"/>
      <c r="U66" s="1997"/>
      <c r="V66" s="1997"/>
      <c r="W66" s="1997"/>
      <c r="X66" s="1997"/>
      <c r="Y66" s="1997"/>
      <c r="Z66" s="1997"/>
      <c r="AA66" s="1997"/>
      <c r="AB66" s="1997"/>
      <c r="AC66" s="1997"/>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7"/>
      <c r="O67" s="2017"/>
      <c r="P67" s="2064"/>
      <c r="Q67" s="2009"/>
      <c r="R67" s="1997"/>
      <c r="S67" s="1997"/>
      <c r="T67" s="1997"/>
      <c r="U67" s="1997"/>
      <c r="V67" s="1997"/>
      <c r="W67" s="1997"/>
      <c r="X67" s="1997"/>
      <c r="Y67" s="1997"/>
      <c r="Z67" s="1997"/>
      <c r="AA67" s="1997"/>
      <c r="AB67" s="1997"/>
      <c r="AC67" s="1997"/>
    </row>
    <row r="68" spans="1:29" ht="15.75" thickTop="1">
      <c r="A68" s="643"/>
      <c r="B68" s="655" t="s">
        <v>515</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3"/>
      <c r="B69" s="657"/>
      <c r="C69" s="517"/>
      <c r="D69" s="517"/>
      <c r="E69" s="517"/>
      <c r="F69" s="517"/>
      <c r="G69" s="517"/>
      <c r="H69" s="517"/>
      <c r="I69" s="517"/>
      <c r="J69" s="517"/>
      <c r="K69" s="658"/>
      <c r="L69" s="659"/>
      <c r="M69" s="660"/>
      <c r="N69" s="2015"/>
      <c r="O69" s="2015"/>
      <c r="P69" s="2064"/>
      <c r="Q69" s="2009"/>
      <c r="R69" s="1997"/>
      <c r="S69" s="1997"/>
      <c r="T69" s="1997"/>
      <c r="U69" s="1997"/>
      <c r="V69" s="1997"/>
      <c r="W69" s="1997"/>
      <c r="X69" s="1997"/>
      <c r="Y69" s="1997"/>
      <c r="Z69" s="1997"/>
      <c r="AA69" s="1997"/>
      <c r="AB69" s="1997"/>
      <c r="AC69" s="1997"/>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7"/>
      <c r="O70" s="2017"/>
      <c r="P70" s="2064"/>
      <c r="Q70" s="2009"/>
      <c r="R70" s="1997"/>
      <c r="S70" s="1997"/>
      <c r="T70" s="1997"/>
      <c r="U70" s="1997"/>
      <c r="V70" s="1997"/>
      <c r="W70" s="1997"/>
      <c r="X70" s="1997"/>
      <c r="Y70" s="1997"/>
      <c r="Z70" s="1997"/>
      <c r="AA70" s="1997"/>
      <c r="AB70" s="1997"/>
      <c r="AC70" s="1997"/>
    </row>
    <row r="71" spans="1:29" s="1267" customFormat="1" ht="15.75" thickTop="1">
      <c r="A71" s="661"/>
      <c r="B71" s="647">
        <f>B12</f>
        <v>111</v>
      </c>
      <c r="C71" s="662"/>
      <c r="D71" s="662"/>
      <c r="E71" s="662"/>
      <c r="F71" s="662"/>
      <c r="G71" s="662"/>
      <c r="H71" s="663"/>
      <c r="I71" s="663"/>
      <c r="J71" s="663"/>
      <c r="K71" s="663"/>
      <c r="L71" s="664"/>
      <c r="M71" s="665"/>
      <c r="N71" s="2018"/>
      <c r="O71" s="2018"/>
      <c r="P71" s="2065"/>
      <c r="Q71" s="2020"/>
      <c r="R71" s="2021"/>
      <c r="S71" s="2021"/>
      <c r="T71" s="2021"/>
      <c r="U71" s="2021"/>
      <c r="V71" s="2021"/>
      <c r="W71" s="2021"/>
      <c r="X71" s="2021"/>
      <c r="Y71" s="2021"/>
      <c r="Z71" s="2021"/>
      <c r="AA71" s="2021"/>
      <c r="AB71" s="2021"/>
      <c r="AC71" s="2021"/>
    </row>
    <row r="72" spans="1:29" s="1267" customFormat="1" ht="15.75" thickBot="1">
      <c r="A72" s="661"/>
      <c r="B72" s="652"/>
      <c r="C72" s="666"/>
      <c r="D72" s="645"/>
      <c r="E72" s="645"/>
      <c r="F72" s="645"/>
      <c r="G72" s="645"/>
      <c r="H72" s="645"/>
      <c r="I72" s="645"/>
      <c r="J72" s="645"/>
      <c r="K72" s="645"/>
      <c r="L72" s="645"/>
      <c r="M72" s="646"/>
      <c r="N72" s="2017"/>
      <c r="O72" s="2017"/>
      <c r="P72" s="2065"/>
      <c r="Q72" s="2020"/>
      <c r="R72" s="2021"/>
      <c r="S72" s="2021"/>
      <c r="T72" s="2021"/>
      <c r="U72" s="2021"/>
      <c r="V72" s="2021"/>
      <c r="W72" s="2021"/>
      <c r="X72" s="2021"/>
      <c r="Y72" s="2021"/>
      <c r="Z72" s="2021"/>
      <c r="AA72" s="2021"/>
      <c r="AB72" s="2021"/>
      <c r="AC72" s="2021"/>
    </row>
    <row r="73" spans="1:29" s="1267" customFormat="1" ht="15.75" thickTop="1">
      <c r="A73" s="661"/>
      <c r="B73" s="647">
        <f>B13</f>
        <v>111</v>
      </c>
      <c r="C73" s="662"/>
      <c r="D73" s="662"/>
      <c r="E73" s="662"/>
      <c r="F73" s="662"/>
      <c r="G73" s="662"/>
      <c r="H73" s="663"/>
      <c r="I73" s="663"/>
      <c r="J73" s="663"/>
      <c r="K73" s="663"/>
      <c r="L73" s="664"/>
      <c r="M73" s="665"/>
      <c r="N73" s="2018"/>
      <c r="O73" s="2018"/>
      <c r="P73" s="2066"/>
      <c r="Q73" s="2023"/>
      <c r="R73" s="2021"/>
      <c r="S73" s="2021"/>
      <c r="T73" s="2021"/>
      <c r="U73" s="2021"/>
      <c r="V73" s="2021"/>
      <c r="W73" s="2021"/>
      <c r="X73" s="2021"/>
      <c r="Y73" s="2021"/>
      <c r="Z73" s="2021"/>
      <c r="AA73" s="2021"/>
      <c r="AB73" s="2021"/>
      <c r="AC73" s="2021"/>
    </row>
    <row r="74" spans="1:29" s="1267" customFormat="1" ht="15.75" thickBot="1">
      <c r="A74" s="661"/>
      <c r="B74" s="652"/>
      <c r="C74" s="666"/>
      <c r="D74" s="666"/>
      <c r="E74" s="666"/>
      <c r="F74" s="666"/>
      <c r="G74" s="666"/>
      <c r="H74" s="667"/>
      <c r="I74" s="667"/>
      <c r="J74" s="667"/>
      <c r="K74" s="667"/>
      <c r="L74" s="667"/>
      <c r="M74" s="668"/>
      <c r="N74" s="2018"/>
      <c r="O74" s="2018"/>
      <c r="P74" s="2065"/>
      <c r="Q74" s="2020"/>
      <c r="R74" s="2021"/>
      <c r="S74" s="2021"/>
      <c r="T74" s="2021"/>
      <c r="U74" s="2021"/>
      <c r="V74" s="2021"/>
      <c r="W74" s="2021"/>
      <c r="X74" s="2021"/>
      <c r="Y74" s="2021"/>
      <c r="Z74" s="2021"/>
      <c r="AA74" s="2021"/>
      <c r="AB74" s="2021"/>
      <c r="AC74" s="2021"/>
    </row>
    <row r="75" spans="1:29" s="1267" customFormat="1" ht="15.75" thickTop="1">
      <c r="A75" s="661"/>
      <c r="B75" s="655">
        <f>B14</f>
        <v>111</v>
      </c>
      <c r="C75" s="635"/>
      <c r="D75" s="635"/>
      <c r="E75" s="635"/>
      <c r="F75" s="635"/>
      <c r="G75" s="635"/>
      <c r="H75" s="669"/>
      <c r="I75" s="669"/>
      <c r="J75" s="669"/>
      <c r="K75" s="669"/>
      <c r="L75" s="670"/>
      <c r="M75" s="671"/>
      <c r="N75" s="2018"/>
      <c r="O75" s="2018"/>
      <c r="P75" s="2067"/>
      <c r="Q75" s="2020"/>
      <c r="R75" s="2021"/>
      <c r="S75" s="2021"/>
      <c r="T75" s="2021"/>
      <c r="U75" s="2021"/>
      <c r="V75" s="2021"/>
      <c r="W75" s="2021"/>
      <c r="X75" s="2021"/>
      <c r="Y75" s="2021"/>
      <c r="Z75" s="2021"/>
      <c r="AA75" s="2021"/>
      <c r="AB75" s="2021"/>
      <c r="AC75" s="2021"/>
    </row>
    <row r="76" spans="1:29" s="1267" customFormat="1" ht="15.75" thickBot="1">
      <c r="A76" s="672"/>
      <c r="B76" s="673"/>
      <c r="C76" s="674"/>
      <c r="D76" s="674"/>
      <c r="E76" s="674"/>
      <c r="F76" s="674"/>
      <c r="G76" s="674"/>
      <c r="H76" s="675"/>
      <c r="I76" s="675"/>
      <c r="J76" s="675"/>
      <c r="K76" s="675"/>
      <c r="L76" s="675"/>
      <c r="M76" s="676"/>
      <c r="N76" s="2018"/>
      <c r="O76" s="2018"/>
      <c r="P76" s="2065"/>
      <c r="Q76" s="2020"/>
      <c r="R76" s="2021"/>
      <c r="S76" s="2021"/>
      <c r="T76" s="2021"/>
      <c r="U76" s="2021"/>
      <c r="V76" s="2021"/>
      <c r="W76" s="2021"/>
      <c r="X76" s="2021"/>
      <c r="Y76" s="2021"/>
      <c r="Z76" s="2021"/>
      <c r="AA76" s="2021"/>
      <c r="AB76" s="2021"/>
      <c r="AC76" s="2021"/>
    </row>
    <row r="77" spans="1:29">
      <c r="A77" s="638" t="s">
        <v>516</v>
      </c>
      <c r="B77" s="639" t="s">
        <v>562</v>
      </c>
      <c r="C77" s="677" t="s">
        <v>556</v>
      </c>
      <c r="D77" s="677" t="s">
        <v>557</v>
      </c>
      <c r="E77" s="677" t="s">
        <v>558</v>
      </c>
      <c r="F77" s="677" t="s">
        <v>559</v>
      </c>
      <c r="G77" s="677" t="s">
        <v>560</v>
      </c>
      <c r="H77" s="678"/>
      <c r="I77" s="678"/>
      <c r="J77" s="678"/>
      <c r="K77" s="679"/>
      <c r="L77" s="680"/>
      <c r="M77" s="681"/>
      <c r="N77" s="2015"/>
      <c r="O77" s="2015"/>
      <c r="P77" s="2068"/>
      <c r="Q77" s="2009"/>
      <c r="R77" s="1997"/>
      <c r="S77" s="1997"/>
      <c r="T77" s="1997"/>
      <c r="U77" s="1997"/>
      <c r="V77" s="1997"/>
      <c r="W77" s="1997"/>
      <c r="X77" s="1997"/>
      <c r="Y77" s="1997"/>
      <c r="Z77" s="1997"/>
      <c r="AA77" s="1997"/>
      <c r="AB77" s="1997"/>
      <c r="AC77" s="1997"/>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7"/>
      <c r="O78" s="2017"/>
      <c r="P78" s="2064"/>
      <c r="Q78" s="2009"/>
      <c r="R78" s="1997"/>
      <c r="S78" s="1997"/>
      <c r="T78" s="1997"/>
      <c r="U78" s="1997"/>
      <c r="V78" s="1997"/>
      <c r="W78" s="1997"/>
      <c r="X78" s="1997"/>
      <c r="Y78" s="1997"/>
      <c r="Z78" s="1997"/>
      <c r="AA78" s="1997"/>
      <c r="AB78" s="1997"/>
      <c r="AC78" s="1997"/>
    </row>
    <row r="79" spans="1:29" ht="15.75" thickTop="1">
      <c r="A79" s="643"/>
      <c r="B79" s="647" t="s">
        <v>563</v>
      </c>
      <c r="C79" s="682" t="s">
        <v>556</v>
      </c>
      <c r="D79" s="682" t="s">
        <v>557</v>
      </c>
      <c r="E79" s="682" t="s">
        <v>558</v>
      </c>
      <c r="F79" s="682" t="s">
        <v>559</v>
      </c>
      <c r="G79" s="682" t="s">
        <v>560</v>
      </c>
      <c r="H79" s="648"/>
      <c r="I79" s="648"/>
      <c r="J79" s="648"/>
      <c r="K79" s="649"/>
      <c r="L79" s="650"/>
      <c r="M79" s="651"/>
      <c r="N79" s="2015"/>
      <c r="O79" s="2015"/>
      <c r="P79" s="2064"/>
      <c r="Q79" s="2009"/>
      <c r="R79" s="1997"/>
      <c r="S79" s="1997"/>
      <c r="T79" s="1997"/>
      <c r="U79" s="1997"/>
      <c r="V79" s="1997"/>
      <c r="W79" s="1997"/>
      <c r="X79" s="1997"/>
      <c r="Y79" s="1997"/>
      <c r="Z79" s="1997"/>
      <c r="AA79" s="1997"/>
      <c r="AB79" s="1997"/>
      <c r="AC79" s="1997"/>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7"/>
      <c r="O80" s="2017"/>
      <c r="P80" s="2064"/>
      <c r="Q80" s="2009"/>
      <c r="R80" s="1997"/>
      <c r="S80" s="1997"/>
      <c r="T80" s="1997"/>
      <c r="U80" s="1997"/>
      <c r="V80" s="1997"/>
      <c r="W80" s="1997"/>
      <c r="X80" s="1997"/>
      <c r="Y80" s="1997"/>
      <c r="Z80" s="1997"/>
      <c r="AA80" s="1997"/>
      <c r="AB80" s="1997"/>
      <c r="AC80" s="1997"/>
    </row>
    <row r="81" spans="1:29" ht="15.75" thickTop="1">
      <c r="A81" s="643"/>
      <c r="B81" s="1782" t="s">
        <v>2509</v>
      </c>
      <c r="C81" s="682" t="s">
        <v>556</v>
      </c>
      <c r="D81" s="682" t="s">
        <v>557</v>
      </c>
      <c r="E81" s="682" t="s">
        <v>558</v>
      </c>
      <c r="F81" s="682" t="s">
        <v>559</v>
      </c>
      <c r="G81" s="682" t="s">
        <v>560</v>
      </c>
      <c r="H81" s="648"/>
      <c r="I81" s="648"/>
      <c r="J81" s="648"/>
      <c r="K81" s="649"/>
      <c r="L81" s="650"/>
      <c r="M81" s="651"/>
      <c r="N81" s="2015"/>
      <c r="O81" s="2015"/>
      <c r="P81" s="2064"/>
      <c r="Q81" s="2009"/>
      <c r="R81" s="1997"/>
      <c r="S81" s="1997"/>
      <c r="T81" s="1997"/>
      <c r="U81" s="1997"/>
      <c r="V81" s="1997"/>
      <c r="W81" s="1997"/>
      <c r="X81" s="1997"/>
      <c r="Y81" s="1997"/>
      <c r="Z81" s="1997"/>
      <c r="AA81" s="1997"/>
      <c r="AB81" s="1997"/>
      <c r="AC81" s="1997"/>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7"/>
      <c r="O82" s="2017"/>
      <c r="P82" s="2064"/>
      <c r="Q82" s="2009"/>
      <c r="R82" s="1997"/>
      <c r="S82" s="1997"/>
      <c r="T82" s="1997"/>
      <c r="U82" s="1997"/>
      <c r="V82" s="1997"/>
      <c r="W82" s="1997"/>
      <c r="X82" s="1997"/>
      <c r="Y82" s="1997"/>
      <c r="Z82" s="1997"/>
      <c r="AA82" s="1997"/>
      <c r="AB82" s="1997"/>
      <c r="AC82" s="1997"/>
    </row>
    <row r="83" spans="1:29" ht="15.75" thickTop="1">
      <c r="A83" s="643"/>
      <c r="B83" s="2408" t="s">
        <v>2510</v>
      </c>
      <c r="C83" s="2409" t="s">
        <v>2511</v>
      </c>
      <c r="D83" s="2409" t="s">
        <v>2512</v>
      </c>
      <c r="E83" s="2409" t="s">
        <v>2513</v>
      </c>
      <c r="F83" s="2409" t="s">
        <v>2514</v>
      </c>
      <c r="G83" s="2409" t="s">
        <v>2515</v>
      </c>
      <c r="H83" s="648"/>
      <c r="I83" s="648"/>
      <c r="J83" s="648"/>
      <c r="K83" s="648"/>
      <c r="L83" s="648"/>
      <c r="M83" s="2412"/>
      <c r="N83" s="2017"/>
      <c r="O83" s="2017"/>
      <c r="P83" s="2064"/>
      <c r="Q83" s="2009"/>
      <c r="R83" s="1997"/>
      <c r="S83" s="1997"/>
      <c r="T83" s="1997"/>
      <c r="U83" s="1997"/>
      <c r="V83" s="1997"/>
      <c r="W83" s="1997"/>
      <c r="X83" s="1997"/>
      <c r="Y83" s="1997"/>
      <c r="Z83" s="1997"/>
      <c r="AA83" s="1997"/>
      <c r="AB83" s="1997"/>
      <c r="AC83" s="1997"/>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7"/>
      <c r="O84" s="2017"/>
      <c r="P84" s="2064"/>
      <c r="Q84" s="2009"/>
      <c r="R84" s="1997"/>
      <c r="S84" s="1997"/>
      <c r="T84" s="1997"/>
      <c r="U84" s="1997"/>
      <c r="V84" s="1997"/>
      <c r="W84" s="1997"/>
      <c r="X84" s="1997"/>
      <c r="Y84" s="1997"/>
      <c r="Z84" s="1997"/>
      <c r="AA84" s="1997"/>
      <c r="AB84" s="1997"/>
      <c r="AC84" s="1997"/>
    </row>
    <row r="85" spans="1:29" ht="15.75" thickTop="1">
      <c r="A85" s="643"/>
      <c r="B85" s="647" t="s">
        <v>761</v>
      </c>
      <c r="C85" s="682" t="s">
        <v>556</v>
      </c>
      <c r="D85" s="682" t="s">
        <v>557</v>
      </c>
      <c r="E85" s="682" t="s">
        <v>558</v>
      </c>
      <c r="F85" s="682" t="s">
        <v>559</v>
      </c>
      <c r="G85" s="682" t="s">
        <v>560</v>
      </c>
      <c r="H85" s="648"/>
      <c r="I85" s="648"/>
      <c r="J85" s="648"/>
      <c r="K85" s="649"/>
      <c r="L85" s="650"/>
      <c r="M85" s="651"/>
      <c r="N85" s="2015"/>
      <c r="O85" s="2015"/>
      <c r="P85" s="2064"/>
      <c r="Q85" s="2009"/>
      <c r="R85" s="1997"/>
      <c r="S85" s="1997"/>
      <c r="T85" s="1997"/>
      <c r="U85" s="1997"/>
      <c r="V85" s="1997"/>
      <c r="W85" s="1997"/>
      <c r="X85" s="1997"/>
      <c r="Y85" s="1997"/>
      <c r="Z85" s="1997"/>
      <c r="AA85" s="1997"/>
      <c r="AB85" s="1997"/>
      <c r="AC85" s="1997"/>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7"/>
      <c r="O86" s="2017"/>
      <c r="P86" s="2064"/>
      <c r="Q86" s="2009"/>
      <c r="R86" s="1997"/>
      <c r="S86" s="1997"/>
      <c r="T86" s="1997"/>
      <c r="U86" s="1997"/>
      <c r="V86" s="1997"/>
      <c r="W86" s="1997"/>
      <c r="X86" s="1997"/>
      <c r="Y86" s="1997"/>
      <c r="Z86" s="1997"/>
      <c r="AA86" s="1997"/>
      <c r="AB86" s="1997"/>
      <c r="AC86" s="1997"/>
    </row>
    <row r="87" spans="1:29" s="1185" customFormat="1" ht="27.75" thickTop="1">
      <c r="A87" s="683"/>
      <c r="B87" s="647" t="s">
        <v>762</v>
      </c>
      <c r="C87" s="662"/>
      <c r="D87" s="662"/>
      <c r="E87" s="662"/>
      <c r="F87" s="662"/>
      <c r="G87" s="662"/>
      <c r="H87" s="662"/>
      <c r="I87" s="662"/>
      <c r="J87" s="662"/>
      <c r="K87" s="662"/>
      <c r="L87" s="861"/>
      <c r="M87" s="862"/>
      <c r="N87" s="2013"/>
      <c r="O87" s="2013"/>
      <c r="P87" s="2064"/>
      <c r="Q87" s="2009"/>
      <c r="R87" s="1876"/>
      <c r="S87" s="1876"/>
      <c r="T87" s="1876"/>
      <c r="U87" s="1876"/>
      <c r="V87" s="1876"/>
      <c r="W87" s="1876"/>
      <c r="X87" s="1876"/>
      <c r="Y87" s="1876"/>
      <c r="Z87" s="1876"/>
      <c r="AA87" s="1876"/>
      <c r="AB87" s="1876"/>
      <c r="AC87" s="1876"/>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7"/>
      <c r="O88" s="2017"/>
      <c r="P88" s="2064"/>
      <c r="Q88" s="2009"/>
      <c r="R88" s="1876"/>
      <c r="S88" s="1876"/>
      <c r="T88" s="1876"/>
      <c r="U88" s="1876"/>
      <c r="V88" s="1876"/>
      <c r="W88" s="1876"/>
      <c r="X88" s="1876"/>
      <c r="Y88" s="1876"/>
      <c r="Z88" s="1876"/>
      <c r="AA88" s="1876"/>
      <c r="AB88" s="1876"/>
      <c r="AC88" s="1876"/>
    </row>
    <row r="89" spans="1:29" s="1185" customFormat="1" ht="15.75" thickTop="1">
      <c r="A89" s="683"/>
      <c r="B89" s="647" t="str">
        <f>B27</f>
        <v>楼层</v>
      </c>
      <c r="C89" s="662"/>
      <c r="D89" s="662"/>
      <c r="E89" s="662"/>
      <c r="F89" s="863"/>
      <c r="G89" s="662"/>
      <c r="H89" s="662"/>
      <c r="I89" s="662"/>
      <c r="J89" s="662"/>
      <c r="K89" s="662"/>
      <c r="L89" s="662"/>
      <c r="M89" s="862"/>
      <c r="N89" s="2013"/>
      <c r="O89" s="2013"/>
      <c r="P89" s="2064"/>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7"/>
      <c r="O90" s="2017"/>
      <c r="P90" s="2064"/>
      <c r="Q90" s="2009"/>
      <c r="R90" s="1876"/>
      <c r="S90" s="1876"/>
      <c r="T90" s="1876"/>
      <c r="U90" s="1876"/>
      <c r="V90" s="1876"/>
      <c r="W90" s="1876"/>
      <c r="X90" s="1876"/>
      <c r="Y90" s="1876"/>
      <c r="Z90" s="1876"/>
      <c r="AA90" s="1876"/>
      <c r="AB90" s="1876"/>
      <c r="AC90" s="1876"/>
    </row>
    <row r="91" spans="1:29" s="1267" customFormat="1" ht="15.75" thickTop="1">
      <c r="A91" s="661"/>
      <c r="B91" s="647" t="str">
        <f>B28</f>
        <v>朝向</v>
      </c>
      <c r="C91" s="662"/>
      <c r="D91" s="662"/>
      <c r="E91" s="662"/>
      <c r="F91" s="662"/>
      <c r="G91" s="662"/>
      <c r="H91" s="663"/>
      <c r="I91" s="663"/>
      <c r="J91" s="663"/>
      <c r="K91" s="663"/>
      <c r="L91" s="664"/>
      <c r="M91" s="665"/>
      <c r="N91" s="2018"/>
      <c r="O91" s="2018"/>
      <c r="P91" s="2065"/>
      <c r="Q91" s="2020"/>
      <c r="R91" s="2021"/>
      <c r="S91" s="2021"/>
      <c r="T91" s="2021"/>
      <c r="U91" s="2021"/>
      <c r="V91" s="2021"/>
      <c r="W91" s="2021"/>
      <c r="X91" s="2021"/>
      <c r="Y91" s="2021"/>
      <c r="Z91" s="2021"/>
      <c r="AA91" s="2021"/>
      <c r="AB91" s="2021"/>
      <c r="AC91" s="2021"/>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3"/>
      <c r="B93" s="647">
        <f>B29</f>
        <v>111</v>
      </c>
      <c r="C93" s="662"/>
      <c r="D93" s="662"/>
      <c r="E93" s="662"/>
      <c r="F93" s="662"/>
      <c r="G93" s="662"/>
      <c r="H93" s="662"/>
      <c r="I93" s="662"/>
      <c r="J93" s="662"/>
      <c r="K93" s="662"/>
      <c r="L93" s="861"/>
      <c r="M93" s="862"/>
      <c r="N93" s="2015"/>
      <c r="O93" s="2015"/>
      <c r="P93" s="2064"/>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45"/>
      <c r="H94" s="645"/>
      <c r="I94" s="645"/>
      <c r="J94" s="645"/>
      <c r="K94" s="645"/>
      <c r="L94" s="645"/>
      <c r="M94" s="646"/>
      <c r="N94" s="2017"/>
      <c r="O94" s="2017"/>
      <c r="P94" s="2064"/>
      <c r="Q94" s="2009"/>
      <c r="R94" s="1997"/>
      <c r="S94" s="1997"/>
      <c r="T94" s="1997"/>
      <c r="U94" s="1997"/>
      <c r="V94" s="1997"/>
      <c r="W94" s="1997"/>
      <c r="X94" s="1997"/>
      <c r="Y94" s="1997"/>
      <c r="Z94" s="1997"/>
      <c r="AA94" s="1997"/>
      <c r="AB94" s="1997"/>
      <c r="AC94" s="1997"/>
    </row>
    <row r="95" spans="1:29" ht="15.75" thickTop="1">
      <c r="A95" s="643"/>
      <c r="B95" s="647">
        <f>B30</f>
        <v>111</v>
      </c>
      <c r="C95" s="662"/>
      <c r="D95" s="662"/>
      <c r="E95" s="662"/>
      <c r="F95" s="662"/>
      <c r="G95" s="692"/>
      <c r="H95" s="692"/>
      <c r="I95" s="692"/>
      <c r="J95" s="692"/>
      <c r="K95" s="693"/>
      <c r="L95" s="694"/>
      <c r="M95" s="695"/>
      <c r="N95" s="2015"/>
      <c r="O95" s="2015"/>
      <c r="P95" s="2064"/>
      <c r="Q95" s="2009"/>
      <c r="R95" s="1997"/>
      <c r="S95" s="1997"/>
      <c r="T95" s="1997"/>
      <c r="U95" s="1997"/>
      <c r="V95" s="1997"/>
      <c r="W95" s="1997"/>
      <c r="X95" s="1997"/>
      <c r="Y95" s="1997"/>
      <c r="Z95" s="1997"/>
      <c r="AA95" s="1997"/>
      <c r="AB95" s="1997"/>
      <c r="AC95" s="1997"/>
    </row>
    <row r="96" spans="1:29" ht="15.75" thickBot="1">
      <c r="A96" s="643"/>
      <c r="B96" s="652"/>
      <c r="C96" s="666"/>
      <c r="D96" s="666"/>
      <c r="E96" s="666"/>
      <c r="F96" s="666"/>
      <c r="G96" s="645"/>
      <c r="H96" s="645"/>
      <c r="I96" s="645"/>
      <c r="J96" s="645"/>
      <c r="K96" s="645"/>
      <c r="L96" s="645"/>
      <c r="M96" s="646"/>
      <c r="N96" s="2017"/>
      <c r="O96" s="2017"/>
      <c r="P96" s="2064"/>
      <c r="Q96" s="2009"/>
      <c r="R96" s="1997"/>
      <c r="S96" s="1997"/>
      <c r="T96" s="1997"/>
      <c r="U96" s="1997"/>
      <c r="V96" s="1997"/>
      <c r="W96" s="1997"/>
      <c r="X96" s="1997"/>
      <c r="Y96" s="1997"/>
      <c r="Z96" s="1997"/>
      <c r="AA96" s="1997"/>
      <c r="AB96" s="1997"/>
      <c r="AC96" s="1997"/>
    </row>
    <row r="97" spans="1:29" ht="15.75" thickTop="1">
      <c r="A97" s="643"/>
      <c r="B97" s="647">
        <f>B31</f>
        <v>111</v>
      </c>
      <c r="C97" s="662"/>
      <c r="D97" s="662"/>
      <c r="E97" s="662"/>
      <c r="F97" s="662"/>
      <c r="G97" s="692"/>
      <c r="H97" s="692"/>
      <c r="I97" s="692"/>
      <c r="J97" s="692"/>
      <c r="K97" s="693"/>
      <c r="L97" s="694"/>
      <c r="M97" s="695"/>
      <c r="N97" s="2015"/>
      <c r="O97" s="2015"/>
      <c r="P97" s="2064"/>
      <c r="Q97" s="2009"/>
      <c r="R97" s="1997"/>
      <c r="S97" s="1997"/>
      <c r="T97" s="1997"/>
      <c r="U97" s="1997"/>
      <c r="V97" s="1997"/>
      <c r="W97" s="1997"/>
      <c r="X97" s="1997"/>
      <c r="Y97" s="1997"/>
      <c r="Z97" s="1997"/>
      <c r="AA97" s="1997"/>
      <c r="AB97" s="1997"/>
      <c r="AC97" s="1997"/>
    </row>
    <row r="98" spans="1:29" ht="15.75" thickBot="1">
      <c r="A98" s="643"/>
      <c r="B98" s="652"/>
      <c r="C98" s="666"/>
      <c r="D98" s="645"/>
      <c r="E98" s="645"/>
      <c r="F98" s="645"/>
      <c r="G98" s="645"/>
      <c r="H98" s="645"/>
      <c r="I98" s="645"/>
      <c r="J98" s="645"/>
      <c r="K98" s="645"/>
      <c r="L98" s="645"/>
      <c r="M98" s="646"/>
      <c r="N98" s="2017"/>
      <c r="O98" s="2017"/>
      <c r="P98" s="2064"/>
      <c r="Q98" s="2009"/>
      <c r="R98" s="1997"/>
      <c r="S98" s="1997"/>
      <c r="T98" s="1997"/>
      <c r="U98" s="1997"/>
      <c r="V98" s="1997"/>
      <c r="W98" s="1997"/>
      <c r="X98" s="1997"/>
      <c r="Y98" s="1997"/>
      <c r="Z98" s="1997"/>
      <c r="AA98" s="1997"/>
      <c r="AB98" s="1997"/>
      <c r="AC98" s="1997"/>
    </row>
    <row r="99" spans="1:29" ht="15.75" thickTop="1">
      <c r="A99" s="643"/>
      <c r="B99" s="655">
        <f>B32</f>
        <v>111</v>
      </c>
      <c r="C99" s="635"/>
      <c r="D99" s="635"/>
      <c r="E99" s="635"/>
      <c r="F99" s="635"/>
      <c r="G99" s="696"/>
      <c r="H99" s="696"/>
      <c r="I99" s="696"/>
      <c r="J99" s="696"/>
      <c r="K99" s="697"/>
      <c r="L99" s="698"/>
      <c r="M99" s="699"/>
      <c r="N99" s="2015"/>
      <c r="O99" s="2015"/>
      <c r="P99" s="2064"/>
      <c r="Q99" s="2009"/>
      <c r="R99" s="1997"/>
      <c r="S99" s="1997"/>
      <c r="T99" s="1997"/>
      <c r="U99" s="1997"/>
      <c r="V99" s="1997"/>
      <c r="W99" s="1997"/>
      <c r="X99" s="1997"/>
      <c r="Y99" s="1997"/>
      <c r="Z99" s="1997"/>
      <c r="AA99" s="1997"/>
      <c r="AB99" s="1997"/>
      <c r="AC99" s="1997"/>
    </row>
    <row r="100" spans="1:29" ht="15.75" thickBot="1">
      <c r="A100" s="864"/>
      <c r="B100" s="673"/>
      <c r="C100" s="674"/>
      <c r="D100" s="674"/>
      <c r="E100" s="674"/>
      <c r="F100" s="674"/>
      <c r="G100" s="700"/>
      <c r="H100" s="700"/>
      <c r="I100" s="700"/>
      <c r="J100" s="700"/>
      <c r="K100" s="700"/>
      <c r="L100" s="700"/>
      <c r="M100" s="701"/>
      <c r="N100" s="2017"/>
      <c r="O100" s="2017"/>
      <c r="P100" s="2064"/>
      <c r="Q100" s="2009"/>
      <c r="R100" s="1997"/>
      <c r="S100" s="1997"/>
      <c r="T100" s="1997"/>
      <c r="U100" s="1997"/>
      <c r="V100" s="1997"/>
      <c r="W100" s="1997"/>
      <c r="X100" s="1997"/>
      <c r="Y100" s="1997"/>
      <c r="Z100" s="1997"/>
      <c r="AA100" s="1997"/>
      <c r="AB100" s="1997"/>
      <c r="AC100" s="1997"/>
    </row>
    <row r="101" spans="1:29">
      <c r="A101" s="638" t="s">
        <v>528</v>
      </c>
      <c r="B101" s="639" t="s">
        <v>724</v>
      </c>
      <c r="C101" s="574"/>
      <c r="D101" s="574"/>
      <c r="E101" s="574"/>
      <c r="F101" s="574"/>
      <c r="G101" s="574"/>
      <c r="H101" s="574"/>
      <c r="I101" s="574"/>
      <c r="J101" s="574"/>
      <c r="K101" s="640"/>
      <c r="L101" s="641"/>
      <c r="M101" s="642"/>
      <c r="N101" s="2015"/>
      <c r="O101" s="2015"/>
      <c r="P101" s="2064"/>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7" customFormat="1">
      <c r="A104" s="702"/>
      <c r="B104" s="703"/>
      <c r="C104" s="704"/>
      <c r="D104" s="704"/>
      <c r="E104" s="704"/>
      <c r="F104" s="704"/>
      <c r="G104" s="704"/>
      <c r="H104" s="704"/>
      <c r="I104" s="704"/>
      <c r="J104" s="705"/>
      <c r="K104" s="705"/>
      <c r="L104" s="706"/>
      <c r="M104" s="707"/>
      <c r="N104" s="2018"/>
      <c r="O104" s="2018"/>
      <c r="P104" s="2065"/>
      <c r="Q104" s="2020"/>
      <c r="R104" s="2021"/>
      <c r="S104" s="2021"/>
      <c r="T104" s="2021"/>
      <c r="U104" s="2021"/>
      <c r="V104" s="2021"/>
      <c r="W104" s="2021"/>
      <c r="X104" s="2021"/>
      <c r="Y104" s="2021"/>
      <c r="Z104" s="2021"/>
      <c r="AA104" s="2021"/>
      <c r="AB104" s="2021"/>
      <c r="AC104" s="2021"/>
    </row>
    <row r="105" spans="1:29" s="1267" customFormat="1" ht="15.75" thickBot="1">
      <c r="A105" s="661"/>
      <c r="B105" s="652"/>
      <c r="C105" s="666"/>
      <c r="D105" s="645"/>
      <c r="E105" s="645"/>
      <c r="F105" s="645"/>
      <c r="G105" s="645"/>
      <c r="H105" s="645"/>
      <c r="I105" s="645"/>
      <c r="J105" s="645"/>
      <c r="K105" s="645"/>
      <c r="L105" s="645"/>
      <c r="M105" s="646"/>
      <c r="N105" s="2017"/>
      <c r="O105" s="2017"/>
      <c r="P105" s="2065"/>
      <c r="Q105" s="2020"/>
      <c r="R105" s="2021"/>
      <c r="S105" s="2021"/>
      <c r="T105" s="2021"/>
      <c r="U105" s="2021"/>
      <c r="V105" s="2021"/>
      <c r="W105" s="2021"/>
      <c r="X105" s="2021"/>
      <c r="Y105" s="2021"/>
      <c r="Z105" s="2021"/>
      <c r="AA105" s="2021"/>
      <c r="AB105" s="2021"/>
      <c r="AC105" s="2021"/>
    </row>
    <row r="106" spans="1:29" ht="15" thickTop="1">
      <c r="A106" s="709"/>
      <c r="B106" s="647" t="s">
        <v>726</v>
      </c>
      <c r="C106" s="662"/>
      <c r="D106" s="662"/>
      <c r="E106" s="692"/>
      <c r="F106" s="692"/>
      <c r="G106" s="692"/>
      <c r="H106" s="692"/>
      <c r="I106" s="692"/>
      <c r="J106" s="692"/>
      <c r="K106" s="693"/>
      <c r="L106" s="694"/>
      <c r="M106" s="695"/>
      <c r="N106" s="2015"/>
      <c r="O106" s="2015"/>
      <c r="P106" s="2064"/>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9"/>
      <c r="B108" s="647" t="s">
        <v>728</v>
      </c>
      <c r="C108" s="662"/>
      <c r="D108" s="662"/>
      <c r="E108" s="662"/>
      <c r="F108" s="692"/>
      <c r="G108" s="692"/>
      <c r="H108" s="692"/>
      <c r="I108" s="692"/>
      <c r="J108" s="692"/>
      <c r="K108" s="693"/>
      <c r="L108" s="694"/>
      <c r="M108" s="695"/>
      <c r="N108" s="2015"/>
      <c r="O108" s="2015"/>
      <c r="P108" s="2064"/>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5"/>
      <c r="O110" s="2015"/>
      <c r="P110" s="2064"/>
      <c r="Q110" s="2009"/>
      <c r="R110" s="1997"/>
      <c r="S110" s="1997"/>
      <c r="T110" s="1997"/>
      <c r="U110" s="1997"/>
      <c r="V110" s="1997"/>
      <c r="W110" s="1997"/>
      <c r="X110" s="1997"/>
      <c r="Y110" s="1997"/>
      <c r="Z110" s="1997"/>
      <c r="AA110" s="1997"/>
      <c r="AB110" s="1997"/>
      <c r="AC110" s="1997"/>
    </row>
    <row r="111" spans="1:29">
      <c r="A111" s="709"/>
      <c r="B111" s="655"/>
      <c r="C111" s="865">
        <v>0.5</v>
      </c>
      <c r="D111" s="865">
        <v>0.6</v>
      </c>
      <c r="E111" s="865">
        <v>0.7</v>
      </c>
      <c r="F111" s="865">
        <v>0.8</v>
      </c>
      <c r="G111" s="865">
        <v>0.9</v>
      </c>
      <c r="H111" s="865">
        <v>1.0001</v>
      </c>
      <c r="I111" s="876"/>
      <c r="J111" s="876"/>
      <c r="K111" s="877"/>
      <c r="L111" s="878"/>
      <c r="M111" s="879"/>
      <c r="N111" s="2015"/>
      <c r="O111" s="2015"/>
      <c r="P111" s="2064"/>
      <c r="Q111" s="2009"/>
      <c r="R111" s="1997"/>
      <c r="S111" s="1997"/>
      <c r="T111" s="1997"/>
      <c r="U111" s="1997"/>
      <c r="V111" s="1997"/>
      <c r="W111" s="1997"/>
      <c r="X111" s="1997"/>
      <c r="Y111" s="1997"/>
      <c r="Z111" s="1997"/>
      <c r="AA111" s="1997"/>
      <c r="AB111" s="1997"/>
      <c r="AC111" s="1997"/>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7"/>
      <c r="O112" s="2017"/>
      <c r="P112" s="2064"/>
      <c r="Q112" s="2009"/>
      <c r="R112" s="1997"/>
      <c r="S112" s="1997"/>
      <c r="T112" s="1997"/>
      <c r="U112" s="1997"/>
      <c r="V112" s="1997"/>
      <c r="W112" s="1997"/>
      <c r="X112" s="1997"/>
      <c r="Y112" s="1997"/>
      <c r="Z112" s="1997"/>
      <c r="AA112" s="1997"/>
      <c r="AB112" s="1997"/>
      <c r="AC112" s="1997"/>
    </row>
    <row r="113" spans="1:29" s="1267" customFormat="1" ht="15" thickTop="1">
      <c r="A113" s="702"/>
      <c r="B113" s="647" t="s">
        <v>763</v>
      </c>
      <c r="C113" s="662"/>
      <c r="D113" s="662"/>
      <c r="E113" s="662"/>
      <c r="F113" s="662"/>
      <c r="G113" s="662"/>
      <c r="H113" s="692"/>
      <c r="I113" s="692"/>
      <c r="J113" s="692"/>
      <c r="K113" s="693"/>
      <c r="L113" s="694"/>
      <c r="M113" s="695"/>
      <c r="N113" s="2018"/>
      <c r="O113" s="2018"/>
      <c r="P113" s="2065"/>
      <c r="Q113" s="2020"/>
      <c r="R113" s="2021"/>
      <c r="S113" s="2021"/>
      <c r="T113" s="2021"/>
      <c r="U113" s="2021"/>
      <c r="V113" s="2021"/>
      <c r="W113" s="2021"/>
      <c r="X113" s="2021"/>
      <c r="Y113" s="2021"/>
      <c r="Z113" s="2021"/>
      <c r="AA113" s="2021"/>
      <c r="AB113" s="2021"/>
      <c r="AC113" s="2021"/>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9"/>
      <c r="B115" s="647" t="s">
        <v>730</v>
      </c>
      <c r="C115" s="662"/>
      <c r="D115" s="662"/>
      <c r="E115" s="692"/>
      <c r="F115" s="692"/>
      <c r="G115" s="692"/>
      <c r="H115" s="692"/>
      <c r="I115" s="692"/>
      <c r="J115" s="692"/>
      <c r="K115" s="693"/>
      <c r="L115" s="694"/>
      <c r="M115" s="695"/>
      <c r="N115" s="2015"/>
      <c r="O115" s="2015"/>
      <c r="P115" s="2064"/>
      <c r="Q115" s="2009"/>
      <c r="R115" s="1997"/>
      <c r="S115" s="1997"/>
      <c r="T115" s="1997"/>
      <c r="U115" s="1997"/>
      <c r="V115" s="1997"/>
      <c r="W115" s="1997"/>
      <c r="X115" s="1997"/>
      <c r="Y115" s="1997"/>
      <c r="Z115" s="1997"/>
      <c r="AA115" s="1997"/>
      <c r="AB115" s="1997"/>
      <c r="AC115" s="1997"/>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9"/>
      <c r="B117" s="1782" t="s">
        <v>2508</v>
      </c>
      <c r="C117" s="662"/>
      <c r="D117" s="662"/>
      <c r="E117" s="662"/>
      <c r="F117" s="662"/>
      <c r="G117" s="662"/>
      <c r="H117" s="692"/>
      <c r="I117" s="692"/>
      <c r="J117" s="692"/>
      <c r="K117" s="693"/>
      <c r="L117" s="694"/>
      <c r="M117" s="695"/>
      <c r="N117" s="2015"/>
      <c r="O117" s="2015"/>
      <c r="P117" s="2064"/>
      <c r="Q117" s="2009"/>
      <c r="R117" s="1997"/>
      <c r="S117" s="1997"/>
      <c r="T117" s="1997"/>
      <c r="U117" s="1997"/>
      <c r="V117" s="1997"/>
      <c r="W117" s="1997"/>
      <c r="X117" s="1997"/>
      <c r="Y117" s="1997"/>
      <c r="Z117" s="1997"/>
      <c r="AA117" s="1997"/>
      <c r="AB117" s="1997"/>
      <c r="AC117" s="1997"/>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7"/>
      <c r="O118" s="2017"/>
      <c r="P118" s="2064"/>
      <c r="Q118" s="2009"/>
      <c r="R118" s="1997"/>
      <c r="S118" s="1997"/>
      <c r="T118" s="1997"/>
      <c r="U118" s="1997"/>
      <c r="V118" s="1997"/>
      <c r="W118" s="1997"/>
      <c r="X118" s="1997"/>
      <c r="Y118" s="1997"/>
      <c r="Z118" s="1997"/>
      <c r="AA118" s="1997"/>
      <c r="AB118" s="1997"/>
      <c r="AC118" s="1997"/>
    </row>
    <row r="119" spans="1:29" ht="15" thickTop="1">
      <c r="A119" s="709"/>
      <c r="B119" s="888" t="s">
        <v>764</v>
      </c>
      <c r="C119" s="692"/>
      <c r="D119" s="692"/>
      <c r="E119" s="692"/>
      <c r="F119" s="692"/>
      <c r="G119" s="692"/>
      <c r="H119" s="692"/>
      <c r="I119" s="692"/>
      <c r="J119" s="692"/>
      <c r="K119" s="692"/>
      <c r="L119" s="889"/>
      <c r="M119" s="890"/>
      <c r="N119" s="2017"/>
      <c r="O119" s="2017"/>
      <c r="P119" s="2069"/>
      <c r="Q119" s="2057"/>
      <c r="R119" s="1997"/>
      <c r="S119" s="1997"/>
      <c r="T119" s="1997"/>
      <c r="U119" s="1997"/>
      <c r="V119" s="1997"/>
      <c r="W119" s="1997"/>
      <c r="X119" s="1997"/>
      <c r="Y119" s="1997"/>
      <c r="Z119" s="1997"/>
      <c r="AA119" s="1997"/>
      <c r="AB119" s="1997"/>
      <c r="AC119" s="1997"/>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7"/>
      <c r="O120" s="2017"/>
      <c r="P120" s="2064"/>
      <c r="Q120" s="2009"/>
      <c r="R120" s="1997"/>
      <c r="S120" s="1997"/>
      <c r="T120" s="1997"/>
      <c r="U120" s="1997"/>
      <c r="V120" s="1997"/>
      <c r="W120" s="1997"/>
      <c r="X120" s="1997"/>
      <c r="Y120" s="1997"/>
      <c r="Z120" s="1997"/>
      <c r="AA120" s="1997"/>
      <c r="AB120" s="1997"/>
      <c r="AC120" s="1997"/>
    </row>
    <row r="121" spans="1:29" s="1267" customFormat="1" ht="15" thickTop="1">
      <c r="A121" s="702"/>
      <c r="B121" s="647" t="s">
        <v>752</v>
      </c>
      <c r="C121" s="662"/>
      <c r="D121" s="662"/>
      <c r="E121" s="662"/>
      <c r="F121" s="692"/>
      <c r="G121" s="663"/>
      <c r="H121" s="663"/>
      <c r="I121" s="663"/>
      <c r="J121" s="663"/>
      <c r="K121" s="663"/>
      <c r="L121" s="664"/>
      <c r="M121" s="665"/>
      <c r="N121" s="2018"/>
      <c r="O121" s="2018"/>
      <c r="P121" s="2065"/>
      <c r="Q121" s="2020"/>
      <c r="R121" s="2021"/>
      <c r="S121" s="2021"/>
      <c r="T121" s="2021"/>
      <c r="U121" s="2021"/>
      <c r="V121" s="2021"/>
      <c r="W121" s="2021"/>
      <c r="X121" s="2021"/>
      <c r="Y121" s="2021"/>
      <c r="Z121" s="2021"/>
      <c r="AA121" s="2021"/>
      <c r="AB121" s="2021"/>
      <c r="AC121" s="2021"/>
    </row>
    <row r="122" spans="1:29" s="1267" customFormat="1" ht="15.75" thickBot="1">
      <c r="A122" s="661"/>
      <c r="B122" s="644"/>
      <c r="C122" s="666"/>
      <c r="D122" s="666"/>
      <c r="E122" s="666"/>
      <c r="F122" s="666"/>
      <c r="G122" s="666"/>
      <c r="H122" s="666"/>
      <c r="I122" s="666"/>
      <c r="J122" s="666"/>
      <c r="K122" s="666"/>
      <c r="L122" s="666"/>
      <c r="M122" s="666"/>
      <c r="N122" s="2018"/>
      <c r="O122" s="2018"/>
      <c r="P122" s="2065"/>
      <c r="Q122" s="2020"/>
      <c r="R122" s="2021"/>
      <c r="S122" s="2021"/>
      <c r="T122" s="2021"/>
      <c r="U122" s="2021"/>
      <c r="V122" s="2021"/>
      <c r="W122" s="2021"/>
      <c r="X122" s="2021"/>
      <c r="Y122" s="2021"/>
      <c r="Z122" s="2021"/>
      <c r="AA122" s="2021"/>
      <c r="AB122" s="2021"/>
      <c r="AC122" s="2021"/>
    </row>
    <row r="123" spans="1:29" ht="15" thickTop="1">
      <c r="A123" s="709"/>
      <c r="B123" s="647" t="s">
        <v>732</v>
      </c>
      <c r="C123" s="662"/>
      <c r="D123" s="662"/>
      <c r="E123" s="662"/>
      <c r="F123" s="692"/>
      <c r="G123" s="692"/>
      <c r="H123" s="692"/>
      <c r="I123" s="692"/>
      <c r="J123" s="692"/>
      <c r="K123" s="693"/>
      <c r="L123" s="694"/>
      <c r="M123" s="695"/>
      <c r="N123" s="2015"/>
      <c r="O123" s="2015"/>
      <c r="P123" s="2064"/>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2015"/>
      <c r="O125" s="2015"/>
      <c r="P125" s="2065"/>
      <c r="Q125" s="2009"/>
      <c r="R125" s="1997"/>
      <c r="S125" s="1997"/>
      <c r="T125" s="1997"/>
      <c r="U125" s="1997"/>
      <c r="V125" s="1997"/>
      <c r="W125" s="1997"/>
      <c r="X125" s="1997"/>
      <c r="Y125" s="1997"/>
      <c r="Z125" s="1997"/>
      <c r="AA125" s="1997"/>
      <c r="AB125" s="1997"/>
      <c r="AC125" s="1997"/>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7"/>
      <c r="O126" s="2017"/>
      <c r="P126" s="2064"/>
      <c r="Q126" s="2009"/>
      <c r="R126" s="1997"/>
      <c r="S126" s="1997"/>
      <c r="T126" s="1997"/>
      <c r="U126" s="1997"/>
      <c r="V126" s="1997"/>
      <c r="W126" s="1997"/>
      <c r="X126" s="1997"/>
      <c r="Y126" s="1997"/>
      <c r="Z126" s="1997"/>
      <c r="AA126" s="1997"/>
      <c r="AB126" s="1997"/>
      <c r="AC126" s="1997"/>
    </row>
    <row r="127" spans="1:29" s="1267" customFormat="1" ht="15" thickTop="1">
      <c r="A127" s="702"/>
      <c r="B127" s="647">
        <f>B45</f>
        <v>111</v>
      </c>
      <c r="C127" s="662"/>
      <c r="D127" s="662"/>
      <c r="E127" s="662"/>
      <c r="F127" s="662"/>
      <c r="G127" s="662"/>
      <c r="H127" s="663"/>
      <c r="I127" s="663"/>
      <c r="J127" s="663"/>
      <c r="K127" s="663"/>
      <c r="L127" s="664"/>
      <c r="M127" s="665"/>
      <c r="N127" s="2018"/>
      <c r="O127" s="2018"/>
      <c r="P127" s="2065"/>
      <c r="Q127" s="2020"/>
      <c r="R127" s="2021"/>
      <c r="S127" s="2021"/>
      <c r="T127" s="2021"/>
      <c r="U127" s="2021"/>
      <c r="V127" s="2021"/>
      <c r="W127" s="2021"/>
      <c r="X127" s="2021"/>
      <c r="Y127" s="2021"/>
      <c r="Z127" s="2021"/>
      <c r="AA127" s="2021"/>
      <c r="AB127" s="2021"/>
      <c r="AC127" s="2021"/>
    </row>
    <row r="128" spans="1:29" s="1267" customFormat="1" ht="15.75" thickBot="1">
      <c r="A128" s="661"/>
      <c r="B128" s="652"/>
      <c r="C128" s="666"/>
      <c r="D128" s="645"/>
      <c r="E128" s="645"/>
      <c r="F128" s="645"/>
      <c r="G128" s="666"/>
      <c r="H128" s="667"/>
      <c r="I128" s="667"/>
      <c r="J128" s="667"/>
      <c r="K128" s="667"/>
      <c r="L128" s="667"/>
      <c r="M128" s="668"/>
      <c r="N128" s="2018"/>
      <c r="O128" s="2018"/>
      <c r="P128" s="2065"/>
      <c r="Q128" s="2020"/>
      <c r="R128" s="2021"/>
      <c r="S128" s="2021"/>
      <c r="T128" s="2021"/>
      <c r="U128" s="2021"/>
      <c r="V128" s="2021"/>
      <c r="W128" s="2021"/>
      <c r="X128" s="2021"/>
      <c r="Y128" s="2021"/>
      <c r="Z128" s="2021"/>
      <c r="AA128" s="2021"/>
      <c r="AB128" s="2021"/>
      <c r="AC128" s="2021"/>
    </row>
    <row r="129" spans="1:29" ht="15" thickTop="1">
      <c r="A129" s="709"/>
      <c r="B129" s="647">
        <f>B46</f>
        <v>111</v>
      </c>
      <c r="C129" s="662"/>
      <c r="D129" s="662"/>
      <c r="E129" s="662"/>
      <c r="F129" s="662"/>
      <c r="G129" s="692"/>
      <c r="H129" s="692"/>
      <c r="I129" s="692"/>
      <c r="J129" s="692"/>
      <c r="K129" s="693"/>
      <c r="L129" s="694"/>
      <c r="M129" s="695"/>
      <c r="N129" s="2015"/>
      <c r="O129" s="2015"/>
      <c r="P129" s="2064"/>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64"/>
      <c r="Q130" s="2009"/>
      <c r="R130" s="1997"/>
      <c r="S130" s="1997"/>
      <c r="T130" s="1997"/>
      <c r="U130" s="1997"/>
      <c r="V130" s="1997"/>
      <c r="W130" s="1997"/>
      <c r="X130" s="1997"/>
      <c r="Y130" s="1997"/>
      <c r="Z130" s="1997"/>
      <c r="AA130" s="1997"/>
      <c r="AB130" s="1997"/>
      <c r="AC130" s="1997"/>
    </row>
    <row r="131" spans="1:29" ht="15" thickTop="1">
      <c r="A131" s="709"/>
      <c r="B131" s="655">
        <f>B47</f>
        <v>111</v>
      </c>
      <c r="C131" s="635"/>
      <c r="D131" s="635"/>
      <c r="E131" s="635"/>
      <c r="F131" s="635"/>
      <c r="G131" s="696"/>
      <c r="H131" s="696"/>
      <c r="I131" s="696"/>
      <c r="J131" s="696"/>
      <c r="K131" s="635"/>
      <c r="L131" s="636"/>
      <c r="M131" s="699"/>
      <c r="N131" s="2015"/>
      <c r="O131" s="2015"/>
      <c r="P131" s="2064"/>
      <c r="Q131" s="2009"/>
      <c r="R131" s="1997"/>
      <c r="S131" s="1997"/>
      <c r="T131" s="1997"/>
      <c r="U131" s="1997"/>
      <c r="V131" s="1997"/>
      <c r="W131" s="1997"/>
      <c r="X131" s="1997"/>
      <c r="Y131" s="1997"/>
      <c r="Z131" s="1997"/>
      <c r="AA131" s="1997"/>
      <c r="AB131" s="1997"/>
      <c r="AC131" s="1997"/>
    </row>
    <row r="132" spans="1:29" ht="15.75" thickBot="1">
      <c r="A132" s="864"/>
      <c r="B132" s="673"/>
      <c r="C132" s="674"/>
      <c r="D132" s="674"/>
      <c r="E132" s="674"/>
      <c r="F132" s="674"/>
      <c r="G132" s="700"/>
      <c r="H132" s="700"/>
      <c r="I132" s="700"/>
      <c r="J132" s="700"/>
      <c r="K132" s="700"/>
      <c r="L132" s="700"/>
      <c r="M132" s="701"/>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765</v>
      </c>
      <c r="C1" s="480" t="s">
        <v>697</v>
      </c>
      <c r="D1" s="820"/>
      <c r="E1" s="482"/>
      <c r="F1" s="2491"/>
      <c r="G1" s="1505" t="s">
        <v>698</v>
      </c>
      <c r="H1" s="482"/>
      <c r="I1" s="482"/>
      <c r="J1" s="482"/>
      <c r="K1" s="483"/>
      <c r="L1" s="3172"/>
      <c r="M1" s="3173"/>
      <c r="N1" s="3173"/>
      <c r="O1" s="3173"/>
      <c r="P1" s="1984"/>
      <c r="Q1" s="1984"/>
      <c r="R1" s="1984"/>
      <c r="S1" s="1984"/>
      <c r="T1" s="1984"/>
      <c r="U1" s="1984"/>
      <c r="V1" s="1984"/>
      <c r="W1" s="1984"/>
      <c r="X1" s="1984"/>
      <c r="Y1" s="1984"/>
      <c r="Z1" s="1984"/>
      <c r="AA1" s="1984"/>
      <c r="AB1" s="1984"/>
      <c r="AC1" s="1915"/>
    </row>
    <row r="2" spans="1:29" s="1264" customFormat="1" ht="28.5" customHeight="1">
      <c r="A2" s="417" t="s">
        <v>460</v>
      </c>
      <c r="B2" s="821"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4" customFormat="1" ht="28.5" customHeight="1" thickBot="1">
      <c r="A3" s="485" t="s">
        <v>496</v>
      </c>
      <c r="B3" s="486" t="e">
        <f>C43</f>
        <v>#DIV/0!</v>
      </c>
      <c r="C3" s="823" t="s">
        <v>699</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498</v>
      </c>
      <c r="B4" s="489"/>
      <c r="C4" s="3777" t="s">
        <v>499</v>
      </c>
      <c r="D4" s="3778"/>
      <c r="E4" s="3882" t="s">
        <v>500</v>
      </c>
      <c r="F4" s="3883"/>
      <c r="G4" s="3777" t="s">
        <v>501</v>
      </c>
      <c r="H4" s="3778"/>
      <c r="I4" s="3777" t="s">
        <v>502</v>
      </c>
      <c r="J4" s="3778"/>
      <c r="K4" s="490" t="s">
        <v>503</v>
      </c>
      <c r="L4" s="1985"/>
      <c r="M4" s="1986"/>
      <c r="N4" s="1986"/>
      <c r="O4" s="1986"/>
      <c r="P4" s="3779" t="s">
        <v>504</v>
      </c>
      <c r="Q4" s="3780"/>
      <c r="R4" s="3765" t="s">
        <v>500</v>
      </c>
      <c r="S4" s="3766"/>
      <c r="T4" s="3765" t="s">
        <v>501</v>
      </c>
      <c r="U4" s="3766"/>
      <c r="V4" s="3785" t="s">
        <v>502</v>
      </c>
      <c r="W4" s="3785"/>
      <c r="X4" s="1475"/>
      <c r="Y4" s="3765" t="s">
        <v>504</v>
      </c>
      <c r="Z4" s="3766"/>
      <c r="AA4" s="3760" t="s">
        <v>500</v>
      </c>
      <c r="AB4" s="3761" t="s">
        <v>501</v>
      </c>
      <c r="AC4" s="3760" t="s">
        <v>502</v>
      </c>
    </row>
    <row r="5" spans="1:29" ht="15">
      <c r="A5" s="491"/>
      <c r="B5" s="492"/>
      <c r="C5" s="3788" t="s">
        <v>2865</v>
      </c>
      <c r="D5" s="3789"/>
      <c r="E5" s="3884" t="s">
        <v>2866</v>
      </c>
      <c r="F5" s="3885"/>
      <c r="G5" s="3788" t="s">
        <v>2867</v>
      </c>
      <c r="H5" s="3789"/>
      <c r="I5" s="3788" t="s">
        <v>2868</v>
      </c>
      <c r="J5" s="3789"/>
      <c r="K5" s="490"/>
      <c r="L5" s="1985"/>
      <c r="M5" s="1986"/>
      <c r="N5" s="1986"/>
      <c r="O5" s="1986"/>
      <c r="P5" s="3781"/>
      <c r="Q5" s="3782"/>
      <c r="R5" s="3767"/>
      <c r="S5" s="3768"/>
      <c r="T5" s="3767"/>
      <c r="U5" s="3768"/>
      <c r="V5" s="3785"/>
      <c r="W5" s="3785"/>
      <c r="X5" s="1475"/>
      <c r="Y5" s="3767"/>
      <c r="Z5" s="3768"/>
      <c r="AA5" s="3761"/>
      <c r="AB5" s="3761"/>
      <c r="AC5" s="3761"/>
    </row>
    <row r="6" spans="1:29" ht="15.75" thickBot="1">
      <c r="A6" s="493"/>
      <c r="B6" s="494"/>
      <c r="C6" s="3786" t="s">
        <v>2869</v>
      </c>
      <c r="D6" s="3787"/>
      <c r="E6" s="3886" t="s">
        <v>2869</v>
      </c>
      <c r="F6" s="3887"/>
      <c r="G6" s="3786" t="s">
        <v>2869</v>
      </c>
      <c r="H6" s="3787"/>
      <c r="I6" s="3786" t="s">
        <v>2869</v>
      </c>
      <c r="J6" s="3787"/>
      <c r="K6" s="490" t="s">
        <v>505</v>
      </c>
      <c r="L6" s="1985"/>
      <c r="M6" s="1986"/>
      <c r="N6" s="1986"/>
      <c r="O6" s="1986"/>
      <c r="P6" s="3783"/>
      <c r="Q6" s="3784"/>
      <c r="R6" s="3767"/>
      <c r="S6" s="3768"/>
      <c r="T6" s="3769"/>
      <c r="U6" s="3770"/>
      <c r="V6" s="3785"/>
      <c r="W6" s="3785"/>
      <c r="X6" s="1475"/>
      <c r="Y6" s="3769"/>
      <c r="Z6" s="3770"/>
      <c r="AA6" s="3762"/>
      <c r="AB6" s="3762"/>
      <c r="AC6" s="3762"/>
    </row>
    <row r="7" spans="1:29" s="1185" customFormat="1" ht="15.75" thickBot="1">
      <c r="A7" s="2596"/>
      <c r="B7" s="2603" t="s">
        <v>506</v>
      </c>
      <c r="C7" s="495">
        <f>'数据-取费表'!B2</f>
        <v>44623</v>
      </c>
      <c r="D7" s="496">
        <v>100</v>
      </c>
      <c r="E7" s="497"/>
      <c r="F7" s="498">
        <f>SUMIF(52:52,YEAR(E7)&amp;"-"&amp;MONTH(E7),53:53)</f>
        <v>0</v>
      </c>
      <c r="G7" s="497"/>
      <c r="H7" s="496">
        <f>SUMIF(52:52,YEAR(G7)&amp;"-"&amp;MONTH(G7),53:53)</f>
        <v>0</v>
      </c>
      <c r="I7" s="497"/>
      <c r="J7" s="496">
        <f>SUMIF(52:52,YEAR(I7)&amp;"-"&amp;MONTH(I7),53:53)</f>
        <v>0</v>
      </c>
      <c r="K7" s="500"/>
      <c r="L7" s="1987"/>
      <c r="M7" s="1988"/>
      <c r="N7" s="1988"/>
      <c r="O7" s="1988"/>
      <c r="P7" s="3763" t="s">
        <v>507</v>
      </c>
      <c r="Q7" s="3772"/>
      <c r="R7" s="1476" t="s">
        <v>8</v>
      </c>
      <c r="S7" s="1477">
        <f t="shared" ref="S7:S15" si="0">F7</f>
        <v>0</v>
      </c>
      <c r="T7" s="1476" t="s">
        <v>8</v>
      </c>
      <c r="U7" s="1477">
        <f t="shared" ref="U7:U15" si="1">H7</f>
        <v>0</v>
      </c>
      <c r="V7" s="1476" t="s">
        <v>8</v>
      </c>
      <c r="W7" s="1477">
        <f t="shared" ref="W7:W15"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501"/>
      <c r="F8" s="498">
        <f>SUMIF(55:55,E8,56:56)-SUMIF(55:55,C8,56:56)+100</f>
        <v>0</v>
      </c>
      <c r="G8" s="501"/>
      <c r="H8" s="496">
        <f>SUMIF(55:55,G8,56:56)-SUMIF(55:55,C8,56:56)+100</f>
        <v>0</v>
      </c>
      <c r="I8" s="501"/>
      <c r="J8" s="496">
        <f>SUMIF(55:55,I8,56:56)-SUMIF(55:55,C8,56:56)+100</f>
        <v>0</v>
      </c>
      <c r="K8" s="500"/>
      <c r="L8" s="1987"/>
      <c r="M8" s="1988"/>
      <c r="N8" s="1988"/>
      <c r="O8" s="1988"/>
      <c r="P8" s="3763" t="s">
        <v>510</v>
      </c>
      <c r="Q8" s="3764"/>
      <c r="R8" s="1476" t="s">
        <v>8</v>
      </c>
      <c r="S8" s="1477">
        <f t="shared" si="0"/>
        <v>0</v>
      </c>
      <c r="T8" s="1476" t="s">
        <v>8</v>
      </c>
      <c r="U8" s="1477">
        <f t="shared" si="1"/>
        <v>0</v>
      </c>
      <c r="V8" s="1476" t="s">
        <v>8</v>
      </c>
      <c r="W8" s="1477">
        <f t="shared" si="2"/>
        <v>0</v>
      </c>
      <c r="X8" s="1478"/>
      <c r="Y8" s="3763" t="s">
        <v>510</v>
      </c>
      <c r="Z8" s="3764"/>
      <c r="AA8" s="1479" t="e">
        <f t="shared" ref="AA8:AA40" si="3">D8/F8</f>
        <v>#DIV/0!</v>
      </c>
      <c r="AB8" s="1479" t="e">
        <f t="shared" ref="AB8:AB40" si="4">D8/H8</f>
        <v>#DIV/0!</v>
      </c>
      <c r="AC8" s="1479" t="e">
        <f t="shared" ref="AC8:AC40" si="5">D8/J8</f>
        <v>#DIV/0!</v>
      </c>
    </row>
    <row r="9" spans="1:29" s="1185" customFormat="1" ht="15">
      <c r="A9" s="2598"/>
      <c r="B9" s="2605" t="s">
        <v>2707</v>
      </c>
      <c r="C9" s="828"/>
      <c r="D9" s="252">
        <v>100</v>
      </c>
      <c r="E9" s="831"/>
      <c r="F9" s="252">
        <f>SUMIF(57:57,E9,58:58)-SUMIF(57:57,C9,58:58)+100</f>
        <v>100</v>
      </c>
      <c r="G9" s="829"/>
      <c r="H9" s="252">
        <f>SUMIF(57:57,G9,58:58)-SUMIF(57:57,C9,58:58)+100</f>
        <v>100</v>
      </c>
      <c r="I9" s="829"/>
      <c r="J9" s="252">
        <f>SUMIF(57:57,I9,58:58)-SUMIF(57:57,C9,58:58)+100</f>
        <v>100</v>
      </c>
      <c r="K9" s="500"/>
      <c r="L9" s="1987"/>
      <c r="M9" s="1988"/>
      <c r="N9" s="1988"/>
      <c r="O9" s="1989"/>
      <c r="P9" s="3771" t="s">
        <v>512</v>
      </c>
      <c r="Q9" s="1116" t="str">
        <f t="shared" ref="Q9:Q15" si="6">B9</f>
        <v>用途</v>
      </c>
      <c r="R9" s="1476" t="s">
        <v>8</v>
      </c>
      <c r="S9" s="1477">
        <f t="shared" si="0"/>
        <v>100</v>
      </c>
      <c r="T9" s="1476" t="s">
        <v>8</v>
      </c>
      <c r="U9" s="1477">
        <f t="shared" si="1"/>
        <v>100</v>
      </c>
      <c r="V9" s="1476" t="s">
        <v>8</v>
      </c>
      <c r="W9" s="1477">
        <f t="shared" si="2"/>
        <v>100</v>
      </c>
      <c r="X9" s="1478"/>
      <c r="Y9" s="3712" t="s">
        <v>513</v>
      </c>
      <c r="Z9" s="1115" t="str">
        <f t="shared" ref="Z9:Z15" si="7">Q9</f>
        <v>用途</v>
      </c>
      <c r="AA9" s="1479">
        <f t="shared" si="3"/>
        <v>1</v>
      </c>
      <c r="AB9" s="1479">
        <f t="shared" si="4"/>
        <v>1</v>
      </c>
      <c r="AC9" s="1479">
        <f t="shared" si="5"/>
        <v>1</v>
      </c>
    </row>
    <row r="10" spans="1:29" s="1266" customFormat="1" ht="27">
      <c r="A10" s="2599"/>
      <c r="B10" s="2604" t="s">
        <v>2708</v>
      </c>
      <c r="C10" s="832"/>
      <c r="D10" s="253">
        <v>100</v>
      </c>
      <c r="E10" s="832"/>
      <c r="F10" s="253">
        <f>SUMIF(59:59,E10,60:60)-SUMIF(59:59,C10,60:60)+100</f>
        <v>100</v>
      </c>
      <c r="G10" s="833"/>
      <c r="H10" s="253">
        <f>SUMIF(59:59,G10,60:60)-SUMIF(59:59,C10,60:60)+100</f>
        <v>100</v>
      </c>
      <c r="I10" s="832"/>
      <c r="J10" s="253">
        <f>SUMIF(59:59,I10,60:60)-SUMIF(59:59,C10,60:60)+100</f>
        <v>100</v>
      </c>
      <c r="K10" s="560"/>
      <c r="L10" s="1990"/>
      <c r="M10" s="2029"/>
      <c r="N10" s="2029"/>
      <c r="O10" s="1991"/>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0"/>
      <c r="B11" s="2604" t="s">
        <v>2709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2"/>
      <c r="M11" s="1986"/>
      <c r="N11" s="1986"/>
      <c r="O11" s="1993"/>
      <c r="P11" s="3771"/>
      <c r="Q11" s="1116" t="str">
        <f t="shared" si="6"/>
        <v>容积率</v>
      </c>
      <c r="R11" s="1476" t="s">
        <v>8</v>
      </c>
      <c r="S11" s="1477" t="e">
        <f t="shared" si="0"/>
        <v>#N/A</v>
      </c>
      <c r="T11" s="1476" t="s">
        <v>8</v>
      </c>
      <c r="U11" s="1477" t="e">
        <f t="shared" si="1"/>
        <v>#N/A</v>
      </c>
      <c r="V11" s="1476" t="s">
        <v>8</v>
      </c>
      <c r="W11" s="1477" t="e">
        <f t="shared" si="2"/>
        <v>#N/A</v>
      </c>
      <c r="X11" s="1478"/>
      <c r="Y11" s="3712"/>
      <c r="Z11" s="1115" t="str">
        <f t="shared" si="7"/>
        <v>容积率</v>
      </c>
      <c r="AA11" s="1479" t="e">
        <f t="shared" si="3"/>
        <v>#N/A</v>
      </c>
      <c r="AB11" s="1479" t="e">
        <f t="shared" si="4"/>
        <v>#N/A</v>
      </c>
      <c r="AC11" s="1479" t="e">
        <f t="shared" si="5"/>
        <v>#N/A</v>
      </c>
    </row>
    <row r="12" spans="1:29" s="1185" customFormat="1" ht="15">
      <c r="A12" s="2601"/>
      <c r="B12" s="2607">
        <v>111</v>
      </c>
      <c r="C12" s="504"/>
      <c r="D12" s="514">
        <v>100</v>
      </c>
      <c r="E12" s="515"/>
      <c r="F12" s="253">
        <f>SUMIF(64:64,E12,65:65)-SUMIF(64:64,C12,65:65)+100</f>
        <v>100</v>
      </c>
      <c r="G12" s="891"/>
      <c r="H12" s="253">
        <f>SUMIF(64:64,G12,65:65)-SUMIF(64:64,C12,65:65)+100</f>
        <v>100</v>
      </c>
      <c r="I12" s="851"/>
      <c r="J12" s="253">
        <f>SUMIF(64:64,I12,65:65)-SUMIF(64:64,C12,65:65)+100</f>
        <v>100</v>
      </c>
      <c r="K12" s="557"/>
      <c r="L12" s="1987"/>
      <c r="M12" s="1988"/>
      <c r="N12" s="1988"/>
      <c r="O12" s="1989"/>
      <c r="P12" s="3771"/>
      <c r="Q12" s="1116">
        <f t="shared" si="6"/>
        <v>111</v>
      </c>
      <c r="R12" s="1476" t="s">
        <v>8</v>
      </c>
      <c r="S12" s="1477">
        <f t="shared" si="0"/>
        <v>100</v>
      </c>
      <c r="T12" s="1476" t="s">
        <v>8</v>
      </c>
      <c r="U12" s="1477">
        <f t="shared" si="1"/>
        <v>100</v>
      </c>
      <c r="V12" s="1476" t="s">
        <v>8</v>
      </c>
      <c r="W12" s="1477">
        <f t="shared" si="2"/>
        <v>100</v>
      </c>
      <c r="X12" s="1478"/>
      <c r="Y12" s="3712"/>
      <c r="Z12" s="1115">
        <f t="shared" si="7"/>
        <v>111</v>
      </c>
      <c r="AA12" s="1479">
        <f>D12/F12</f>
        <v>1</v>
      </c>
      <c r="AB12" s="1479">
        <f>D12/H12</f>
        <v>1</v>
      </c>
      <c r="AC12" s="1479">
        <f>D12/J12</f>
        <v>1</v>
      </c>
    </row>
    <row r="13" spans="1:29" ht="15">
      <c r="A13" s="2601"/>
      <c r="B13" s="2607">
        <v>111</v>
      </c>
      <c r="C13" s="515"/>
      <c r="D13" s="516">
        <v>100</v>
      </c>
      <c r="E13" s="515"/>
      <c r="F13" s="253">
        <f>SUMIF(66:66,E13,67:67)-SUMIF(66:66,C13,67:67)+100</f>
        <v>100</v>
      </c>
      <c r="G13" s="891"/>
      <c r="H13" s="516">
        <f>SUMIF(66:66,G13,67:67)-SUMIF(66:66,C13,67:67)+100</f>
        <v>100</v>
      </c>
      <c r="I13" s="851"/>
      <c r="J13" s="516">
        <f>SUMIF(66:66,I13,67:67)-SUMIF(66:66,C13,67:67)+100</f>
        <v>100</v>
      </c>
      <c r="K13" s="557"/>
      <c r="L13" s="1994"/>
      <c r="M13" s="1986"/>
      <c r="N13" s="1986"/>
      <c r="O13" s="1993"/>
      <c r="P13" s="3771"/>
      <c r="Q13" s="1116">
        <f t="shared" si="6"/>
        <v>111</v>
      </c>
      <c r="R13" s="1476" t="s">
        <v>8</v>
      </c>
      <c r="S13" s="1477">
        <f t="shared" si="0"/>
        <v>100</v>
      </c>
      <c r="T13" s="1476" t="s">
        <v>8</v>
      </c>
      <c r="U13" s="1477">
        <f t="shared" si="1"/>
        <v>100</v>
      </c>
      <c r="V13" s="1476" t="s">
        <v>8</v>
      </c>
      <c r="W13" s="1477">
        <f t="shared" si="2"/>
        <v>100</v>
      </c>
      <c r="X13" s="1478"/>
      <c r="Y13" s="3712"/>
      <c r="Z13" s="1115">
        <f t="shared" si="7"/>
        <v>111</v>
      </c>
      <c r="AA13" s="1479">
        <f t="shared" si="3"/>
        <v>1</v>
      </c>
      <c r="AB13" s="1479">
        <f t="shared" si="4"/>
        <v>1</v>
      </c>
      <c r="AC13" s="1479">
        <f t="shared" si="5"/>
        <v>1</v>
      </c>
    </row>
    <row r="14" spans="1:29" ht="15.75" thickBot="1">
      <c r="A14" s="2602"/>
      <c r="B14" s="2608">
        <v>111</v>
      </c>
      <c r="C14" s="521"/>
      <c r="D14" s="522">
        <v>100</v>
      </c>
      <c r="E14" s="521"/>
      <c r="F14" s="522">
        <f>SUMIF(68:68,E14,69:69)-SUMIF(68:68,C14,69:69)+100</f>
        <v>100</v>
      </c>
      <c r="G14" s="891"/>
      <c r="H14" s="522">
        <f>SUMIF(68:68,G14,69:69)-SUMIF(68:68,C14,69:69)+100</f>
        <v>100</v>
      </c>
      <c r="I14" s="851"/>
      <c r="J14" s="522">
        <f>SUMIF(68:68,I14,69:69)-SUMIF(68:68,C14,69:69)+100</f>
        <v>100</v>
      </c>
      <c r="K14" s="557"/>
      <c r="L14" s="1994"/>
      <c r="M14" s="1986"/>
      <c r="N14" s="1986"/>
      <c r="O14" s="1993"/>
      <c r="P14" s="3771"/>
      <c r="Q14" s="1116">
        <f t="shared" si="6"/>
        <v>111</v>
      </c>
      <c r="R14" s="1476" t="s">
        <v>8</v>
      </c>
      <c r="S14" s="1477">
        <f t="shared" si="0"/>
        <v>100</v>
      </c>
      <c r="T14" s="1476" t="s">
        <v>8</v>
      </c>
      <c r="U14" s="1477">
        <f t="shared" si="1"/>
        <v>100</v>
      </c>
      <c r="V14" s="1476" t="s">
        <v>8</v>
      </c>
      <c r="W14" s="1477">
        <f t="shared" si="2"/>
        <v>100</v>
      </c>
      <c r="X14" s="1478"/>
      <c r="Y14" s="3712"/>
      <c r="Z14" s="1115">
        <f t="shared" si="7"/>
        <v>111</v>
      </c>
      <c r="AA14" s="1479">
        <f t="shared" si="3"/>
        <v>1</v>
      </c>
      <c r="AB14" s="1479">
        <f t="shared" si="4"/>
        <v>1</v>
      </c>
      <c r="AC14" s="1479">
        <f t="shared" si="5"/>
        <v>1</v>
      </c>
    </row>
    <row r="15" spans="1:29" ht="57">
      <c r="A15" s="2594" t="s">
        <v>2705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4"/>
      <c r="M15" s="1986"/>
      <c r="N15" s="1986"/>
      <c r="O15" s="1993"/>
      <c r="P15" s="3773" t="s">
        <v>517</v>
      </c>
      <c r="Q15" s="1480" t="str">
        <f t="shared" si="6"/>
        <v>产业集聚程度</v>
      </c>
      <c r="R15" s="1481" t="s">
        <v>8</v>
      </c>
      <c r="S15" s="1482">
        <f t="shared" si="0"/>
        <v>100</v>
      </c>
      <c r="T15" s="1481" t="s">
        <v>8</v>
      </c>
      <c r="U15" s="1482">
        <f t="shared" si="1"/>
        <v>100</v>
      </c>
      <c r="V15" s="1481" t="s">
        <v>8</v>
      </c>
      <c r="W15" s="1482">
        <f t="shared" si="2"/>
        <v>100</v>
      </c>
      <c r="X15" s="1475"/>
      <c r="Y15" s="3773" t="s">
        <v>517</v>
      </c>
      <c r="Z15" s="1483" t="str">
        <f t="shared" si="7"/>
        <v>产业集聚程度</v>
      </c>
      <c r="AA15" s="1484">
        <f t="shared" si="3"/>
        <v>1</v>
      </c>
      <c r="AB15" s="1484">
        <f t="shared" si="4"/>
        <v>1</v>
      </c>
      <c r="AC15" s="1484">
        <f t="shared" si="5"/>
        <v>1</v>
      </c>
    </row>
    <row r="16" spans="1:29" ht="15">
      <c r="A16" s="508"/>
      <c r="B16" s="840"/>
      <c r="C16" s="552"/>
      <c r="D16" s="531"/>
      <c r="E16" s="552"/>
      <c r="F16" s="533"/>
      <c r="G16" s="552"/>
      <c r="H16" s="535"/>
      <c r="I16" s="552"/>
      <c r="J16" s="531"/>
      <c r="K16" s="870"/>
      <c r="L16" s="1994"/>
      <c r="M16" s="1986"/>
      <c r="N16" s="1986"/>
      <c r="O16" s="1993"/>
      <c r="P16" s="3774"/>
      <c r="Q16" s="1480"/>
      <c r="R16" s="1481"/>
      <c r="S16" s="1482"/>
      <c r="T16" s="1481"/>
      <c r="U16" s="1482"/>
      <c r="V16" s="1481"/>
      <c r="W16" s="1482"/>
      <c r="X16" s="1475"/>
      <c r="Y16" s="3774"/>
      <c r="Z16" s="1483"/>
      <c r="AA16" s="1484">
        <v>1</v>
      </c>
      <c r="AB16" s="1484">
        <v>1</v>
      </c>
      <c r="AC16" s="1484">
        <v>1</v>
      </c>
    </row>
    <row r="17" spans="1:29" ht="85.5">
      <c r="A17" s="508"/>
      <c r="B17" s="842" t="s">
        <v>295</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4"/>
      <c r="M17" s="1986"/>
      <c r="N17" s="1986"/>
      <c r="O17" s="1993"/>
      <c r="P17" s="3774"/>
      <c r="Q17" s="1480" t="str">
        <f>B17</f>
        <v>交通便捷度</v>
      </c>
      <c r="R17" s="1481" t="s">
        <v>8</v>
      </c>
      <c r="S17" s="1482">
        <f>F17</f>
        <v>100</v>
      </c>
      <c r="T17" s="1481" t="s">
        <v>8</v>
      </c>
      <c r="U17" s="1482">
        <f>H17</f>
        <v>100</v>
      </c>
      <c r="V17" s="1481" t="s">
        <v>8</v>
      </c>
      <c r="W17" s="1482">
        <f>J17</f>
        <v>100</v>
      </c>
      <c r="X17" s="1475"/>
      <c r="Y17" s="3774"/>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4"/>
      <c r="M18" s="1986"/>
      <c r="N18" s="1986"/>
      <c r="O18" s="1993"/>
      <c r="P18" s="3774"/>
      <c r="Q18" s="1480"/>
      <c r="R18" s="1481"/>
      <c r="S18" s="1482"/>
      <c r="T18" s="1481"/>
      <c r="U18" s="1482"/>
      <c r="V18" s="1481"/>
      <c r="W18" s="1482"/>
      <c r="X18" s="1475"/>
      <c r="Y18" s="3774"/>
      <c r="Z18" s="1483"/>
      <c r="AA18" s="1484">
        <v>1</v>
      </c>
      <c r="AB18" s="1484">
        <v>1</v>
      </c>
      <c r="AC18" s="1484">
        <v>1</v>
      </c>
    </row>
    <row r="19" spans="1:29" ht="42.75">
      <c r="A19" s="508"/>
      <c r="B19" s="2414" t="s">
        <v>2498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4"/>
      <c r="M19" s="1986"/>
      <c r="N19" s="1986"/>
      <c r="O19" s="1993"/>
      <c r="P19" s="3774"/>
      <c r="Q19" s="1480" t="str">
        <f>B19</f>
        <v>公共配套设施</v>
      </c>
      <c r="R19" s="1481" t="s">
        <v>8</v>
      </c>
      <c r="S19" s="1482">
        <f>F19</f>
        <v>100</v>
      </c>
      <c r="T19" s="1481" t="s">
        <v>8</v>
      </c>
      <c r="U19" s="1482">
        <f>H19</f>
        <v>100</v>
      </c>
      <c r="V19" s="1481" t="s">
        <v>8</v>
      </c>
      <c r="W19" s="1482">
        <f>J19</f>
        <v>100</v>
      </c>
      <c r="X19" s="1475"/>
      <c r="Y19" s="3774"/>
      <c r="Z19" s="1483" t="str">
        <f>Q19</f>
        <v>公共配套设施</v>
      </c>
      <c r="AA19" s="1484">
        <f t="shared" si="3"/>
        <v>1</v>
      </c>
      <c r="AB19" s="1484">
        <f t="shared" si="4"/>
        <v>1</v>
      </c>
      <c r="AC19" s="1484">
        <f t="shared" si="5"/>
        <v>1</v>
      </c>
    </row>
    <row r="20" spans="1:29" ht="15">
      <c r="A20" s="508"/>
      <c r="B20" s="542"/>
      <c r="C20" s="552"/>
      <c r="D20" s="531"/>
      <c r="E20" s="532"/>
      <c r="F20" s="533"/>
      <c r="G20" s="534"/>
      <c r="H20" s="531"/>
      <c r="I20" s="532"/>
      <c r="J20" s="531"/>
      <c r="K20" s="870"/>
      <c r="L20" s="1994"/>
      <c r="M20" s="1986"/>
      <c r="N20" s="1986"/>
      <c r="O20" s="1993"/>
      <c r="P20" s="3774"/>
      <c r="Q20" s="1480"/>
      <c r="R20" s="1481"/>
      <c r="S20" s="1482"/>
      <c r="T20" s="1481"/>
      <c r="U20" s="1482"/>
      <c r="V20" s="1481"/>
      <c r="W20" s="1482"/>
      <c r="X20" s="1475"/>
      <c r="Y20" s="3774"/>
      <c r="Z20" s="1483"/>
      <c r="AA20" s="1484">
        <v>1</v>
      </c>
      <c r="AB20" s="1484">
        <v>1</v>
      </c>
      <c r="AC20" s="1484">
        <v>1</v>
      </c>
    </row>
    <row r="21" spans="1:29" ht="28.5">
      <c r="A21" s="508"/>
      <c r="B21" s="2402" t="s">
        <v>2510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4"/>
      <c r="M21" s="1986"/>
      <c r="N21" s="1986"/>
      <c r="O21" s="1993"/>
      <c r="P21" s="3774"/>
      <c r="Q21" s="2396" t="str">
        <f>B21</f>
        <v>基础设施水平</v>
      </c>
      <c r="R21" s="1481" t="s">
        <v>8</v>
      </c>
      <c r="S21" s="1482">
        <f>F21</f>
        <v>100</v>
      </c>
      <c r="T21" s="1481" t="s">
        <v>8</v>
      </c>
      <c r="U21" s="1482">
        <f>H21</f>
        <v>100</v>
      </c>
      <c r="V21" s="1481" t="s">
        <v>8</v>
      </c>
      <c r="W21" s="1482">
        <f>J21</f>
        <v>100</v>
      </c>
      <c r="X21" s="2398"/>
      <c r="Y21" s="3774"/>
      <c r="Z21" s="2397" t="str">
        <f>Q21</f>
        <v>基础设施水平</v>
      </c>
      <c r="AA21" s="1484">
        <f t="shared" ref="AA21" si="8">D21/F21</f>
        <v>1</v>
      </c>
      <c r="AB21" s="1484">
        <f t="shared" ref="AB21" si="9">D21/H21</f>
        <v>1</v>
      </c>
      <c r="AC21" s="1484">
        <f t="shared" ref="AC21" si="10">D21/J21</f>
        <v>1</v>
      </c>
    </row>
    <row r="22" spans="1:29" ht="15">
      <c r="A22" s="508"/>
      <c r="B22" s="554"/>
      <c r="C22" s="844"/>
      <c r="D22" s="531"/>
      <c r="E22" s="552"/>
      <c r="F22" s="533"/>
      <c r="G22" s="552"/>
      <c r="H22" s="531"/>
      <c r="I22" s="552"/>
      <c r="J22" s="531"/>
      <c r="K22" s="2413"/>
      <c r="L22" s="1994"/>
      <c r="M22" s="1986"/>
      <c r="N22" s="1986"/>
      <c r="O22" s="1993"/>
      <c r="P22" s="3774"/>
      <c r="Q22" s="2396"/>
      <c r="R22" s="1481"/>
      <c r="S22" s="1482"/>
      <c r="T22" s="1481"/>
      <c r="U22" s="1482"/>
      <c r="V22" s="1481"/>
      <c r="W22" s="1482"/>
      <c r="X22" s="2398"/>
      <c r="Y22" s="3774"/>
      <c r="Z22" s="2397"/>
      <c r="AA22" s="1484">
        <v>1</v>
      </c>
      <c r="AB22" s="1484">
        <v>1</v>
      </c>
      <c r="AC22" s="1484">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4"/>
      <c r="M23" s="1986"/>
      <c r="N23" s="1986"/>
      <c r="O23" s="1993"/>
      <c r="P23" s="3774"/>
      <c r="Q23" s="1480" t="str">
        <f>B23</f>
        <v>环境质量</v>
      </c>
      <c r="R23" s="1481" t="s">
        <v>8</v>
      </c>
      <c r="S23" s="1482">
        <f>F23</f>
        <v>100</v>
      </c>
      <c r="T23" s="1481" t="s">
        <v>8</v>
      </c>
      <c r="U23" s="1482">
        <f>H23</f>
        <v>100</v>
      </c>
      <c r="V23" s="1481" t="s">
        <v>8</v>
      </c>
      <c r="W23" s="1482">
        <f>J23</f>
        <v>100</v>
      </c>
      <c r="X23" s="1475"/>
      <c r="Y23" s="3774"/>
      <c r="Z23" s="1483" t="str">
        <f>Q23</f>
        <v>环境质量</v>
      </c>
      <c r="AA23" s="1484">
        <f t="shared" si="3"/>
        <v>1</v>
      </c>
      <c r="AB23" s="1484">
        <f t="shared" si="4"/>
        <v>1</v>
      </c>
      <c r="AC23" s="1484">
        <f t="shared" si="5"/>
        <v>1</v>
      </c>
    </row>
    <row r="24" spans="1:29" ht="15">
      <c r="A24" s="508"/>
      <c r="B24" s="893"/>
      <c r="C24" s="552"/>
      <c r="D24" s="531"/>
      <c r="E24" s="532"/>
      <c r="F24" s="533"/>
      <c r="G24" s="534"/>
      <c r="H24" s="531"/>
      <c r="I24" s="532"/>
      <c r="J24" s="531"/>
      <c r="K24" s="870"/>
      <c r="L24" s="1994"/>
      <c r="M24" s="1986"/>
      <c r="N24" s="1986"/>
      <c r="O24" s="1993"/>
      <c r="P24" s="3774"/>
      <c r="Q24" s="1480"/>
      <c r="R24" s="1481"/>
      <c r="S24" s="1482"/>
      <c r="T24" s="1481"/>
      <c r="U24" s="1482"/>
      <c r="V24" s="1481"/>
      <c r="W24" s="1482"/>
      <c r="X24" s="1475"/>
      <c r="Y24" s="3774"/>
      <c r="Z24" s="1483"/>
      <c r="AA24" s="1484">
        <v>1</v>
      </c>
      <c r="AB24" s="1484">
        <v>1</v>
      </c>
      <c r="AC24" s="148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4"/>
      <c r="M25" s="1986"/>
      <c r="N25" s="1986"/>
      <c r="O25" s="1993"/>
      <c r="P25" s="3774"/>
      <c r="Q25" s="1480">
        <f>B25</f>
        <v>111</v>
      </c>
      <c r="R25" s="1481" t="s">
        <v>8</v>
      </c>
      <c r="S25" s="1482">
        <f>F25</f>
        <v>100</v>
      </c>
      <c r="T25" s="1481" t="s">
        <v>8</v>
      </c>
      <c r="U25" s="1482">
        <f>H25</f>
        <v>100</v>
      </c>
      <c r="V25" s="1481" t="s">
        <v>8</v>
      </c>
      <c r="W25" s="1482">
        <f>J25</f>
        <v>100</v>
      </c>
      <c r="X25" s="1475"/>
      <c r="Y25" s="3774"/>
      <c r="Z25" s="1483">
        <f>Q25</f>
        <v>111</v>
      </c>
      <c r="AA25" s="1484">
        <f t="shared" si="3"/>
        <v>1</v>
      </c>
      <c r="AB25" s="1484">
        <f t="shared" si="4"/>
        <v>1</v>
      </c>
      <c r="AC25" s="148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4"/>
      <c r="M26" s="1986"/>
      <c r="N26" s="1986"/>
      <c r="O26" s="1993"/>
      <c r="P26" s="3774"/>
      <c r="Q26" s="1480">
        <f t="shared" ref="Q26:Q40" si="11">B26</f>
        <v>111</v>
      </c>
      <c r="R26" s="1481" t="s">
        <v>8</v>
      </c>
      <c r="S26" s="1482">
        <f>F26</f>
        <v>100</v>
      </c>
      <c r="T26" s="1481" t="s">
        <v>8</v>
      </c>
      <c r="U26" s="1482">
        <f>H26</f>
        <v>100</v>
      </c>
      <c r="V26" s="1481" t="s">
        <v>8</v>
      </c>
      <c r="W26" s="1482">
        <f>J26</f>
        <v>100</v>
      </c>
      <c r="X26" s="1475"/>
      <c r="Y26" s="3774"/>
      <c r="Z26" s="1483">
        <f>Q26</f>
        <v>111</v>
      </c>
      <c r="AA26" s="1484">
        <f t="shared" si="3"/>
        <v>1</v>
      </c>
      <c r="AB26" s="1484">
        <f t="shared" si="4"/>
        <v>1</v>
      </c>
      <c r="AC26" s="1484">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7"/>
      <c r="M27" s="1988"/>
      <c r="N27" s="1988"/>
      <c r="O27" s="1989"/>
      <c r="P27" s="3774"/>
      <c r="Q27" s="1116">
        <f t="shared" si="11"/>
        <v>111</v>
      </c>
      <c r="R27" s="1476" t="s">
        <v>8</v>
      </c>
      <c r="S27" s="1477">
        <f>F27</f>
        <v>100</v>
      </c>
      <c r="T27" s="1476" t="s">
        <v>8</v>
      </c>
      <c r="U27" s="1477">
        <f>H27</f>
        <v>100</v>
      </c>
      <c r="V27" s="1476" t="s">
        <v>8</v>
      </c>
      <c r="W27" s="1477">
        <f>J27</f>
        <v>100</v>
      </c>
      <c r="X27" s="1478"/>
      <c r="Y27" s="3774"/>
      <c r="Z27" s="1115">
        <f>Q27</f>
        <v>111</v>
      </c>
      <c r="AA27" s="1484">
        <f>D27/F27</f>
        <v>1</v>
      </c>
      <c r="AB27" s="1484">
        <f>D27/H27</f>
        <v>1</v>
      </c>
      <c r="AC27" s="1484">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4"/>
      <c r="M28" s="1986"/>
      <c r="N28" s="1986"/>
      <c r="O28" s="1993"/>
      <c r="P28" s="3774"/>
      <c r="Q28" s="1480">
        <f t="shared" si="11"/>
        <v>111</v>
      </c>
      <c r="R28" s="1481" t="s">
        <v>8</v>
      </c>
      <c r="S28" s="1482">
        <f t="shared" ref="S28:S40" si="12">F28</f>
        <v>100</v>
      </c>
      <c r="T28" s="1481" t="s">
        <v>8</v>
      </c>
      <c r="U28" s="1482">
        <f t="shared" ref="U28:U40" si="13">H28</f>
        <v>100</v>
      </c>
      <c r="V28" s="1481" t="s">
        <v>8</v>
      </c>
      <c r="W28" s="1482">
        <f t="shared" ref="W28:W40" si="14">J28</f>
        <v>100</v>
      </c>
      <c r="X28" s="1475"/>
      <c r="Y28" s="3774"/>
      <c r="Z28" s="1483">
        <f t="shared" ref="Z28:Z40" si="15">Q28</f>
        <v>111</v>
      </c>
      <c r="AA28" s="1484">
        <f t="shared" si="3"/>
        <v>1</v>
      </c>
      <c r="AB28" s="1484">
        <f t="shared" si="4"/>
        <v>1</v>
      </c>
      <c r="AC28" s="1484">
        <f t="shared" si="5"/>
        <v>1</v>
      </c>
    </row>
    <row r="29" spans="1:29" ht="15">
      <c r="A29" s="2591" t="s">
        <v>2706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94"/>
      <c r="M29" s="1986"/>
      <c r="N29" s="1986"/>
      <c r="O29" s="1993"/>
      <c r="P29" s="3775" t="s">
        <v>527</v>
      </c>
      <c r="Q29" s="1480" t="str">
        <f t="shared" si="11"/>
        <v>建筑类型</v>
      </c>
      <c r="R29" s="1481" t="s">
        <v>8</v>
      </c>
      <c r="S29" s="1482">
        <f t="shared" si="12"/>
        <v>100</v>
      </c>
      <c r="T29" s="1481" t="s">
        <v>8</v>
      </c>
      <c r="U29" s="1482">
        <f t="shared" si="13"/>
        <v>100</v>
      </c>
      <c r="V29" s="1481" t="s">
        <v>8</v>
      </c>
      <c r="W29" s="1482">
        <f t="shared" si="14"/>
        <v>100</v>
      </c>
      <c r="X29" s="1475"/>
      <c r="Y29" s="3776" t="s">
        <v>527</v>
      </c>
      <c r="Z29" s="1483" t="str">
        <f t="shared" si="15"/>
        <v>建筑类型</v>
      </c>
      <c r="AA29" s="1484">
        <f t="shared" si="3"/>
        <v>1</v>
      </c>
      <c r="AB29" s="1484">
        <f t="shared" si="4"/>
        <v>1</v>
      </c>
      <c r="AC29" s="1484">
        <f t="shared" si="5"/>
        <v>1</v>
      </c>
    </row>
    <row r="30" spans="1:29" s="1267"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2"/>
      <c r="M30" s="2022"/>
      <c r="N30" s="2022"/>
      <c r="O30" s="1995"/>
      <c r="P30" s="3776"/>
      <c r="Q30" s="1509" t="str">
        <f t="shared" si="11"/>
        <v>项目建筑规模</v>
      </c>
      <c r="R30" s="1485" t="s">
        <v>8</v>
      </c>
      <c r="S30" s="1486" t="e">
        <f t="shared" si="12"/>
        <v>#N/A</v>
      </c>
      <c r="T30" s="1485" t="s">
        <v>8</v>
      </c>
      <c r="U30" s="1486" t="e">
        <f t="shared" si="13"/>
        <v>#N/A</v>
      </c>
      <c r="V30" s="1485" t="s">
        <v>8</v>
      </c>
      <c r="W30" s="1486" t="e">
        <f t="shared" si="14"/>
        <v>#N/A</v>
      </c>
      <c r="X30" s="1487"/>
      <c r="Y30" s="3776"/>
      <c r="Z30" s="1488" t="str">
        <f t="shared" si="15"/>
        <v>项目建筑规模</v>
      </c>
      <c r="AA30" s="1484" t="e">
        <f t="shared" si="3"/>
        <v>#N/A</v>
      </c>
      <c r="AB30" s="1484" t="e">
        <f t="shared" si="4"/>
        <v>#N/A</v>
      </c>
      <c r="AC30" s="1484"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94"/>
      <c r="M31" s="1986"/>
      <c r="N31" s="1986"/>
      <c r="O31" s="1993"/>
      <c r="P31" s="3776"/>
      <c r="Q31" s="1480" t="str">
        <f t="shared" si="11"/>
        <v>建筑结构</v>
      </c>
      <c r="R31" s="1481" t="s">
        <v>8</v>
      </c>
      <c r="S31" s="1482">
        <f t="shared" si="12"/>
        <v>100</v>
      </c>
      <c r="T31" s="1481" t="s">
        <v>8</v>
      </c>
      <c r="U31" s="1482">
        <f t="shared" si="13"/>
        <v>100</v>
      </c>
      <c r="V31" s="1481" t="s">
        <v>8</v>
      </c>
      <c r="W31" s="1482">
        <f t="shared" si="14"/>
        <v>100</v>
      </c>
      <c r="X31" s="1475"/>
      <c r="Y31" s="3776"/>
      <c r="Z31" s="1483" t="str">
        <f t="shared" si="15"/>
        <v>建筑结构</v>
      </c>
      <c r="AA31" s="1484">
        <f t="shared" si="3"/>
        <v>1</v>
      </c>
      <c r="AB31" s="1484">
        <f t="shared" si="4"/>
        <v>1</v>
      </c>
      <c r="AC31" s="1484">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94"/>
      <c r="M32" s="1986"/>
      <c r="N32" s="1986"/>
      <c r="O32" s="1993"/>
      <c r="P32" s="3776"/>
      <c r="Q32" s="1480" t="str">
        <f t="shared" si="11"/>
        <v>公共部分装修</v>
      </c>
      <c r="R32" s="1481" t="s">
        <v>8</v>
      </c>
      <c r="S32" s="1482">
        <f t="shared" si="12"/>
        <v>100</v>
      </c>
      <c r="T32" s="1481" t="s">
        <v>8</v>
      </c>
      <c r="U32" s="1482">
        <f t="shared" si="13"/>
        <v>100</v>
      </c>
      <c r="V32" s="1481" t="s">
        <v>8</v>
      </c>
      <c r="W32" s="1482">
        <f t="shared" si="14"/>
        <v>100</v>
      </c>
      <c r="X32" s="1475"/>
      <c r="Y32" s="3776"/>
      <c r="Z32" s="1483" t="str">
        <f t="shared" si="15"/>
        <v>公共部分装修</v>
      </c>
      <c r="AA32" s="1484">
        <f t="shared" si="3"/>
        <v>1</v>
      </c>
      <c r="AB32" s="1484">
        <f t="shared" si="4"/>
        <v>1</v>
      </c>
      <c r="AC32" s="1484">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4"/>
      <c r="M33" s="1986"/>
      <c r="N33" s="1986"/>
      <c r="O33" s="1993"/>
      <c r="P33" s="3776"/>
      <c r="Q33" s="1480" t="str">
        <f t="shared" si="11"/>
        <v>成新度</v>
      </c>
      <c r="R33" s="1481" t="s">
        <v>8</v>
      </c>
      <c r="S33" s="1482" t="e">
        <f t="shared" si="12"/>
        <v>#N/A</v>
      </c>
      <c r="T33" s="1481" t="s">
        <v>8</v>
      </c>
      <c r="U33" s="1482" t="e">
        <f t="shared" si="13"/>
        <v>#N/A</v>
      </c>
      <c r="V33" s="1481" t="s">
        <v>8</v>
      </c>
      <c r="W33" s="1482" t="e">
        <f t="shared" si="14"/>
        <v>#N/A</v>
      </c>
      <c r="X33" s="1475"/>
      <c r="Y33" s="3776"/>
      <c r="Z33" s="1483" t="str">
        <f t="shared" si="15"/>
        <v>成新度</v>
      </c>
      <c r="AA33" s="1484" t="e">
        <f t="shared" si="3"/>
        <v>#N/A</v>
      </c>
      <c r="AB33" s="1484" t="e">
        <f t="shared" si="4"/>
        <v>#N/A</v>
      </c>
      <c r="AC33" s="1484" t="e">
        <f t="shared" si="5"/>
        <v>#N/A</v>
      </c>
    </row>
    <row r="34" spans="1:29" s="118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7"/>
      <c r="M34" s="1988"/>
      <c r="N34" s="1988"/>
      <c r="O34" s="1989"/>
      <c r="P34" s="3776"/>
      <c r="Q34" s="1116" t="str">
        <f t="shared" si="11"/>
        <v>物业管理</v>
      </c>
      <c r="R34" s="1476" t="s">
        <v>8</v>
      </c>
      <c r="S34" s="1477">
        <f t="shared" si="12"/>
        <v>100</v>
      </c>
      <c r="T34" s="1476" t="s">
        <v>8</v>
      </c>
      <c r="U34" s="1477">
        <f t="shared" si="13"/>
        <v>100</v>
      </c>
      <c r="V34" s="1476" t="s">
        <v>8</v>
      </c>
      <c r="W34" s="1477">
        <f t="shared" si="14"/>
        <v>100</v>
      </c>
      <c r="X34" s="1478"/>
      <c r="Y34" s="3776"/>
      <c r="Z34" s="1115" t="str">
        <f t="shared" si="15"/>
        <v>物业管理</v>
      </c>
      <c r="AA34" s="1479">
        <f t="shared" si="3"/>
        <v>1</v>
      </c>
      <c r="AB34" s="1479">
        <f t="shared" si="4"/>
        <v>1</v>
      </c>
      <c r="AC34" s="1479">
        <f t="shared" si="5"/>
        <v>1</v>
      </c>
    </row>
    <row r="35" spans="1:29" ht="15">
      <c r="A35" s="570"/>
      <c r="B35" s="1781" t="s">
        <v>2517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4"/>
      <c r="M35" s="1986"/>
      <c r="N35" s="1986"/>
      <c r="O35" s="1993"/>
      <c r="P35" s="3776" t="s">
        <v>527</v>
      </c>
      <c r="Q35" s="1480" t="str">
        <f t="shared" si="11"/>
        <v>市政基础设施</v>
      </c>
      <c r="R35" s="1481" t="s">
        <v>8</v>
      </c>
      <c r="S35" s="1482">
        <f t="shared" si="12"/>
        <v>100</v>
      </c>
      <c r="T35" s="1481" t="s">
        <v>8</v>
      </c>
      <c r="U35" s="1482">
        <f t="shared" si="13"/>
        <v>100</v>
      </c>
      <c r="V35" s="1481" t="s">
        <v>8</v>
      </c>
      <c r="W35" s="1482">
        <f t="shared" si="14"/>
        <v>100</v>
      </c>
      <c r="X35" s="1475"/>
      <c r="Y35" s="3776" t="s">
        <v>527</v>
      </c>
      <c r="Z35" s="1483" t="str">
        <f t="shared" si="15"/>
        <v>市政基础设施</v>
      </c>
      <c r="AA35" s="1484">
        <f t="shared" si="3"/>
        <v>1</v>
      </c>
      <c r="AB35" s="1484">
        <f t="shared" si="4"/>
        <v>1</v>
      </c>
      <c r="AC35" s="1484">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4"/>
      <c r="M36" s="1986"/>
      <c r="N36" s="1986"/>
      <c r="O36" s="1993"/>
      <c r="P36" s="3776"/>
      <c r="Q36" s="1480" t="str">
        <f t="shared" si="11"/>
        <v>内部装修</v>
      </c>
      <c r="R36" s="1481" t="s">
        <v>8</v>
      </c>
      <c r="S36" s="1482">
        <f t="shared" si="12"/>
        <v>100</v>
      </c>
      <c r="T36" s="1481" t="s">
        <v>8</v>
      </c>
      <c r="U36" s="1482">
        <f t="shared" si="13"/>
        <v>100</v>
      </c>
      <c r="V36" s="1481" t="s">
        <v>8</v>
      </c>
      <c r="W36" s="1482">
        <f t="shared" si="14"/>
        <v>100</v>
      </c>
      <c r="X36" s="1475"/>
      <c r="Y36" s="3776"/>
      <c r="Z36" s="1483" t="str">
        <f t="shared" si="15"/>
        <v>内部装修</v>
      </c>
      <c r="AA36" s="1484">
        <f t="shared" si="3"/>
        <v>1</v>
      </c>
      <c r="AB36" s="1484">
        <f t="shared" si="4"/>
        <v>1</v>
      </c>
      <c r="AC36" s="1484">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4"/>
      <c r="M37" s="1986"/>
      <c r="N37" s="1986"/>
      <c r="O37" s="1993"/>
      <c r="P37" s="3776"/>
      <c r="Q37" s="1480" t="str">
        <f t="shared" si="11"/>
        <v>内部装修状况</v>
      </c>
      <c r="R37" s="1481" t="s">
        <v>8</v>
      </c>
      <c r="S37" s="1482">
        <f t="shared" si="12"/>
        <v>100</v>
      </c>
      <c r="T37" s="1481" t="s">
        <v>8</v>
      </c>
      <c r="U37" s="1482">
        <f t="shared" si="13"/>
        <v>100</v>
      </c>
      <c r="V37" s="1481" t="s">
        <v>8</v>
      </c>
      <c r="W37" s="1482">
        <f t="shared" si="14"/>
        <v>100</v>
      </c>
      <c r="X37" s="1475"/>
      <c r="Y37" s="3776"/>
      <c r="Z37" s="1483" t="str">
        <f t="shared" si="15"/>
        <v>内部装修状况</v>
      </c>
      <c r="AA37" s="1484">
        <f t="shared" si="3"/>
        <v>1</v>
      </c>
      <c r="AB37" s="1484">
        <f t="shared" si="4"/>
        <v>1</v>
      </c>
      <c r="AC37" s="1484">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2"/>
      <c r="M38" s="2022"/>
      <c r="N38" s="2022"/>
      <c r="O38" s="1995"/>
      <c r="P38" s="3776"/>
      <c r="Q38" s="1509">
        <f t="shared" si="11"/>
        <v>111</v>
      </c>
      <c r="R38" s="1485" t="s">
        <v>8</v>
      </c>
      <c r="S38" s="1486">
        <f t="shared" si="12"/>
        <v>100</v>
      </c>
      <c r="T38" s="1485" t="s">
        <v>8</v>
      </c>
      <c r="U38" s="1486">
        <f t="shared" si="13"/>
        <v>100</v>
      </c>
      <c r="V38" s="1485" t="s">
        <v>8</v>
      </c>
      <c r="W38" s="1486">
        <f t="shared" si="14"/>
        <v>100</v>
      </c>
      <c r="X38" s="1487"/>
      <c r="Y38" s="3776"/>
      <c r="Z38" s="1488">
        <f t="shared" si="15"/>
        <v>111</v>
      </c>
      <c r="AA38" s="1484">
        <f t="shared" si="3"/>
        <v>1</v>
      </c>
      <c r="AB38" s="1484">
        <f t="shared" si="4"/>
        <v>1</v>
      </c>
      <c r="AC38" s="148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4"/>
      <c r="M39" s="1986"/>
      <c r="N39" s="1986"/>
      <c r="O39" s="1993"/>
      <c r="P39" s="3776"/>
      <c r="Q39" s="1480">
        <f t="shared" si="11"/>
        <v>111</v>
      </c>
      <c r="R39" s="1481" t="s">
        <v>8</v>
      </c>
      <c r="S39" s="1482">
        <f t="shared" si="12"/>
        <v>100</v>
      </c>
      <c r="T39" s="1481" t="s">
        <v>8</v>
      </c>
      <c r="U39" s="1482">
        <f t="shared" si="13"/>
        <v>100</v>
      </c>
      <c r="V39" s="1481" t="s">
        <v>8</v>
      </c>
      <c r="W39" s="1482">
        <f t="shared" si="14"/>
        <v>100</v>
      </c>
      <c r="X39" s="1475"/>
      <c r="Y39" s="3776"/>
      <c r="Z39" s="1483">
        <f t="shared" si="15"/>
        <v>111</v>
      </c>
      <c r="AA39" s="1484">
        <f t="shared" si="3"/>
        <v>1</v>
      </c>
      <c r="AB39" s="1484">
        <f t="shared" si="4"/>
        <v>1</v>
      </c>
      <c r="AC39" s="1484">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4"/>
      <c r="M40" s="1986"/>
      <c r="N40" s="1986"/>
      <c r="O40" s="1993"/>
      <c r="P40" s="3914"/>
      <c r="Q40" s="1480">
        <f t="shared" si="11"/>
        <v>111</v>
      </c>
      <c r="R40" s="1481" t="s">
        <v>8</v>
      </c>
      <c r="S40" s="1482">
        <f t="shared" si="12"/>
        <v>100</v>
      </c>
      <c r="T40" s="1481" t="s">
        <v>8</v>
      </c>
      <c r="U40" s="1482">
        <f t="shared" si="13"/>
        <v>100</v>
      </c>
      <c r="V40" s="1481" t="s">
        <v>8</v>
      </c>
      <c r="W40" s="1482">
        <f t="shared" si="14"/>
        <v>100</v>
      </c>
      <c r="X40" s="1475"/>
      <c r="Y40" s="3914"/>
      <c r="Z40" s="1483">
        <f t="shared" si="15"/>
        <v>111</v>
      </c>
      <c r="AA40" s="1484">
        <f t="shared" si="3"/>
        <v>1</v>
      </c>
      <c r="AB40" s="1484">
        <f t="shared" si="4"/>
        <v>1</v>
      </c>
      <c r="AC40" s="1484">
        <f t="shared" si="5"/>
        <v>1</v>
      </c>
    </row>
    <row r="41" spans="1:29" ht="15">
      <c r="A41" s="583" t="s">
        <v>713</v>
      </c>
      <c r="B41" s="858"/>
      <c r="C41" s="2437" t="s">
        <v>1</v>
      </c>
      <c r="D41" s="2438"/>
      <c r="E41" s="2439"/>
      <c r="F41" s="2440"/>
      <c r="G41" s="2441"/>
      <c r="H41" s="2442"/>
      <c r="I41" s="2439"/>
      <c r="J41" s="2442"/>
      <c r="K41" s="1514"/>
      <c r="L41" s="1996"/>
      <c r="M41" s="1997"/>
      <c r="N41" s="1986"/>
      <c r="O41" s="1997"/>
      <c r="P41" s="3771" t="str">
        <f>A41</f>
        <v>成交单价（元/平方米）</v>
      </c>
      <c r="Q41" s="3771"/>
      <c r="R41" s="3913">
        <f>E41</f>
        <v>0</v>
      </c>
      <c r="S41" s="3913"/>
      <c r="T41" s="3913">
        <f>G41</f>
        <v>0</v>
      </c>
      <c r="U41" s="3913"/>
      <c r="V41" s="3913">
        <f>I41</f>
        <v>0</v>
      </c>
      <c r="W41" s="3913"/>
      <c r="X41" s="1470"/>
      <c r="Y41" s="1489"/>
      <c r="Z41" s="1470"/>
      <c r="AA41" s="1470"/>
      <c r="AB41" s="1470"/>
      <c r="AC41" s="1470"/>
    </row>
    <row r="42" spans="1:29" ht="15.75" thickBot="1">
      <c r="A42" s="591" t="s">
        <v>2711</v>
      </c>
      <c r="B42" s="859"/>
      <c r="C42" s="2443" t="e">
        <f>R43</f>
        <v>#DIV/0!</v>
      </c>
      <c r="D42" s="2977" t="s">
        <v>2935</v>
      </c>
      <c r="E42" s="2444" t="e">
        <f>R42</f>
        <v>#DIV/0!</v>
      </c>
      <c r="F42" s="2978"/>
      <c r="G42" s="2443" t="e">
        <f>T42</f>
        <v>#DIV/0!</v>
      </c>
      <c r="H42" s="2978"/>
      <c r="I42" s="2444" t="e">
        <f>V42</f>
        <v>#DIV/0!</v>
      </c>
      <c r="J42" s="2978"/>
      <c r="K42" s="2986">
        <f>F42+H42+J42</f>
        <v>0</v>
      </c>
      <c r="L42" s="1996"/>
      <c r="M42" s="1997"/>
      <c r="N42" s="1986"/>
      <c r="O42" s="1997"/>
      <c r="P42" s="3771" t="str">
        <f>A42</f>
        <v>比较价格（元/平方米）</v>
      </c>
      <c r="Q42" s="3771"/>
      <c r="R42" s="3913" t="e">
        <f>IF(F1="售价",ROUND(PRODUCT(R41,AA7:AA40),0),ROUND(PRODUCT(R41,AA7:AA40),1))</f>
        <v>#DIV/0!</v>
      </c>
      <c r="S42" s="3913"/>
      <c r="T42" s="3913" t="e">
        <f>IF(F1="售价",ROUND(PRODUCT(T41,AB7:AB40),0),ROUND(PRODUCT(T41,AB7:AB40),1))</f>
        <v>#DIV/0!</v>
      </c>
      <c r="U42" s="3913"/>
      <c r="V42" s="3913" t="e">
        <f>IF(F1="售价",ROUND(PRODUCT(V41,AC7:AC40),0),ROUND(PRODUCT(V41,AC7:AC40),1))</f>
        <v>#DIV/0!</v>
      </c>
      <c r="W42" s="3913"/>
      <c r="X42" s="1470"/>
      <c r="Y42" s="1470"/>
      <c r="Z42" s="1470"/>
      <c r="AA42" s="1470"/>
      <c r="AB42" s="1470"/>
      <c r="AC42" s="1470"/>
    </row>
    <row r="43" spans="1:29" ht="15.75" thickBot="1">
      <c r="A43" s="595" t="s">
        <v>2871</v>
      </c>
      <c r="B43" s="596"/>
      <c r="C43" s="2445" t="e">
        <f>R43</f>
        <v>#DIV/0!</v>
      </c>
      <c r="D43" s="2445"/>
      <c r="E43" s="2445"/>
      <c r="F43" s="2445"/>
      <c r="G43" s="2445"/>
      <c r="H43" s="2445"/>
      <c r="I43" s="2445"/>
      <c r="J43" s="2445"/>
      <c r="K43" s="1515"/>
      <c r="L43" s="1996"/>
      <c r="M43" s="1997"/>
      <c r="N43" s="1997"/>
      <c r="O43" s="1997"/>
      <c r="P43" s="3792" t="str">
        <f>A43</f>
        <v>估价对象XX用房的比较价格（楼面单价，元/平方米）</v>
      </c>
      <c r="Q43" s="3793"/>
      <c r="R43" s="3912" t="e">
        <f>IF(F1="售价",ROUND(IF(D42="简单平均",AVERAGE(R42:V42),R42*F42+T42*H42+V42*J42),0),ROUND(IF(D42="简单平均",AVERAGE(R42:V42),R42*F42+T42*H42+V42*J42),1))</f>
        <v>#DIV/0!</v>
      </c>
      <c r="S43" s="3912"/>
      <c r="T43" s="3912"/>
      <c r="U43" s="3912"/>
      <c r="V43" s="3912"/>
      <c r="W43" s="3912"/>
      <c r="X43" s="1470"/>
      <c r="Y43" s="1470"/>
      <c r="Z43" s="1470"/>
      <c r="AA43" s="1470"/>
      <c r="AB43" s="1470"/>
      <c r="AC43" s="1470"/>
    </row>
    <row r="44" spans="1:29">
      <c r="A44" s="3176"/>
      <c r="B44" s="3176"/>
      <c r="C44" s="3176"/>
      <c r="D44" s="3176"/>
      <c r="E44" s="3176"/>
      <c r="F44" s="3176"/>
      <c r="G44" s="3178"/>
      <c r="H44" s="3176"/>
      <c r="I44" s="3176"/>
      <c r="J44" s="3176"/>
      <c r="K44" s="3179"/>
      <c r="L44" s="2001"/>
      <c r="M44" s="1997"/>
      <c r="N44" s="1997"/>
      <c r="O44" s="1997"/>
      <c r="P44" s="1997"/>
      <c r="Q44" s="1997"/>
      <c r="R44" s="1997"/>
      <c r="S44" s="1997"/>
      <c r="T44" s="1997"/>
      <c r="U44" s="1997"/>
      <c r="V44" s="1997"/>
      <c r="W44" s="1997"/>
      <c r="X44" s="1997"/>
      <c r="Y44" s="1997"/>
      <c r="Z44" s="1997"/>
      <c r="AA44" s="1997"/>
      <c r="AB44" s="1997"/>
      <c r="AC44" s="1997"/>
    </row>
    <row r="45" spans="1:29">
      <c r="A45" s="3176"/>
      <c r="B45" s="3176"/>
      <c r="C45" s="3176"/>
      <c r="D45" s="3176"/>
      <c r="E45" s="3176"/>
      <c r="F45" s="3176"/>
      <c r="G45" s="3176"/>
      <c r="H45" s="3176"/>
      <c r="I45" s="3176"/>
      <c r="J45" s="3176"/>
      <c r="K45" s="317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6"/>
      <c r="B46" s="3176"/>
      <c r="C46" s="598" t="s">
        <v>534</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6"/>
      <c r="B47" s="3176"/>
      <c r="C47" s="598" t="s">
        <v>535</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1"/>
      <c r="M47" s="1997"/>
      <c r="N47" s="1997"/>
      <c r="O47" s="1997"/>
      <c r="P47" s="1997"/>
      <c r="Q47" s="1997"/>
      <c r="R47" s="1997"/>
      <c r="S47" s="1997"/>
      <c r="T47" s="1997"/>
      <c r="U47" s="1997"/>
      <c r="V47" s="1997"/>
      <c r="W47" s="1997"/>
      <c r="X47" s="1997"/>
      <c r="Y47" s="1997"/>
      <c r="Z47" s="1997"/>
      <c r="AA47" s="1997"/>
      <c r="AB47" s="1997"/>
      <c r="AC47" s="1997"/>
    </row>
    <row r="48" spans="1:29" s="1272" customFormat="1" ht="13.5" customHeight="1">
      <c r="A48" s="3177"/>
      <c r="B48" s="3177"/>
      <c r="C48" s="598" t="s">
        <v>536</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4"/>
      <c r="M48" s="1998"/>
      <c r="N48" s="1998"/>
      <c r="O48" s="1998"/>
      <c r="P48" s="1998"/>
      <c r="Q48" s="1998"/>
      <c r="R48" s="1998"/>
      <c r="S48" s="1998"/>
      <c r="T48" s="1998"/>
      <c r="U48" s="1998"/>
      <c r="V48" s="1998"/>
      <c r="W48" s="1998"/>
      <c r="X48" s="1998"/>
      <c r="Y48" s="1998"/>
      <c r="Z48" s="1998"/>
      <c r="AA48" s="1998"/>
      <c r="AB48" s="1998"/>
      <c r="AC48" s="1998"/>
    </row>
    <row r="49" spans="1:29" s="1272"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2" t="s">
        <v>551</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4" customFormat="1" ht="15">
      <c r="A52" s="619" t="s">
        <v>506</v>
      </c>
      <c r="B52" s="620"/>
      <c r="C52" s="2486" t="str">
        <f>YEAR(C7)&amp;"-"&amp;MONTH(C7)</f>
        <v>2022-3</v>
      </c>
      <c r="D52" s="2488">
        <f>EDATE(C52,-1)</f>
        <v>44593</v>
      </c>
      <c r="E52" s="2488">
        <f t="shared" ref="E52:O52" si="16">EDATE(D52,-1)</f>
        <v>44562</v>
      </c>
      <c r="F52" s="2488">
        <f t="shared" si="16"/>
        <v>44531</v>
      </c>
      <c r="G52" s="2488">
        <f t="shared" si="16"/>
        <v>44501</v>
      </c>
      <c r="H52" s="2488">
        <f t="shared" si="16"/>
        <v>44470</v>
      </c>
      <c r="I52" s="2488">
        <f t="shared" si="16"/>
        <v>44440</v>
      </c>
      <c r="J52" s="2488">
        <f t="shared" si="16"/>
        <v>44409</v>
      </c>
      <c r="K52" s="2488">
        <f t="shared" si="16"/>
        <v>44378</v>
      </c>
      <c r="L52" s="2488">
        <f t="shared" si="16"/>
        <v>44348</v>
      </c>
      <c r="M52" s="2488">
        <f t="shared" si="16"/>
        <v>44317</v>
      </c>
      <c r="N52" s="2488">
        <f t="shared" si="16"/>
        <v>44287</v>
      </c>
      <c r="O52" s="2488">
        <f t="shared" si="16"/>
        <v>44256</v>
      </c>
      <c r="P52" s="2011"/>
      <c r="Q52" s="2012"/>
      <c r="R52" s="2012"/>
      <c r="S52" s="2012"/>
      <c r="T52" s="2012"/>
      <c r="U52" s="2012"/>
      <c r="V52" s="2012"/>
      <c r="W52" s="2012"/>
      <c r="X52" s="2012"/>
      <c r="Y52" s="2012"/>
      <c r="Z52" s="2012"/>
      <c r="AA52" s="2012"/>
      <c r="AB52" s="2012"/>
      <c r="AC52" s="2012"/>
    </row>
    <row r="53" spans="1:29" s="1185" customFormat="1" ht="15">
      <c r="A53" s="621"/>
      <c r="B53" s="622"/>
      <c r="C53" s="623">
        <v>100</v>
      </c>
      <c r="D53" s="624"/>
      <c r="E53" s="624"/>
      <c r="F53" s="624"/>
      <c r="G53" s="624"/>
      <c r="H53" s="624"/>
      <c r="I53" s="624"/>
      <c r="J53" s="624"/>
      <c r="K53" s="624"/>
      <c r="L53" s="624"/>
      <c r="M53" s="625"/>
      <c r="N53" s="624"/>
      <c r="O53" s="626"/>
      <c r="P53" s="2009"/>
      <c r="Q53" s="1876"/>
      <c r="R53" s="1876"/>
      <c r="S53" s="1876"/>
      <c r="T53" s="1876"/>
      <c r="U53" s="1876"/>
      <c r="V53" s="1876"/>
      <c r="W53" s="1876"/>
      <c r="X53" s="1876"/>
      <c r="Y53" s="1876"/>
      <c r="Z53" s="1876"/>
      <c r="AA53" s="1876"/>
      <c r="AB53" s="1876"/>
      <c r="AC53" s="1876"/>
    </row>
    <row r="54" spans="1:29" s="1185" customFormat="1" ht="15.75" thickBot="1">
      <c r="A54" s="627" t="s">
        <v>552</v>
      </c>
      <c r="B54" s="628"/>
      <c r="C54" s="629"/>
      <c r="D54" s="630"/>
      <c r="E54" s="630"/>
      <c r="F54" s="630"/>
      <c r="G54" s="630"/>
      <c r="H54" s="630"/>
      <c r="I54" s="630"/>
      <c r="J54" s="630"/>
      <c r="K54" s="630"/>
      <c r="L54" s="630"/>
      <c r="M54" s="631"/>
      <c r="N54" s="630"/>
      <c r="O54" s="632"/>
      <c r="P54" s="2009"/>
      <c r="Q54" s="2009"/>
      <c r="R54" s="1876"/>
      <c r="S54" s="1876"/>
      <c r="T54" s="1876"/>
      <c r="U54" s="1876"/>
      <c r="V54" s="1876"/>
      <c r="W54" s="1876"/>
      <c r="X54" s="1876"/>
      <c r="Y54" s="1876"/>
      <c r="Z54" s="1876"/>
      <c r="AA54" s="1876"/>
      <c r="AB54" s="1876"/>
      <c r="AC54" s="1876"/>
    </row>
    <row r="55" spans="1:29" s="1185" customFormat="1" ht="15">
      <c r="A55" s="633" t="s">
        <v>508</v>
      </c>
      <c r="B55" s="622"/>
      <c r="C55" s="634" t="s">
        <v>553</v>
      </c>
      <c r="D55" s="635"/>
      <c r="E55" s="635"/>
      <c r="F55" s="635"/>
      <c r="G55" s="635"/>
      <c r="H55" s="635"/>
      <c r="I55" s="635"/>
      <c r="J55" s="635"/>
      <c r="K55" s="635"/>
      <c r="L55" s="636"/>
      <c r="M55" s="637"/>
      <c r="N55" s="2013"/>
      <c r="O55" s="2013"/>
      <c r="P55" s="2014"/>
      <c r="Q55" s="2009"/>
      <c r="R55" s="1876"/>
      <c r="S55" s="1876"/>
      <c r="T55" s="1876"/>
      <c r="U55" s="1876"/>
      <c r="V55" s="1876"/>
      <c r="W55" s="1876"/>
      <c r="X55" s="1876"/>
      <c r="Y55" s="1876"/>
      <c r="Z55" s="1876"/>
      <c r="AA55" s="1876"/>
      <c r="AB55" s="1876"/>
      <c r="AC55" s="1876"/>
    </row>
    <row r="56" spans="1:29" s="1185" customFormat="1" ht="15.75" thickBot="1">
      <c r="A56" s="633"/>
      <c r="B56" s="622"/>
      <c r="C56" s="623">
        <v>100</v>
      </c>
      <c r="D56" s="624"/>
      <c r="E56" s="624"/>
      <c r="F56" s="624"/>
      <c r="G56" s="624"/>
      <c r="H56" s="624"/>
      <c r="I56" s="624"/>
      <c r="J56" s="624"/>
      <c r="K56" s="624"/>
      <c r="L56" s="624"/>
      <c r="M56" s="626"/>
      <c r="N56" s="2013"/>
      <c r="O56" s="2013"/>
      <c r="P56" s="2009"/>
      <c r="Q56" s="2009"/>
      <c r="R56" s="1876"/>
      <c r="S56" s="1876"/>
      <c r="T56" s="1876"/>
      <c r="U56" s="1876"/>
      <c r="V56" s="1876"/>
      <c r="W56" s="1876"/>
      <c r="X56" s="1876"/>
      <c r="Y56" s="1876"/>
      <c r="Z56" s="1876"/>
      <c r="AA56" s="1876"/>
      <c r="AB56" s="1876"/>
      <c r="AC56" s="1876"/>
    </row>
    <row r="57" spans="1:29">
      <c r="A57" s="638" t="s">
        <v>554</v>
      </c>
      <c r="B57" s="639" t="s">
        <v>511</v>
      </c>
      <c r="C57" s="678">
        <f>C9</f>
        <v>0</v>
      </c>
      <c r="D57" s="574"/>
      <c r="E57" s="574"/>
      <c r="F57" s="574"/>
      <c r="G57" s="574"/>
      <c r="H57" s="574"/>
      <c r="I57" s="574"/>
      <c r="J57" s="574"/>
      <c r="K57" s="640"/>
      <c r="L57" s="641"/>
      <c r="M57" s="642"/>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45"/>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ht="27.75" thickTop="1">
      <c r="A59" s="643"/>
      <c r="B59" s="647" t="s">
        <v>514</v>
      </c>
      <c r="C59" s="648" t="s">
        <v>714</v>
      </c>
      <c r="D59" s="648" t="s">
        <v>715</v>
      </c>
      <c r="E59" s="648" t="s">
        <v>716</v>
      </c>
      <c r="F59" s="648" t="s">
        <v>717</v>
      </c>
      <c r="G59" s="648" t="s">
        <v>718</v>
      </c>
      <c r="H59" s="648" t="s">
        <v>719</v>
      </c>
      <c r="I59" s="648" t="s">
        <v>720</v>
      </c>
      <c r="J59" s="648"/>
      <c r="K59" s="649"/>
      <c r="L59" s="650"/>
      <c r="M59" s="651"/>
      <c r="N59" s="2015"/>
      <c r="O59" s="2015"/>
      <c r="P59" s="2016"/>
      <c r="Q59" s="2009"/>
      <c r="R59" s="1997"/>
      <c r="S59" s="1997"/>
      <c r="T59" s="1997"/>
      <c r="U59" s="1997"/>
      <c r="V59" s="1997"/>
      <c r="W59" s="1997"/>
      <c r="X59" s="1997"/>
      <c r="Y59" s="1997"/>
      <c r="Z59" s="1997"/>
      <c r="AA59" s="1997"/>
      <c r="AB59" s="1997"/>
      <c r="AC59" s="1997"/>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7"/>
      <c r="O60" s="2017"/>
      <c r="P60" s="2016"/>
      <c r="Q60" s="2009"/>
      <c r="R60" s="1997"/>
      <c r="S60" s="1997"/>
      <c r="T60" s="1997"/>
      <c r="U60" s="1997"/>
      <c r="V60" s="1997"/>
      <c r="W60" s="1997"/>
      <c r="X60" s="1997"/>
      <c r="Y60" s="1997"/>
      <c r="Z60" s="1997"/>
      <c r="AA60" s="1997"/>
      <c r="AB60" s="1997"/>
      <c r="AC60" s="1997"/>
    </row>
    <row r="61" spans="1:29" ht="15.75" thickTop="1">
      <c r="A61" s="643"/>
      <c r="B61" s="655" t="s">
        <v>515</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3"/>
      <c r="B62" s="657"/>
      <c r="C62" s="517"/>
      <c r="D62" s="517"/>
      <c r="E62" s="517"/>
      <c r="F62" s="517"/>
      <c r="G62" s="517"/>
      <c r="H62" s="517"/>
      <c r="I62" s="517"/>
      <c r="J62" s="517"/>
      <c r="K62" s="658"/>
      <c r="L62" s="659"/>
      <c r="M62" s="660"/>
      <c r="N62" s="2015"/>
      <c r="O62" s="2015"/>
      <c r="P62" s="2016"/>
      <c r="Q62" s="2009"/>
      <c r="R62" s="1997"/>
      <c r="S62" s="1997"/>
      <c r="T62" s="1997"/>
      <c r="U62" s="1997"/>
      <c r="V62" s="1997"/>
      <c r="W62" s="1997"/>
      <c r="X62" s="1997"/>
      <c r="Y62" s="1997"/>
      <c r="Z62" s="1997"/>
      <c r="AA62" s="1997"/>
      <c r="AB62" s="1997"/>
      <c r="AC62" s="1997"/>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7"/>
      <c r="O63" s="2017"/>
      <c r="P63" s="2016"/>
      <c r="Q63" s="2009"/>
      <c r="R63" s="1997"/>
      <c r="S63" s="1997"/>
      <c r="T63" s="1997"/>
      <c r="U63" s="1997"/>
      <c r="V63" s="1997"/>
      <c r="W63" s="1997"/>
      <c r="X63" s="1997"/>
      <c r="Y63" s="1997"/>
      <c r="Z63" s="1997"/>
      <c r="AA63" s="1997"/>
      <c r="AB63" s="1997"/>
      <c r="AC63" s="1997"/>
    </row>
    <row r="64" spans="1:29" s="1267" customFormat="1" ht="15.75" thickTop="1">
      <c r="A64" s="661"/>
      <c r="B64" s="647">
        <f>B12</f>
        <v>111</v>
      </c>
      <c r="C64" s="662"/>
      <c r="D64" s="662"/>
      <c r="E64" s="662"/>
      <c r="F64" s="662"/>
      <c r="G64" s="662"/>
      <c r="H64" s="663"/>
      <c r="I64" s="663"/>
      <c r="J64" s="663"/>
      <c r="K64" s="663"/>
      <c r="L64" s="664"/>
      <c r="M64" s="665"/>
      <c r="N64" s="2018"/>
      <c r="O64" s="2018"/>
      <c r="P64" s="2019"/>
      <c r="Q64" s="2020"/>
      <c r="R64" s="2021"/>
      <c r="S64" s="2021"/>
      <c r="T64" s="2021"/>
      <c r="U64" s="2021"/>
      <c r="V64" s="2021"/>
      <c r="W64" s="2021"/>
      <c r="X64" s="2021"/>
      <c r="Y64" s="2021"/>
      <c r="Z64" s="2021"/>
      <c r="AA64" s="2021"/>
      <c r="AB64" s="2021"/>
      <c r="AC64" s="2021"/>
    </row>
    <row r="65" spans="1:29" s="1267" customFormat="1" ht="15.75" thickBot="1">
      <c r="A65" s="661"/>
      <c r="B65" s="652"/>
      <c r="C65" s="666"/>
      <c r="D65" s="645"/>
      <c r="E65" s="645"/>
      <c r="F65" s="645"/>
      <c r="G65" s="645"/>
      <c r="H65" s="645"/>
      <c r="I65" s="645"/>
      <c r="J65" s="645"/>
      <c r="K65" s="645"/>
      <c r="L65" s="645"/>
      <c r="M65" s="646"/>
      <c r="N65" s="2017"/>
      <c r="O65" s="2017"/>
      <c r="P65" s="2019"/>
      <c r="Q65" s="2020"/>
      <c r="R65" s="2021"/>
      <c r="S65" s="2021"/>
      <c r="T65" s="2021"/>
      <c r="U65" s="2021"/>
      <c r="V65" s="2021"/>
      <c r="W65" s="2021"/>
      <c r="X65" s="2021"/>
      <c r="Y65" s="2021"/>
      <c r="Z65" s="2021"/>
      <c r="AA65" s="2021"/>
      <c r="AB65" s="2021"/>
      <c r="AC65" s="2021"/>
    </row>
    <row r="66" spans="1:29" s="1267" customFormat="1" ht="15.75" thickTop="1">
      <c r="A66" s="661"/>
      <c r="B66" s="647">
        <f>B13</f>
        <v>111</v>
      </c>
      <c r="C66" s="662"/>
      <c r="D66" s="662"/>
      <c r="E66" s="662"/>
      <c r="F66" s="662"/>
      <c r="G66" s="662"/>
      <c r="H66" s="663"/>
      <c r="I66" s="663"/>
      <c r="J66" s="663"/>
      <c r="K66" s="663"/>
      <c r="L66" s="664"/>
      <c r="M66" s="665"/>
      <c r="N66" s="2018"/>
      <c r="O66" s="2018"/>
      <c r="P66" s="2022"/>
      <c r="Q66" s="2023"/>
      <c r="R66" s="2021"/>
      <c r="S66" s="2021"/>
      <c r="T66" s="2021"/>
      <c r="U66" s="2021"/>
      <c r="V66" s="2021"/>
      <c r="W66" s="2021"/>
      <c r="X66" s="2021"/>
      <c r="Y66" s="2021"/>
      <c r="Z66" s="2021"/>
      <c r="AA66" s="2021"/>
      <c r="AB66" s="2021"/>
      <c r="AC66" s="2021"/>
    </row>
    <row r="67" spans="1:29" s="1267" customFormat="1" ht="15.75" thickBot="1">
      <c r="A67" s="661"/>
      <c r="B67" s="652"/>
      <c r="C67" s="666"/>
      <c r="D67" s="645"/>
      <c r="E67" s="645"/>
      <c r="F67" s="645"/>
      <c r="G67" s="666"/>
      <c r="H67" s="667"/>
      <c r="I67" s="667"/>
      <c r="J67" s="667"/>
      <c r="K67" s="667"/>
      <c r="L67" s="667"/>
      <c r="M67" s="668"/>
      <c r="N67" s="2018"/>
      <c r="O67" s="2018"/>
      <c r="P67" s="2019"/>
      <c r="Q67" s="2020"/>
      <c r="R67" s="2021"/>
      <c r="S67" s="2021"/>
      <c r="T67" s="2021"/>
      <c r="U67" s="2021"/>
      <c r="V67" s="2021"/>
      <c r="W67" s="2021"/>
      <c r="X67" s="2021"/>
      <c r="Y67" s="2021"/>
      <c r="Z67" s="2021"/>
      <c r="AA67" s="2021"/>
      <c r="AB67" s="2021"/>
      <c r="AC67" s="2021"/>
    </row>
    <row r="68" spans="1:29" s="1267" customFormat="1" ht="15.75" thickTop="1">
      <c r="A68" s="661"/>
      <c r="B68" s="655">
        <f>B14</f>
        <v>111</v>
      </c>
      <c r="C68" s="635"/>
      <c r="D68" s="635"/>
      <c r="E68" s="635"/>
      <c r="F68" s="635"/>
      <c r="G68" s="635"/>
      <c r="H68" s="669"/>
      <c r="I68" s="669"/>
      <c r="J68" s="669"/>
      <c r="K68" s="669"/>
      <c r="L68" s="670"/>
      <c r="M68" s="671"/>
      <c r="N68" s="2018"/>
      <c r="O68" s="2018"/>
      <c r="P68" s="2024"/>
      <c r="Q68" s="2020"/>
      <c r="R68" s="2021"/>
      <c r="S68" s="2021"/>
      <c r="T68" s="2021"/>
      <c r="U68" s="2021"/>
      <c r="V68" s="2021"/>
      <c r="W68" s="2021"/>
      <c r="X68" s="2021"/>
      <c r="Y68" s="2021"/>
      <c r="Z68" s="2021"/>
      <c r="AA68" s="2021"/>
      <c r="AB68" s="2021"/>
      <c r="AC68" s="2021"/>
    </row>
    <row r="69" spans="1:29" s="1267" customFormat="1" ht="15.75" thickBot="1">
      <c r="A69" s="672"/>
      <c r="B69" s="673"/>
      <c r="C69" s="674"/>
      <c r="D69" s="674"/>
      <c r="E69" s="674"/>
      <c r="F69" s="674"/>
      <c r="G69" s="674"/>
      <c r="H69" s="675"/>
      <c r="I69" s="675"/>
      <c r="J69" s="675"/>
      <c r="K69" s="675"/>
      <c r="L69" s="675"/>
      <c r="M69" s="676"/>
      <c r="N69" s="2018"/>
      <c r="O69" s="2018"/>
      <c r="P69" s="2019"/>
      <c r="Q69" s="2020"/>
      <c r="R69" s="2021"/>
      <c r="S69" s="2021"/>
      <c r="T69" s="2021"/>
      <c r="U69" s="2021"/>
      <c r="V69" s="2021"/>
      <c r="W69" s="2021"/>
      <c r="X69" s="2021"/>
      <c r="Y69" s="2021"/>
      <c r="Z69" s="2021"/>
      <c r="AA69" s="2021"/>
      <c r="AB69" s="2021"/>
      <c r="AC69" s="2021"/>
    </row>
    <row r="70" spans="1:29">
      <c r="A70" s="638" t="s">
        <v>516</v>
      </c>
      <c r="B70" s="639" t="s">
        <v>562</v>
      </c>
      <c r="C70" s="677" t="s">
        <v>556</v>
      </c>
      <c r="D70" s="677" t="s">
        <v>557</v>
      </c>
      <c r="E70" s="677" t="s">
        <v>558</v>
      </c>
      <c r="F70" s="677" t="s">
        <v>559</v>
      </c>
      <c r="G70" s="677" t="s">
        <v>560</v>
      </c>
      <c r="H70" s="678"/>
      <c r="I70" s="678"/>
      <c r="J70" s="678"/>
      <c r="K70" s="679"/>
      <c r="L70" s="680"/>
      <c r="M70" s="681"/>
      <c r="N70" s="2015"/>
      <c r="O70" s="2015"/>
      <c r="P70" s="2025"/>
      <c r="Q70" s="2009"/>
      <c r="R70" s="1997"/>
      <c r="S70" s="1997"/>
      <c r="T70" s="1997"/>
      <c r="U70" s="1997"/>
      <c r="V70" s="1997"/>
      <c r="W70" s="1997"/>
      <c r="X70" s="1997"/>
      <c r="Y70" s="1997"/>
      <c r="Z70" s="1997"/>
      <c r="AA70" s="1997"/>
      <c r="AB70" s="1997"/>
      <c r="AC70" s="1997"/>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7"/>
      <c r="O71" s="2017"/>
      <c r="P71" s="2016"/>
      <c r="Q71" s="2009"/>
      <c r="R71" s="1997"/>
      <c r="S71" s="1997"/>
      <c r="T71" s="1997"/>
      <c r="U71" s="1997"/>
      <c r="V71" s="1997"/>
      <c r="W71" s="1997"/>
      <c r="X71" s="1997"/>
      <c r="Y71" s="1997"/>
      <c r="Z71" s="1997"/>
      <c r="AA71" s="1997"/>
      <c r="AB71" s="1997"/>
      <c r="AC71" s="1997"/>
    </row>
    <row r="72" spans="1:29" ht="15.75" thickTop="1">
      <c r="A72" s="643"/>
      <c r="B72" s="647" t="s">
        <v>563</v>
      </c>
      <c r="C72" s="682" t="s">
        <v>556</v>
      </c>
      <c r="D72" s="682" t="s">
        <v>557</v>
      </c>
      <c r="E72" s="682" t="s">
        <v>558</v>
      </c>
      <c r="F72" s="682" t="s">
        <v>559</v>
      </c>
      <c r="G72" s="682" t="s">
        <v>560</v>
      </c>
      <c r="H72" s="648"/>
      <c r="I72" s="648"/>
      <c r="J72" s="648"/>
      <c r="K72" s="649"/>
      <c r="L72" s="650"/>
      <c r="M72" s="651"/>
      <c r="N72" s="2015"/>
      <c r="O72" s="2015"/>
      <c r="P72" s="2016"/>
      <c r="Q72" s="2009"/>
      <c r="R72" s="1997"/>
      <c r="S72" s="1997"/>
      <c r="T72" s="1997"/>
      <c r="U72" s="1997"/>
      <c r="V72" s="1997"/>
      <c r="W72" s="1997"/>
      <c r="X72" s="1997"/>
      <c r="Y72" s="1997"/>
      <c r="Z72" s="1997"/>
      <c r="AA72" s="1997"/>
      <c r="AB72" s="1997"/>
      <c r="AC72" s="1997"/>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7"/>
      <c r="O73" s="2017"/>
      <c r="P73" s="2016"/>
      <c r="Q73" s="2009"/>
      <c r="R73" s="1997"/>
      <c r="S73" s="1997"/>
      <c r="T73" s="1997"/>
      <c r="U73" s="1997"/>
      <c r="V73" s="1997"/>
      <c r="W73" s="1997"/>
      <c r="X73" s="1997"/>
      <c r="Y73" s="1997"/>
      <c r="Z73" s="1997"/>
      <c r="AA73" s="1997"/>
      <c r="AB73" s="1997"/>
      <c r="AC73" s="1997"/>
    </row>
    <row r="74" spans="1:29" ht="15.75" thickTop="1">
      <c r="A74" s="643"/>
      <c r="B74" s="1782" t="s">
        <v>2509</v>
      </c>
      <c r="C74" s="682" t="s">
        <v>556</v>
      </c>
      <c r="D74" s="682" t="s">
        <v>557</v>
      </c>
      <c r="E74" s="682" t="s">
        <v>558</v>
      </c>
      <c r="F74" s="682" t="s">
        <v>559</v>
      </c>
      <c r="G74" s="682" t="s">
        <v>560</v>
      </c>
      <c r="H74" s="648"/>
      <c r="I74" s="648"/>
      <c r="J74" s="648"/>
      <c r="K74" s="649"/>
      <c r="L74" s="650"/>
      <c r="M74" s="651"/>
      <c r="N74" s="2015"/>
      <c r="O74" s="2015"/>
      <c r="P74" s="2016"/>
      <c r="Q74" s="2009"/>
      <c r="R74" s="1997"/>
      <c r="S74" s="1997"/>
      <c r="T74" s="1997"/>
      <c r="U74" s="1997"/>
      <c r="V74" s="1997"/>
      <c r="W74" s="1997"/>
      <c r="X74" s="1997"/>
      <c r="Y74" s="1997"/>
      <c r="Z74" s="1997"/>
      <c r="AA74" s="1997"/>
      <c r="AB74" s="1997"/>
      <c r="AC74" s="1997"/>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7"/>
      <c r="O75" s="2017"/>
      <c r="P75" s="2016"/>
      <c r="Q75" s="2009"/>
      <c r="R75" s="1997"/>
      <c r="S75" s="1997"/>
      <c r="T75" s="1997"/>
      <c r="U75" s="1997"/>
      <c r="V75" s="1997"/>
      <c r="W75" s="1997"/>
      <c r="X75" s="1997"/>
      <c r="Y75" s="1997"/>
      <c r="Z75" s="1997"/>
      <c r="AA75" s="1997"/>
      <c r="AB75" s="1997"/>
      <c r="AC75" s="1997"/>
    </row>
    <row r="76" spans="1:29" ht="15.75" thickTop="1">
      <c r="A76" s="643"/>
      <c r="B76" s="2408" t="s">
        <v>2510</v>
      </c>
      <c r="C76" s="2409" t="s">
        <v>2511</v>
      </c>
      <c r="D76" s="2409" t="s">
        <v>2512</v>
      </c>
      <c r="E76" s="2409" t="s">
        <v>2513</v>
      </c>
      <c r="F76" s="2409" t="s">
        <v>2514</v>
      </c>
      <c r="G76" s="2409" t="s">
        <v>2515</v>
      </c>
      <c r="H76" s="906"/>
      <c r="I76" s="906"/>
      <c r="J76" s="906"/>
      <c r="K76" s="906"/>
      <c r="L76" s="906"/>
      <c r="M76" s="535"/>
      <c r="N76" s="2017"/>
      <c r="O76" s="2017"/>
      <c r="P76" s="2016"/>
      <c r="Q76" s="2009"/>
      <c r="R76" s="1997"/>
      <c r="S76" s="1997"/>
      <c r="T76" s="1997"/>
      <c r="U76" s="1997"/>
      <c r="V76" s="1997"/>
      <c r="W76" s="1997"/>
      <c r="X76" s="1997"/>
      <c r="Y76" s="1997"/>
      <c r="Z76" s="1997"/>
      <c r="AA76" s="1997"/>
      <c r="AB76" s="1997"/>
      <c r="AC76" s="1997"/>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761</v>
      </c>
      <c r="C78" s="682" t="s">
        <v>556</v>
      </c>
      <c r="D78" s="682" t="s">
        <v>557</v>
      </c>
      <c r="E78" s="682" t="s">
        <v>558</v>
      </c>
      <c r="F78" s="682" t="s">
        <v>559</v>
      </c>
      <c r="G78" s="682" t="s">
        <v>560</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s="1185" customFormat="1" ht="15.75" thickTop="1">
      <c r="A80" s="683"/>
      <c r="B80" s="647">
        <f>B25</f>
        <v>111</v>
      </c>
      <c r="C80" s="662"/>
      <c r="D80" s="662"/>
      <c r="E80" s="662"/>
      <c r="F80" s="662"/>
      <c r="G80" s="662"/>
      <c r="H80" s="662"/>
      <c r="I80" s="662"/>
      <c r="J80" s="662"/>
      <c r="K80" s="662"/>
      <c r="L80" s="861"/>
      <c r="M80" s="862"/>
      <c r="N80" s="2013"/>
      <c r="O80" s="2013"/>
      <c r="P80" s="2016"/>
      <c r="Q80" s="2009"/>
      <c r="R80" s="1876"/>
      <c r="S80" s="1876"/>
      <c r="T80" s="1876"/>
      <c r="U80" s="1876"/>
      <c r="V80" s="1876"/>
      <c r="W80" s="1876"/>
      <c r="X80" s="1876"/>
      <c r="Y80" s="1876"/>
      <c r="Z80" s="1876"/>
      <c r="AA80" s="1876"/>
      <c r="AB80" s="1876"/>
      <c r="AC80" s="1876"/>
    </row>
    <row r="81" spans="1:29" s="1185" customFormat="1" ht="15.75" thickBot="1">
      <c r="A81" s="683"/>
      <c r="B81" s="652"/>
      <c r="C81" s="666"/>
      <c r="D81" s="645"/>
      <c r="E81" s="645"/>
      <c r="F81" s="645"/>
      <c r="G81" s="645"/>
      <c r="H81" s="645"/>
      <c r="I81" s="645"/>
      <c r="J81" s="645"/>
      <c r="K81" s="645"/>
      <c r="L81" s="645"/>
      <c r="M81" s="646"/>
      <c r="N81" s="2017"/>
      <c r="O81" s="2017"/>
      <c r="P81" s="2016"/>
      <c r="Q81" s="2009"/>
      <c r="R81" s="1876"/>
      <c r="S81" s="1876"/>
      <c r="T81" s="1876"/>
      <c r="U81" s="1876"/>
      <c r="V81" s="1876"/>
      <c r="W81" s="1876"/>
      <c r="X81" s="1876"/>
      <c r="Y81" s="1876"/>
      <c r="Z81" s="1876"/>
      <c r="AA81" s="1876"/>
      <c r="AB81" s="1876"/>
      <c r="AC81" s="1876"/>
    </row>
    <row r="82" spans="1:29" s="1185" customFormat="1" ht="15.75" thickTop="1">
      <c r="A82" s="683"/>
      <c r="B82" s="647">
        <f>B26</f>
        <v>111</v>
      </c>
      <c r="C82" s="662"/>
      <c r="D82" s="662"/>
      <c r="E82" s="662"/>
      <c r="F82" s="662"/>
      <c r="G82" s="662"/>
      <c r="H82" s="662"/>
      <c r="I82" s="662"/>
      <c r="J82" s="662"/>
      <c r="K82" s="662"/>
      <c r="L82" s="861"/>
      <c r="M82" s="862"/>
      <c r="N82" s="2013"/>
      <c r="O82" s="2013"/>
      <c r="P82" s="2016"/>
      <c r="Q82" s="2009"/>
      <c r="R82" s="1876"/>
      <c r="S82" s="1876"/>
      <c r="T82" s="1876"/>
      <c r="U82" s="1876"/>
      <c r="V82" s="1876"/>
      <c r="W82" s="1876"/>
      <c r="X82" s="1876"/>
      <c r="Y82" s="1876"/>
      <c r="Z82" s="1876"/>
      <c r="AA82" s="1876"/>
      <c r="AB82" s="1876"/>
      <c r="AC82" s="1876"/>
    </row>
    <row r="83" spans="1:29" s="1185" customFormat="1" ht="15.75" thickBot="1">
      <c r="A83" s="683"/>
      <c r="B83" s="652"/>
      <c r="C83" s="666"/>
      <c r="D83" s="645"/>
      <c r="E83" s="645"/>
      <c r="F83" s="645"/>
      <c r="G83" s="645"/>
      <c r="H83" s="645"/>
      <c r="I83" s="645"/>
      <c r="J83" s="645"/>
      <c r="K83" s="645"/>
      <c r="L83" s="645"/>
      <c r="M83" s="646"/>
      <c r="N83" s="2017"/>
      <c r="O83" s="2017"/>
      <c r="P83" s="2016"/>
      <c r="Q83" s="2009"/>
      <c r="R83" s="1876"/>
      <c r="S83" s="1876"/>
      <c r="T83" s="1876"/>
      <c r="U83" s="1876"/>
      <c r="V83" s="1876"/>
      <c r="W83" s="1876"/>
      <c r="X83" s="1876"/>
      <c r="Y83" s="1876"/>
      <c r="Z83" s="1876"/>
      <c r="AA83" s="1876"/>
      <c r="AB83" s="1876"/>
      <c r="AC83" s="1876"/>
    </row>
    <row r="84" spans="1:29" s="1267" customFormat="1" ht="15.75" thickTop="1">
      <c r="A84" s="661"/>
      <c r="B84" s="647">
        <f>B27</f>
        <v>111</v>
      </c>
      <c r="C84" s="662"/>
      <c r="D84" s="662"/>
      <c r="E84" s="662"/>
      <c r="F84" s="662"/>
      <c r="G84" s="662"/>
      <c r="H84" s="662"/>
      <c r="I84" s="662"/>
      <c r="J84" s="662"/>
      <c r="K84" s="662"/>
      <c r="L84" s="861"/>
      <c r="M84" s="862"/>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8"/>
      <c r="O85" s="2018"/>
      <c r="P85" s="2019"/>
      <c r="Q85" s="2020"/>
      <c r="R85" s="2021"/>
      <c r="S85" s="2021"/>
      <c r="T85" s="2021"/>
      <c r="U85" s="2021"/>
      <c r="V85" s="2021"/>
      <c r="W85" s="2021"/>
      <c r="X85" s="2021"/>
      <c r="Y85" s="2021"/>
      <c r="Z85" s="2021"/>
      <c r="AA85" s="2021"/>
      <c r="AB85" s="2021"/>
      <c r="AC85" s="2021"/>
    </row>
    <row r="86" spans="1:29" ht="15.75" thickTop="1">
      <c r="A86" s="643"/>
      <c r="B86" s="655">
        <f>B28</f>
        <v>111</v>
      </c>
      <c r="C86" s="635"/>
      <c r="D86" s="635"/>
      <c r="E86" s="635"/>
      <c r="F86" s="635"/>
      <c r="G86" s="696"/>
      <c r="H86" s="696"/>
      <c r="I86" s="696"/>
      <c r="J86" s="696"/>
      <c r="K86" s="697"/>
      <c r="L86" s="698"/>
      <c r="M86" s="699"/>
      <c r="N86" s="2015"/>
      <c r="O86" s="2015"/>
      <c r="P86" s="2016"/>
      <c r="Q86" s="2009"/>
      <c r="R86" s="1997"/>
      <c r="S86" s="1997"/>
      <c r="T86" s="1997"/>
      <c r="U86" s="1997"/>
      <c r="V86" s="1997"/>
      <c r="W86" s="1997"/>
      <c r="X86" s="1997"/>
      <c r="Y86" s="1997"/>
      <c r="Z86" s="1997"/>
      <c r="AA86" s="1997"/>
      <c r="AB86" s="1997"/>
      <c r="AC86" s="1997"/>
    </row>
    <row r="87" spans="1:29" ht="15.75" thickBot="1">
      <c r="A87" s="864"/>
      <c r="B87" s="673"/>
      <c r="C87" s="674"/>
      <c r="D87" s="674"/>
      <c r="E87" s="674"/>
      <c r="F87" s="674"/>
      <c r="G87" s="700"/>
      <c r="H87" s="700"/>
      <c r="I87" s="700"/>
      <c r="J87" s="700"/>
      <c r="K87" s="700"/>
      <c r="L87" s="700"/>
      <c r="M87" s="701"/>
      <c r="N87" s="2017"/>
      <c r="O87" s="2017"/>
      <c r="P87" s="2016"/>
      <c r="Q87" s="2009"/>
      <c r="R87" s="1997"/>
      <c r="S87" s="1997"/>
      <c r="T87" s="1997"/>
      <c r="U87" s="1997"/>
      <c r="V87" s="1997"/>
      <c r="W87" s="1997"/>
      <c r="X87" s="1997"/>
      <c r="Y87" s="1997"/>
      <c r="Z87" s="1997"/>
      <c r="AA87" s="1997"/>
      <c r="AB87" s="1997"/>
      <c r="AC87" s="1997"/>
    </row>
    <row r="88" spans="1:29">
      <c r="A88" s="638" t="s">
        <v>528</v>
      </c>
      <c r="B88" s="639" t="s">
        <v>724</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3"/>
      <c r="O90" s="2013"/>
      <c r="P90" s="2016"/>
      <c r="Q90" s="2009"/>
      <c r="R90" s="1997"/>
      <c r="S90" s="1997"/>
      <c r="T90" s="1997"/>
      <c r="U90" s="1997"/>
      <c r="V90" s="1997"/>
      <c r="W90" s="1997"/>
      <c r="X90" s="1997"/>
      <c r="Y90" s="1997"/>
      <c r="Z90" s="1997"/>
      <c r="AA90" s="1997"/>
      <c r="AB90" s="1997"/>
      <c r="AC90" s="1997"/>
    </row>
    <row r="91" spans="1:29" s="1267" customFormat="1">
      <c r="A91" s="702"/>
      <c r="B91" s="703"/>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7"/>
      <c r="O92" s="2017"/>
      <c r="P92" s="2019"/>
      <c r="Q92" s="2020"/>
      <c r="R92" s="2021"/>
      <c r="S92" s="2021"/>
      <c r="T92" s="2021"/>
      <c r="U92" s="2021"/>
      <c r="V92" s="2021"/>
      <c r="W92" s="2021"/>
      <c r="X92" s="2021"/>
      <c r="Y92" s="2021"/>
      <c r="Z92" s="2021"/>
      <c r="AA92" s="2021"/>
      <c r="AB92" s="2021"/>
      <c r="AC92" s="2021"/>
    </row>
    <row r="93" spans="1:29" ht="15" thickTop="1">
      <c r="A93" s="709"/>
      <c r="B93" s="647" t="s">
        <v>726</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728</v>
      </c>
      <c r="C95" s="662"/>
      <c r="D95" s="662"/>
      <c r="E95" s="662"/>
      <c r="F95" s="692"/>
      <c r="G95" s="692"/>
      <c r="H95" s="692"/>
      <c r="I95" s="692"/>
      <c r="J95" s="692"/>
      <c r="K95" s="693"/>
      <c r="L95" s="694"/>
      <c r="M95" s="695"/>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5"/>
      <c r="O97" s="2015"/>
      <c r="P97" s="2016"/>
      <c r="Q97" s="2009"/>
      <c r="R97" s="1997"/>
      <c r="S97" s="1997"/>
      <c r="T97" s="1997"/>
      <c r="U97" s="1997"/>
      <c r="V97" s="1997"/>
      <c r="W97" s="1997"/>
      <c r="X97" s="1997"/>
      <c r="Y97" s="1997"/>
      <c r="Z97" s="1997"/>
      <c r="AA97" s="1997"/>
      <c r="AB97" s="1997"/>
      <c r="AC97" s="1997"/>
    </row>
    <row r="98" spans="1:29">
      <c r="A98" s="709"/>
      <c r="B98" s="655"/>
      <c r="C98" s="865">
        <v>0.5</v>
      </c>
      <c r="D98" s="865">
        <v>0.6</v>
      </c>
      <c r="E98" s="865">
        <v>0.7</v>
      </c>
      <c r="F98" s="865">
        <v>0.8</v>
      </c>
      <c r="G98" s="865">
        <v>0.9</v>
      </c>
      <c r="H98" s="865">
        <v>1.0001</v>
      </c>
      <c r="I98" s="876"/>
      <c r="J98" s="876"/>
      <c r="K98" s="877"/>
      <c r="L98" s="878"/>
      <c r="M98" s="879"/>
      <c r="N98" s="2015"/>
      <c r="O98" s="2015"/>
      <c r="P98" s="2016"/>
      <c r="Q98" s="2009"/>
      <c r="R98" s="1997"/>
      <c r="S98" s="1997"/>
      <c r="T98" s="1997"/>
      <c r="U98" s="1997"/>
      <c r="V98" s="1997"/>
      <c r="W98" s="1997"/>
      <c r="X98" s="1997"/>
      <c r="Y98" s="1997"/>
      <c r="Z98" s="1997"/>
      <c r="AA98" s="1997"/>
      <c r="AB98" s="1997"/>
      <c r="AC98" s="1997"/>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7"/>
      <c r="O99" s="2017"/>
      <c r="P99" s="2016"/>
      <c r="Q99" s="2009"/>
      <c r="R99" s="1997"/>
      <c r="S99" s="1997"/>
      <c r="T99" s="1997"/>
      <c r="U99" s="1997"/>
      <c r="V99" s="1997"/>
      <c r="W99" s="1997"/>
      <c r="X99" s="1997"/>
      <c r="Y99" s="1997"/>
      <c r="Z99" s="1997"/>
      <c r="AA99" s="1997"/>
      <c r="AB99" s="1997"/>
      <c r="AC99" s="1997"/>
    </row>
    <row r="100" spans="1:29" s="1267" customFormat="1" ht="15" thickTop="1">
      <c r="A100" s="702"/>
      <c r="B100" s="647" t="s">
        <v>730</v>
      </c>
      <c r="C100" s="662"/>
      <c r="D100" s="662"/>
      <c r="E100" s="662"/>
      <c r="F100" s="662"/>
      <c r="G100" s="662"/>
      <c r="H100" s="692"/>
      <c r="I100" s="692"/>
      <c r="J100" s="692"/>
      <c r="K100" s="693"/>
      <c r="L100" s="694"/>
      <c r="M100" s="695"/>
      <c r="N100" s="2018"/>
      <c r="O100" s="2018"/>
      <c r="P100" s="2019"/>
      <c r="Q100" s="2020"/>
      <c r="R100" s="2021"/>
      <c r="S100" s="2021"/>
      <c r="T100" s="2021"/>
      <c r="U100" s="2021"/>
      <c r="V100" s="2021"/>
      <c r="W100" s="2021"/>
      <c r="X100" s="2021"/>
      <c r="Y100" s="2021"/>
      <c r="Z100" s="2021"/>
      <c r="AA100" s="2021"/>
      <c r="AB100" s="2021"/>
      <c r="AC100" s="2021"/>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9"/>
      <c r="B102" s="1782" t="s">
        <v>2508</v>
      </c>
      <c r="C102" s="662"/>
      <c r="D102" s="662"/>
      <c r="E102" s="662"/>
      <c r="F102" s="662"/>
      <c r="G102" s="662"/>
      <c r="H102" s="692"/>
      <c r="I102" s="692"/>
      <c r="J102" s="692"/>
      <c r="K102" s="693"/>
      <c r="L102" s="694"/>
      <c r="M102" s="695"/>
      <c r="N102" s="2015"/>
      <c r="O102" s="2015"/>
      <c r="P102" s="2016"/>
      <c r="Q102" s="2009"/>
      <c r="R102" s="1997"/>
      <c r="S102" s="1997"/>
      <c r="T102" s="1997"/>
      <c r="U102" s="1997"/>
      <c r="V102" s="1997"/>
      <c r="W102" s="1997"/>
      <c r="X102" s="1997"/>
      <c r="Y102" s="1997"/>
      <c r="Z102" s="1997"/>
      <c r="AA102" s="1997"/>
      <c r="AB102" s="1997"/>
      <c r="AC102" s="1997"/>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9"/>
      <c r="B104" s="647" t="s">
        <v>732</v>
      </c>
      <c r="C104" s="662"/>
      <c r="D104" s="662"/>
      <c r="E104" s="662"/>
      <c r="F104" s="662"/>
      <c r="G104" s="662"/>
      <c r="H104" s="692"/>
      <c r="I104" s="692"/>
      <c r="J104" s="692"/>
      <c r="K104" s="693"/>
      <c r="L104" s="694"/>
      <c r="M104" s="695"/>
      <c r="N104" s="2015"/>
      <c r="O104" s="2015"/>
      <c r="P104" s="2016"/>
      <c r="Q104" s="2009"/>
      <c r="R104" s="1997"/>
      <c r="S104" s="1997"/>
      <c r="T104" s="1997"/>
      <c r="U104" s="1997"/>
      <c r="V104" s="1997"/>
      <c r="W104" s="1997"/>
      <c r="X104" s="1997"/>
      <c r="Y104" s="1997"/>
      <c r="Z104" s="1997"/>
      <c r="AA104" s="1997"/>
      <c r="AB104" s="1997"/>
      <c r="AC104" s="1997"/>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7"/>
      <c r="O105" s="2017"/>
      <c r="P105" s="2016"/>
      <c r="Q105" s="2009"/>
      <c r="R105" s="1997"/>
      <c r="S105" s="1997"/>
      <c r="T105" s="1997"/>
      <c r="U105" s="1997"/>
      <c r="V105" s="1997"/>
      <c r="W105" s="1997"/>
      <c r="X105" s="1997"/>
      <c r="Y105" s="1997"/>
      <c r="Z105" s="1997"/>
      <c r="AA105" s="1997"/>
      <c r="AB105" s="1997"/>
      <c r="AC105" s="1997"/>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2017"/>
      <c r="O106" s="2017"/>
      <c r="P106" s="2056"/>
      <c r="Q106" s="2057"/>
      <c r="R106" s="1997"/>
      <c r="S106" s="1997"/>
      <c r="T106" s="1997"/>
      <c r="U106" s="1997"/>
      <c r="V106" s="1997"/>
      <c r="W106" s="1997"/>
      <c r="X106" s="1997"/>
      <c r="Y106" s="1997"/>
      <c r="Z106" s="1997"/>
      <c r="AA106" s="1997"/>
      <c r="AB106" s="1997"/>
      <c r="AC106" s="1997"/>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7"/>
      <c r="O107" s="2017"/>
      <c r="P107" s="2016"/>
      <c r="Q107" s="2009"/>
      <c r="R107" s="1997"/>
      <c r="S107" s="1997"/>
      <c r="T107" s="1997"/>
      <c r="U107" s="1997"/>
      <c r="V107" s="1997"/>
      <c r="W107" s="1997"/>
      <c r="X107" s="1997"/>
      <c r="Y107" s="1997"/>
      <c r="Z107" s="1997"/>
      <c r="AA107" s="1997"/>
      <c r="AB107" s="1997"/>
      <c r="AC107" s="1997"/>
    </row>
    <row r="108" spans="1:29" s="1267" customFormat="1" ht="15" thickTop="1">
      <c r="A108" s="702"/>
      <c r="B108" s="647">
        <f>B38</f>
        <v>111</v>
      </c>
      <c r="C108" s="662"/>
      <c r="D108" s="662"/>
      <c r="E108" s="662"/>
      <c r="F108" s="662"/>
      <c r="G108" s="662"/>
      <c r="H108" s="663"/>
      <c r="I108" s="663"/>
      <c r="J108" s="663"/>
      <c r="K108" s="663"/>
      <c r="L108" s="664"/>
      <c r="M108" s="665"/>
      <c r="N108" s="2018"/>
      <c r="O108" s="2018"/>
      <c r="P108" s="2019"/>
      <c r="Q108" s="2020"/>
      <c r="R108" s="2021"/>
      <c r="S108" s="2021"/>
      <c r="T108" s="2021"/>
      <c r="U108" s="2021"/>
      <c r="V108" s="2021"/>
      <c r="W108" s="2021"/>
      <c r="X108" s="2021"/>
      <c r="Y108" s="2021"/>
      <c r="Z108" s="2021"/>
      <c r="AA108" s="2021"/>
      <c r="AB108" s="2021"/>
      <c r="AC108" s="2021"/>
    </row>
    <row r="109" spans="1:29" s="1267" customFormat="1" ht="15.75" thickBot="1">
      <c r="A109" s="661"/>
      <c r="B109" s="644"/>
      <c r="C109" s="666"/>
      <c r="D109" s="645"/>
      <c r="E109" s="645"/>
      <c r="F109" s="645"/>
      <c r="G109" s="666"/>
      <c r="H109" s="667"/>
      <c r="I109" s="667"/>
      <c r="J109" s="667"/>
      <c r="K109" s="667"/>
      <c r="L109" s="667"/>
      <c r="M109" s="668"/>
      <c r="N109" s="2018"/>
      <c r="O109" s="2018"/>
      <c r="P109" s="2019"/>
      <c r="Q109" s="2020"/>
      <c r="R109" s="2021"/>
      <c r="S109" s="2021"/>
      <c r="T109" s="2021"/>
      <c r="U109" s="2021"/>
      <c r="V109" s="2021"/>
      <c r="W109" s="2021"/>
      <c r="X109" s="2021"/>
      <c r="Y109" s="2021"/>
      <c r="Z109" s="2021"/>
      <c r="AA109" s="2021"/>
      <c r="AB109" s="2021"/>
      <c r="AC109" s="2021"/>
    </row>
    <row r="110" spans="1:29" ht="15" thickTop="1">
      <c r="A110" s="709"/>
      <c r="B110" s="647">
        <f>B39</f>
        <v>111</v>
      </c>
      <c r="C110" s="662"/>
      <c r="D110" s="662"/>
      <c r="E110" s="662"/>
      <c r="F110" s="662"/>
      <c r="G110" s="662"/>
      <c r="H110" s="663"/>
      <c r="I110" s="663"/>
      <c r="J110" s="663"/>
      <c r="K110" s="663"/>
      <c r="L110" s="664"/>
      <c r="M110" s="66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66"/>
      <c r="D111" s="645"/>
      <c r="E111" s="645"/>
      <c r="F111" s="645"/>
      <c r="G111" s="666"/>
      <c r="H111" s="667"/>
      <c r="I111" s="667"/>
      <c r="J111" s="667"/>
      <c r="K111" s="667"/>
      <c r="L111" s="667"/>
      <c r="M111" s="668"/>
      <c r="N111" s="2017"/>
      <c r="O111" s="2017"/>
      <c r="P111" s="2016"/>
      <c r="Q111" s="2009"/>
      <c r="R111" s="1997"/>
      <c r="S111" s="1997"/>
      <c r="T111" s="1997"/>
      <c r="U111" s="1997"/>
      <c r="V111" s="1997"/>
      <c r="W111" s="1997"/>
      <c r="X111" s="1997"/>
      <c r="Y111" s="1997"/>
      <c r="Z111" s="1997"/>
      <c r="AA111" s="1997"/>
      <c r="AB111" s="1997"/>
      <c r="AC111" s="1997"/>
    </row>
    <row r="112" spans="1:29" ht="15" thickTop="1">
      <c r="A112" s="709"/>
      <c r="B112" s="655">
        <f>B40</f>
        <v>111</v>
      </c>
      <c r="C112" s="635"/>
      <c r="D112" s="635"/>
      <c r="E112" s="635"/>
      <c r="F112" s="635"/>
      <c r="G112" s="696"/>
      <c r="H112" s="696"/>
      <c r="I112" s="696"/>
      <c r="J112" s="696"/>
      <c r="K112" s="635"/>
      <c r="L112" s="636"/>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864"/>
      <c r="B113" s="673"/>
      <c r="C113" s="674"/>
      <c r="D113" s="674"/>
      <c r="E113" s="674"/>
      <c r="F113" s="674"/>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1"/>
      <c r="G1" s="1505" t="s">
        <v>770</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771</v>
      </c>
      <c r="B2" s="821"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772</v>
      </c>
      <c r="B3" s="486" t="e">
        <f>IF(B37="元/平方米",C39,ROUND(B2*10000/D3,0))</f>
        <v>#DIV/0!</v>
      </c>
      <c r="C3" s="823" t="s">
        <v>773</v>
      </c>
      <c r="D3" s="822">
        <f>SUMIF('数据-汇总表'!$C19:$C33,D1,'数据-汇总表'!$E19:$E33)</f>
        <v>0</v>
      </c>
      <c r="E3" s="1734" t="s">
        <v>2041</v>
      </c>
      <c r="F3" s="822">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774</v>
      </c>
      <c r="B4" s="489"/>
      <c r="C4" s="3777" t="s">
        <v>775</v>
      </c>
      <c r="D4" s="3778"/>
      <c r="E4" s="3777" t="s">
        <v>776</v>
      </c>
      <c r="F4" s="3778"/>
      <c r="G4" s="3777" t="s">
        <v>777</v>
      </c>
      <c r="H4" s="3778"/>
      <c r="I4" s="3777" t="s">
        <v>778</v>
      </c>
      <c r="J4" s="3778"/>
      <c r="K4" s="490" t="s">
        <v>779</v>
      </c>
      <c r="L4" s="1985"/>
      <c r="M4" s="1986"/>
      <c r="N4" s="1986"/>
      <c r="O4" s="1986"/>
      <c r="P4" s="3779" t="s">
        <v>780</v>
      </c>
      <c r="Q4" s="3780"/>
      <c r="R4" s="3765" t="s">
        <v>776</v>
      </c>
      <c r="S4" s="3766"/>
      <c r="T4" s="3765" t="s">
        <v>777</v>
      </c>
      <c r="U4" s="3766"/>
      <c r="V4" s="3785" t="s">
        <v>778</v>
      </c>
      <c r="W4" s="3785"/>
      <c r="X4" s="1475"/>
      <c r="Y4" s="3765" t="s">
        <v>780</v>
      </c>
      <c r="Z4" s="3766"/>
      <c r="AA4" s="3760" t="s">
        <v>776</v>
      </c>
      <c r="AB4" s="3761" t="s">
        <v>777</v>
      </c>
      <c r="AC4" s="3760" t="s">
        <v>778</v>
      </c>
    </row>
    <row r="5" spans="1:29" ht="15">
      <c r="A5" s="491"/>
      <c r="B5" s="492"/>
      <c r="C5" s="3788" t="s">
        <v>2865</v>
      </c>
      <c r="D5" s="3789"/>
      <c r="E5" s="3788" t="s">
        <v>2866</v>
      </c>
      <c r="F5" s="3789"/>
      <c r="G5" s="3788" t="s">
        <v>2867</v>
      </c>
      <c r="H5" s="3789"/>
      <c r="I5" s="3788" t="s">
        <v>2868</v>
      </c>
      <c r="J5" s="3789"/>
      <c r="K5" s="490"/>
      <c r="L5" s="1985"/>
      <c r="M5" s="1986"/>
      <c r="N5" s="1986"/>
      <c r="O5" s="1986"/>
      <c r="P5" s="3781"/>
      <c r="Q5" s="3782"/>
      <c r="R5" s="3767"/>
      <c r="S5" s="3768"/>
      <c r="T5" s="3767"/>
      <c r="U5" s="3768"/>
      <c r="V5" s="3785"/>
      <c r="W5" s="3785"/>
      <c r="X5" s="1475"/>
      <c r="Y5" s="3767"/>
      <c r="Z5" s="3768"/>
      <c r="AA5" s="3761"/>
      <c r="AB5" s="3761"/>
      <c r="AC5" s="3761"/>
    </row>
    <row r="6" spans="1:29" ht="15.75" thickBot="1">
      <c r="A6" s="493"/>
      <c r="B6" s="494"/>
      <c r="C6" s="3786" t="s">
        <v>2869</v>
      </c>
      <c r="D6" s="3787"/>
      <c r="E6" s="3790" t="s">
        <v>2869</v>
      </c>
      <c r="F6" s="3791"/>
      <c r="G6" s="3786" t="s">
        <v>2869</v>
      </c>
      <c r="H6" s="3787"/>
      <c r="I6" s="3786" t="s">
        <v>2869</v>
      </c>
      <c r="J6" s="3787"/>
      <c r="K6" s="490" t="s">
        <v>505</v>
      </c>
      <c r="L6" s="1985"/>
      <c r="M6" s="1986"/>
      <c r="N6" s="1986"/>
      <c r="O6" s="1986"/>
      <c r="P6" s="3783"/>
      <c r="Q6" s="3784"/>
      <c r="R6" s="3767"/>
      <c r="S6" s="3768"/>
      <c r="T6" s="3769"/>
      <c r="U6" s="3770"/>
      <c r="V6" s="3785"/>
      <c r="W6" s="3785"/>
      <c r="X6" s="1475"/>
      <c r="Y6" s="3769"/>
      <c r="Z6" s="3770"/>
      <c r="AA6" s="3762"/>
      <c r="AB6" s="3762"/>
      <c r="AC6" s="3762"/>
    </row>
    <row r="7" spans="1:29" s="1185" customFormat="1" ht="15.75" thickBot="1">
      <c r="A7" s="2596"/>
      <c r="B7" s="2603" t="s">
        <v>506</v>
      </c>
      <c r="C7" s="495">
        <f>'数据-取费表'!B2</f>
        <v>44623</v>
      </c>
      <c r="D7" s="496">
        <v>100</v>
      </c>
      <c r="E7" s="497"/>
      <c r="F7" s="498">
        <f>SUMIF(48:48,YEAR(E7)&amp;"-"&amp;MONTH(E7),49:49)</f>
        <v>0</v>
      </c>
      <c r="G7" s="499"/>
      <c r="H7" s="496">
        <f>SUMIF(48:48,YEAR(G7)&amp;"-"&amp;MONTH(G7),49:49)</f>
        <v>0</v>
      </c>
      <c r="I7" s="499"/>
      <c r="J7" s="496">
        <f>SUMIF(48:48,YEAR(I7)&amp;"-"&amp;MONTH(I7),49:49)</f>
        <v>0</v>
      </c>
      <c r="K7" s="500"/>
      <c r="L7" s="1987"/>
      <c r="M7" s="1988"/>
      <c r="N7" s="1988"/>
      <c r="O7" s="1988"/>
      <c r="P7" s="3763" t="s">
        <v>507</v>
      </c>
      <c r="Q7" s="3772"/>
      <c r="R7" s="1476" t="s">
        <v>8</v>
      </c>
      <c r="S7" s="1477">
        <f t="shared" ref="S7:S14" si="0">F7</f>
        <v>0</v>
      </c>
      <c r="T7" s="1476" t="s">
        <v>8</v>
      </c>
      <c r="U7" s="1477">
        <f t="shared" ref="U7:U14" si="1">H7</f>
        <v>0</v>
      </c>
      <c r="V7" s="1476" t="s">
        <v>8</v>
      </c>
      <c r="W7" s="1477">
        <f t="shared" ref="W7:W14"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501"/>
      <c r="F8" s="498">
        <f>SUMIF(51:51,E8,52:52)-SUMIF(51:51,C8,52:52)+100</f>
        <v>0</v>
      </c>
      <c r="G8" s="501"/>
      <c r="H8" s="496">
        <f>SUMIF(51:51,G8,52:52)-SUMIF(51:51,C8,52:52)+100</f>
        <v>0</v>
      </c>
      <c r="I8" s="501"/>
      <c r="J8" s="496">
        <f>SUMIF(51:51,I8,52:52)-SUMIF(51:51,C8,52:52)+100</f>
        <v>0</v>
      </c>
      <c r="K8" s="500"/>
      <c r="L8" s="1987"/>
      <c r="M8" s="1988"/>
      <c r="N8" s="1988"/>
      <c r="O8" s="1988"/>
      <c r="P8" s="3763" t="s">
        <v>510</v>
      </c>
      <c r="Q8" s="3764"/>
      <c r="R8" s="1476" t="s">
        <v>8</v>
      </c>
      <c r="S8" s="1477">
        <f t="shared" si="0"/>
        <v>0</v>
      </c>
      <c r="T8" s="1476" t="s">
        <v>8</v>
      </c>
      <c r="U8" s="1477">
        <f t="shared" si="1"/>
        <v>0</v>
      </c>
      <c r="V8" s="1476" t="s">
        <v>8</v>
      </c>
      <c r="W8" s="1477">
        <f t="shared" si="2"/>
        <v>0</v>
      </c>
      <c r="X8" s="1478"/>
      <c r="Y8" s="3763" t="s">
        <v>510</v>
      </c>
      <c r="Z8" s="3764"/>
      <c r="AA8" s="1479" t="e">
        <f t="shared" ref="AA8:AA36" si="3">D8/F8</f>
        <v>#DIV/0!</v>
      </c>
      <c r="AB8" s="1479" t="e">
        <f t="shared" ref="AB8:AB36" si="4">D8/H8</f>
        <v>#DIV/0!</v>
      </c>
      <c r="AC8" s="1479" t="e">
        <f t="shared" ref="AC8:AC36" si="5">D8/J8</f>
        <v>#DIV/0!</v>
      </c>
    </row>
    <row r="9" spans="1:29" s="1185" customFormat="1" ht="15">
      <c r="A9" s="2598"/>
      <c r="B9" s="2605" t="s">
        <v>2707</v>
      </c>
      <c r="C9" s="828"/>
      <c r="D9" s="252">
        <v>100</v>
      </c>
      <c r="E9" s="831"/>
      <c r="F9" s="252">
        <f>SUMIF(53:53,E9,54:54)-SUMIF(53:53,C9,54:54)+100</f>
        <v>100</v>
      </c>
      <c r="G9" s="829"/>
      <c r="H9" s="252">
        <f>SUMIF(53:53,G9,54:54)-SUMIF(53:53,C9,54:54)+100</f>
        <v>100</v>
      </c>
      <c r="I9" s="829"/>
      <c r="J9" s="252">
        <f>SUMIF(53:53,I9,54:54)-SUMIF(53:53,C9,54:54)+100</f>
        <v>100</v>
      </c>
      <c r="K9" s="500"/>
      <c r="L9" s="1987"/>
      <c r="M9" s="1988"/>
      <c r="N9" s="1988"/>
      <c r="O9" s="1989"/>
      <c r="P9" s="3771" t="s">
        <v>512</v>
      </c>
      <c r="Q9" s="1116" t="str">
        <f t="shared" ref="Q9:Q14" si="6">B9</f>
        <v>用途</v>
      </c>
      <c r="R9" s="1476" t="s">
        <v>8</v>
      </c>
      <c r="S9" s="1477">
        <f t="shared" si="0"/>
        <v>100</v>
      </c>
      <c r="T9" s="1476" t="s">
        <v>8</v>
      </c>
      <c r="U9" s="1477">
        <f t="shared" si="1"/>
        <v>100</v>
      </c>
      <c r="V9" s="1476" t="s">
        <v>8</v>
      </c>
      <c r="W9" s="1477">
        <f t="shared" si="2"/>
        <v>100</v>
      </c>
      <c r="X9" s="1478"/>
      <c r="Y9" s="3712" t="s">
        <v>513</v>
      </c>
      <c r="Z9" s="1115" t="str">
        <f t="shared" ref="Z9:Z14" si="7">Q9</f>
        <v>用途</v>
      </c>
      <c r="AA9" s="1479">
        <f t="shared" si="3"/>
        <v>1</v>
      </c>
      <c r="AB9" s="1479">
        <f t="shared" si="4"/>
        <v>1</v>
      </c>
      <c r="AC9" s="1479">
        <f t="shared" si="5"/>
        <v>1</v>
      </c>
    </row>
    <row r="10" spans="1:29" s="1266" customFormat="1" ht="27">
      <c r="A10" s="2599"/>
      <c r="B10" s="2604" t="s">
        <v>2708</v>
      </c>
      <c r="C10" s="832"/>
      <c r="D10" s="253">
        <v>100</v>
      </c>
      <c r="E10" s="832"/>
      <c r="F10" s="253">
        <f>SUMIF(55:55,E10,56:56)-SUMIF(55:55,C10,56:56)+100</f>
        <v>100</v>
      </c>
      <c r="G10" s="833"/>
      <c r="H10" s="253">
        <f>SUMIF(55:55,G10,56:56)-SUMIF(55:55,C10,56:56)+100</f>
        <v>100</v>
      </c>
      <c r="I10" s="832"/>
      <c r="J10" s="253">
        <f>SUMIF(55:55,I10,56:56)-SUMIF(55:55,C10,56:56)+100</f>
        <v>100</v>
      </c>
      <c r="K10" s="560"/>
      <c r="L10" s="1990"/>
      <c r="M10" s="2029"/>
      <c r="N10" s="2029"/>
      <c r="O10" s="1991"/>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1"/>
      <c r="B11" s="2607">
        <v>111</v>
      </c>
      <c r="C11" s="504"/>
      <c r="D11" s="253">
        <v>100</v>
      </c>
      <c r="E11" s="504"/>
      <c r="F11" s="253">
        <f>SUMIF(57:57,E11,58:58)-SUMIF(57:57,C11,58:58)+100</f>
        <v>100</v>
      </c>
      <c r="G11" s="504"/>
      <c r="H11" s="253">
        <f>SUMIF(57:57,G11,58:58)-SUMIF(57:57,C11,58:58)+100</f>
        <v>100</v>
      </c>
      <c r="I11" s="504"/>
      <c r="J11" s="253">
        <f>SUMIF(57:57,I11,58:58)-SUMIF(57:57,C11,58:58)+100</f>
        <v>100</v>
      </c>
      <c r="K11" s="557"/>
      <c r="L11" s="1992"/>
      <c r="M11" s="1986"/>
      <c r="N11" s="1986"/>
      <c r="O11" s="1993"/>
      <c r="P11" s="3771"/>
      <c r="Q11" s="1116">
        <f t="shared" si="6"/>
        <v>111</v>
      </c>
      <c r="R11" s="1476" t="s">
        <v>8</v>
      </c>
      <c r="S11" s="1477">
        <f t="shared" si="0"/>
        <v>100</v>
      </c>
      <c r="T11" s="1476" t="s">
        <v>8</v>
      </c>
      <c r="U11" s="1477">
        <f t="shared" si="1"/>
        <v>100</v>
      </c>
      <c r="V11" s="1476" t="s">
        <v>8</v>
      </c>
      <c r="W11" s="1477">
        <f t="shared" si="2"/>
        <v>100</v>
      </c>
      <c r="X11" s="1478"/>
      <c r="Y11" s="3712"/>
      <c r="Z11" s="1115">
        <f t="shared" si="7"/>
        <v>111</v>
      </c>
      <c r="AA11" s="1479">
        <f t="shared" si="3"/>
        <v>1</v>
      </c>
      <c r="AB11" s="1479">
        <f t="shared" si="4"/>
        <v>1</v>
      </c>
      <c r="AC11" s="1479">
        <f t="shared" si="5"/>
        <v>1</v>
      </c>
    </row>
    <row r="12" spans="1:29" s="1185" customFormat="1" ht="15">
      <c r="A12" s="2601"/>
      <c r="B12" s="2607">
        <v>111</v>
      </c>
      <c r="C12" s="504"/>
      <c r="D12" s="514">
        <v>100</v>
      </c>
      <c r="E12" s="504"/>
      <c r="F12" s="253">
        <f>SUMIF(59:59,E12,60:60)-SUMIF(59:59,C12,60:60)+100</f>
        <v>100</v>
      </c>
      <c r="G12" s="504"/>
      <c r="H12" s="253">
        <f>SUMIF(59:59,G12,60:60)-SUMIF(59:59,C12,60:60)+100</f>
        <v>100</v>
      </c>
      <c r="I12" s="504"/>
      <c r="J12" s="253">
        <f>SUMIF(59:59,I12,60:60)-SUMIF(59:59,C12,60:60)+100</f>
        <v>100</v>
      </c>
      <c r="K12" s="557"/>
      <c r="L12" s="1987"/>
      <c r="M12" s="1988"/>
      <c r="N12" s="1988"/>
      <c r="O12" s="1989"/>
      <c r="P12" s="3771"/>
      <c r="Q12" s="1116">
        <f t="shared" si="6"/>
        <v>111</v>
      </c>
      <c r="R12" s="1476" t="s">
        <v>8</v>
      </c>
      <c r="S12" s="1477">
        <f t="shared" si="0"/>
        <v>100</v>
      </c>
      <c r="T12" s="1476" t="s">
        <v>8</v>
      </c>
      <c r="U12" s="1477">
        <f t="shared" si="1"/>
        <v>100</v>
      </c>
      <c r="V12" s="1476" t="s">
        <v>8</v>
      </c>
      <c r="W12" s="1477">
        <f t="shared" si="2"/>
        <v>100</v>
      </c>
      <c r="X12" s="1478"/>
      <c r="Y12" s="3712"/>
      <c r="Z12" s="1115">
        <f t="shared" si="7"/>
        <v>111</v>
      </c>
      <c r="AA12" s="1479">
        <f>D12/F12</f>
        <v>1</v>
      </c>
      <c r="AB12" s="1479">
        <f>D12/H12</f>
        <v>1</v>
      </c>
      <c r="AC12" s="1479">
        <f>D12/J12</f>
        <v>1</v>
      </c>
    </row>
    <row r="13" spans="1:29" ht="15.75" thickBot="1">
      <c r="A13" s="2602"/>
      <c r="B13" s="2608">
        <v>111</v>
      </c>
      <c r="C13" s="515"/>
      <c r="D13" s="516">
        <v>100</v>
      </c>
      <c r="E13" s="504"/>
      <c r="F13" s="253">
        <f>SUMIF(61:61,E13,62:62)-SUMIF(61:61,C13,62:62)+100</f>
        <v>100</v>
      </c>
      <c r="G13" s="504"/>
      <c r="H13" s="516">
        <f>SUMIF(61:61,G13,62:62)-SUMIF(61:61,C13,62:62)+100</f>
        <v>100</v>
      </c>
      <c r="I13" s="504"/>
      <c r="J13" s="516">
        <f>SUMIF(61:61,I13,62:62)-SUMIF(61:61,C13,62:62)+100</f>
        <v>100</v>
      </c>
      <c r="K13" s="557"/>
      <c r="L13" s="1994"/>
      <c r="M13" s="1986"/>
      <c r="N13" s="1986"/>
      <c r="O13" s="1993"/>
      <c r="P13" s="3771"/>
      <c r="Q13" s="1116">
        <f t="shared" si="6"/>
        <v>111</v>
      </c>
      <c r="R13" s="1476" t="s">
        <v>8</v>
      </c>
      <c r="S13" s="1477">
        <f t="shared" si="0"/>
        <v>100</v>
      </c>
      <c r="T13" s="1476" t="s">
        <v>8</v>
      </c>
      <c r="U13" s="1477">
        <f t="shared" si="1"/>
        <v>100</v>
      </c>
      <c r="V13" s="1476" t="s">
        <v>8</v>
      </c>
      <c r="W13" s="1477">
        <f t="shared" si="2"/>
        <v>100</v>
      </c>
      <c r="X13" s="1478"/>
      <c r="Y13" s="3712"/>
      <c r="Z13" s="1115">
        <f t="shared" si="7"/>
        <v>111</v>
      </c>
      <c r="AA13" s="1479">
        <f t="shared" si="3"/>
        <v>1</v>
      </c>
      <c r="AB13" s="1479">
        <f t="shared" si="4"/>
        <v>1</v>
      </c>
      <c r="AC13" s="1479">
        <f t="shared" si="5"/>
        <v>1</v>
      </c>
    </row>
    <row r="14" spans="1:29" ht="85.5">
      <c r="A14" s="2594" t="s">
        <v>2705</v>
      </c>
      <c r="B14" s="523" t="s">
        <v>520</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4"/>
      <c r="M14" s="1986"/>
      <c r="N14" s="1986"/>
      <c r="O14" s="1993"/>
      <c r="P14" s="3773" t="s">
        <v>517</v>
      </c>
      <c r="Q14" s="1480" t="str">
        <f t="shared" si="6"/>
        <v>交通便捷度</v>
      </c>
      <c r="R14" s="1481" t="s">
        <v>8</v>
      </c>
      <c r="S14" s="1482">
        <f t="shared" si="0"/>
        <v>100</v>
      </c>
      <c r="T14" s="1481" t="s">
        <v>8</v>
      </c>
      <c r="U14" s="1482">
        <f t="shared" si="1"/>
        <v>100</v>
      </c>
      <c r="V14" s="1481" t="s">
        <v>8</v>
      </c>
      <c r="W14" s="1482">
        <f t="shared" si="2"/>
        <v>100</v>
      </c>
      <c r="X14" s="1475"/>
      <c r="Y14" s="3773" t="s">
        <v>517</v>
      </c>
      <c r="Z14" s="1483" t="str">
        <f t="shared" si="7"/>
        <v>交通便捷度</v>
      </c>
      <c r="AA14" s="1484">
        <f t="shared" si="3"/>
        <v>1</v>
      </c>
      <c r="AB14" s="1484">
        <f t="shared" si="4"/>
        <v>1</v>
      </c>
      <c r="AC14" s="1484">
        <f t="shared" si="5"/>
        <v>1</v>
      </c>
    </row>
    <row r="15" spans="1:29" ht="15">
      <c r="A15" s="491"/>
      <c r="B15" s="895"/>
      <c r="C15" s="552"/>
      <c r="D15" s="531"/>
      <c r="E15" s="552"/>
      <c r="F15" s="533"/>
      <c r="G15" s="552"/>
      <c r="H15" s="535"/>
      <c r="I15" s="552"/>
      <c r="J15" s="531"/>
      <c r="K15" s="870"/>
      <c r="L15" s="1994"/>
      <c r="M15" s="1986"/>
      <c r="N15" s="1986"/>
      <c r="O15" s="1993"/>
      <c r="P15" s="3774"/>
      <c r="Q15" s="1480"/>
      <c r="R15" s="1481"/>
      <c r="S15" s="1482"/>
      <c r="T15" s="1481"/>
      <c r="U15" s="1482"/>
      <c r="V15" s="1481"/>
      <c r="W15" s="1482"/>
      <c r="X15" s="1475"/>
      <c r="Y15" s="3774"/>
      <c r="Z15" s="1483"/>
      <c r="AA15" s="1484">
        <v>1</v>
      </c>
      <c r="AB15" s="1484">
        <v>1</v>
      </c>
      <c r="AC15" s="1484">
        <v>1</v>
      </c>
    </row>
    <row r="16" spans="1:29" ht="42.75">
      <c r="A16" s="491"/>
      <c r="B16" s="2414" t="s">
        <v>2498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4"/>
      <c r="M16" s="1986"/>
      <c r="N16" s="1986"/>
      <c r="O16" s="1993"/>
      <c r="P16" s="3774"/>
      <c r="Q16" s="1480" t="str">
        <f>B16</f>
        <v>公共配套设施</v>
      </c>
      <c r="R16" s="1481" t="s">
        <v>8</v>
      </c>
      <c r="S16" s="1482">
        <f>F16</f>
        <v>100</v>
      </c>
      <c r="T16" s="1481" t="s">
        <v>8</v>
      </c>
      <c r="U16" s="1482">
        <f>H16</f>
        <v>100</v>
      </c>
      <c r="V16" s="1481" t="s">
        <v>8</v>
      </c>
      <c r="W16" s="1482">
        <f>J16</f>
        <v>100</v>
      </c>
      <c r="X16" s="1475"/>
      <c r="Y16" s="3774"/>
      <c r="Z16" s="1483" t="str">
        <f>Q16</f>
        <v>公共配套设施</v>
      </c>
      <c r="AA16" s="1484">
        <f t="shared" si="3"/>
        <v>1</v>
      </c>
      <c r="AB16" s="1484">
        <f t="shared" si="4"/>
        <v>1</v>
      </c>
      <c r="AC16" s="1484">
        <f t="shared" si="5"/>
        <v>1</v>
      </c>
    </row>
    <row r="17" spans="1:29" ht="15">
      <c r="A17" s="491"/>
      <c r="B17" s="542"/>
      <c r="C17" s="844"/>
      <c r="D17" s="531"/>
      <c r="E17" s="552"/>
      <c r="F17" s="533"/>
      <c r="G17" s="552"/>
      <c r="H17" s="531"/>
      <c r="I17" s="552"/>
      <c r="J17" s="531"/>
      <c r="K17" s="870"/>
      <c r="L17" s="1994"/>
      <c r="M17" s="1986"/>
      <c r="N17" s="1986"/>
      <c r="O17" s="1993"/>
      <c r="P17" s="3774"/>
      <c r="Q17" s="1480"/>
      <c r="R17" s="1481"/>
      <c r="S17" s="1482"/>
      <c r="T17" s="1481"/>
      <c r="U17" s="1482"/>
      <c r="V17" s="1481"/>
      <c r="W17" s="1482"/>
      <c r="X17" s="1475"/>
      <c r="Y17" s="3774"/>
      <c r="Z17" s="1483"/>
      <c r="AA17" s="1484">
        <v>1</v>
      </c>
      <c r="AB17" s="1484">
        <v>1</v>
      </c>
      <c r="AC17" s="1484">
        <v>1</v>
      </c>
    </row>
    <row r="18" spans="1:29" ht="28.5">
      <c r="A18" s="491"/>
      <c r="B18" s="2402" t="s">
        <v>2510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4"/>
      <c r="M18" s="1986"/>
      <c r="N18" s="1986"/>
      <c r="O18" s="1993"/>
      <c r="P18" s="3774"/>
      <c r="Q18" s="2396" t="str">
        <f>B18</f>
        <v>基础设施水平</v>
      </c>
      <c r="R18" s="1481" t="s">
        <v>8</v>
      </c>
      <c r="S18" s="1482">
        <f>F18</f>
        <v>100</v>
      </c>
      <c r="T18" s="1481" t="s">
        <v>8</v>
      </c>
      <c r="U18" s="1482">
        <f>H18</f>
        <v>100</v>
      </c>
      <c r="V18" s="1481" t="s">
        <v>8</v>
      </c>
      <c r="W18" s="1482">
        <f>J18</f>
        <v>100</v>
      </c>
      <c r="X18" s="2398"/>
      <c r="Y18" s="3774"/>
      <c r="Z18" s="2397" t="str">
        <f>Q18</f>
        <v>基础设施水平</v>
      </c>
      <c r="AA18" s="1484">
        <f t="shared" ref="AA18" si="8">D18/F18</f>
        <v>1</v>
      </c>
      <c r="AB18" s="1484">
        <f t="shared" ref="AB18" si="9">D18/H18</f>
        <v>1</v>
      </c>
      <c r="AC18" s="1484">
        <f t="shared" ref="AC18" si="10">D18/J18</f>
        <v>1</v>
      </c>
    </row>
    <row r="19" spans="1:29" ht="15">
      <c r="A19" s="491"/>
      <c r="B19" s="554"/>
      <c r="C19" s="844"/>
      <c r="D19" s="535"/>
      <c r="E19" s="552"/>
      <c r="F19" s="533"/>
      <c r="G19" s="552"/>
      <c r="H19" s="531"/>
      <c r="I19" s="552"/>
      <c r="J19" s="531"/>
      <c r="K19" s="2413"/>
      <c r="L19" s="1994"/>
      <c r="M19" s="1986"/>
      <c r="N19" s="1986"/>
      <c r="O19" s="1993"/>
      <c r="P19" s="3774"/>
      <c r="Q19" s="2396"/>
      <c r="R19" s="1481"/>
      <c r="S19" s="1482"/>
      <c r="T19" s="1481"/>
      <c r="U19" s="1482"/>
      <c r="V19" s="1481"/>
      <c r="W19" s="1482"/>
      <c r="X19" s="2398"/>
      <c r="Y19" s="3774"/>
      <c r="Z19" s="2397"/>
      <c r="AA19" s="1484">
        <v>1</v>
      </c>
      <c r="AB19" s="1484">
        <v>1</v>
      </c>
      <c r="AC19" s="1484">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4"/>
      <c r="M20" s="1986"/>
      <c r="N20" s="1986"/>
      <c r="O20" s="1993"/>
      <c r="P20" s="3774"/>
      <c r="Q20" s="1480" t="str">
        <f>B20</f>
        <v>自然及人文环境</v>
      </c>
      <c r="R20" s="1481" t="s">
        <v>8</v>
      </c>
      <c r="S20" s="1482">
        <f>F20</f>
        <v>100</v>
      </c>
      <c r="T20" s="1481" t="s">
        <v>8</v>
      </c>
      <c r="U20" s="1482">
        <f>H20</f>
        <v>100</v>
      </c>
      <c r="V20" s="1481" t="s">
        <v>8</v>
      </c>
      <c r="W20" s="1482">
        <f>J20</f>
        <v>100</v>
      </c>
      <c r="X20" s="1475"/>
      <c r="Y20" s="3774"/>
      <c r="Z20" s="1483" t="str">
        <f>Q20</f>
        <v>自然及人文环境</v>
      </c>
      <c r="AA20" s="1484">
        <f t="shared" si="3"/>
        <v>1</v>
      </c>
      <c r="AB20" s="1484">
        <f t="shared" si="4"/>
        <v>1</v>
      </c>
      <c r="AC20" s="1484">
        <f t="shared" si="5"/>
        <v>1</v>
      </c>
    </row>
    <row r="21" spans="1:29" ht="15">
      <c r="A21" s="491"/>
      <c r="B21" s="542"/>
      <c r="C21" s="552"/>
      <c r="D21" s="531"/>
      <c r="E21" s="552"/>
      <c r="F21" s="533"/>
      <c r="G21" s="552"/>
      <c r="H21" s="531"/>
      <c r="I21" s="552"/>
      <c r="J21" s="531"/>
      <c r="K21" s="870"/>
      <c r="L21" s="1994"/>
      <c r="M21" s="1986"/>
      <c r="N21" s="1986"/>
      <c r="O21" s="1993"/>
      <c r="P21" s="3774"/>
      <c r="Q21" s="1480"/>
      <c r="R21" s="1481"/>
      <c r="S21" s="1482"/>
      <c r="T21" s="1481"/>
      <c r="U21" s="1482"/>
      <c r="V21" s="1481"/>
      <c r="W21" s="1482"/>
      <c r="X21" s="1475"/>
      <c r="Y21" s="3774"/>
      <c r="Z21" s="1483"/>
      <c r="AA21" s="1484">
        <v>1</v>
      </c>
      <c r="AB21" s="1484">
        <v>1</v>
      </c>
      <c r="AC21" s="1484">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94"/>
      <c r="M22" s="1986"/>
      <c r="N22" s="1986"/>
      <c r="O22" s="1993"/>
      <c r="P22" s="3774"/>
      <c r="Q22" s="1480" t="str">
        <f>B22</f>
        <v>楼层</v>
      </c>
      <c r="R22" s="1481" t="s">
        <v>8</v>
      </c>
      <c r="S22" s="1482">
        <f>F22</f>
        <v>100</v>
      </c>
      <c r="T22" s="1481" t="s">
        <v>8</v>
      </c>
      <c r="U22" s="1482">
        <f>H22</f>
        <v>100</v>
      </c>
      <c r="V22" s="1481" t="s">
        <v>8</v>
      </c>
      <c r="W22" s="1482">
        <f>J22</f>
        <v>100</v>
      </c>
      <c r="X22" s="1475"/>
      <c r="Y22" s="3774"/>
      <c r="Z22" s="1483" t="str">
        <f>Q22</f>
        <v>楼层</v>
      </c>
      <c r="AA22" s="1484">
        <f t="shared" si="3"/>
        <v>1</v>
      </c>
      <c r="AB22" s="1484">
        <f t="shared" si="4"/>
        <v>1</v>
      </c>
      <c r="AC22" s="1484">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4"/>
      <c r="M23" s="1986"/>
      <c r="N23" s="1986"/>
      <c r="O23" s="1993"/>
      <c r="P23" s="3774"/>
      <c r="Q23" s="1480">
        <f>B23</f>
        <v>111</v>
      </c>
      <c r="R23" s="1481" t="s">
        <v>8</v>
      </c>
      <c r="S23" s="1482">
        <f>F23</f>
        <v>100</v>
      </c>
      <c r="T23" s="1481" t="s">
        <v>8</v>
      </c>
      <c r="U23" s="1482">
        <f>H23</f>
        <v>100</v>
      </c>
      <c r="V23" s="1481" t="s">
        <v>8</v>
      </c>
      <c r="W23" s="1482">
        <f>J23</f>
        <v>100</v>
      </c>
      <c r="X23" s="1475"/>
      <c r="Y23" s="3774"/>
      <c r="Z23" s="1483">
        <f>Q23</f>
        <v>111</v>
      </c>
      <c r="AA23" s="1484">
        <f t="shared" si="3"/>
        <v>1</v>
      </c>
      <c r="AB23" s="1484">
        <f t="shared" si="4"/>
        <v>1</v>
      </c>
      <c r="AC23" s="1484">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4"/>
      <c r="M24" s="1986"/>
      <c r="N24" s="1986"/>
      <c r="O24" s="1993"/>
      <c r="P24" s="3774"/>
      <c r="Q24" s="1480">
        <f t="shared" ref="Q24:Q36" si="11">B24</f>
        <v>111</v>
      </c>
      <c r="R24" s="1481" t="s">
        <v>8</v>
      </c>
      <c r="S24" s="1482">
        <f>F24</f>
        <v>100</v>
      </c>
      <c r="T24" s="1481" t="s">
        <v>8</v>
      </c>
      <c r="U24" s="1482">
        <f>H24</f>
        <v>100</v>
      </c>
      <c r="V24" s="1481" t="s">
        <v>8</v>
      </c>
      <c r="W24" s="1482">
        <f>J24</f>
        <v>100</v>
      </c>
      <c r="X24" s="1475"/>
      <c r="Y24" s="3774"/>
      <c r="Z24" s="1483">
        <f>Q24</f>
        <v>111</v>
      </c>
      <c r="AA24" s="1484">
        <f t="shared" si="3"/>
        <v>1</v>
      </c>
      <c r="AB24" s="1484">
        <f t="shared" si="4"/>
        <v>1</v>
      </c>
      <c r="AC24" s="1484">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7"/>
      <c r="M25" s="1988"/>
      <c r="N25" s="1988"/>
      <c r="O25" s="1989"/>
      <c r="P25" s="3774"/>
      <c r="Q25" s="1116">
        <f t="shared" si="11"/>
        <v>111</v>
      </c>
      <c r="R25" s="1476" t="s">
        <v>8</v>
      </c>
      <c r="S25" s="1477">
        <f>F25</f>
        <v>100</v>
      </c>
      <c r="T25" s="1476" t="s">
        <v>8</v>
      </c>
      <c r="U25" s="1477">
        <f>H25</f>
        <v>100</v>
      </c>
      <c r="V25" s="1476" t="s">
        <v>8</v>
      </c>
      <c r="W25" s="1477">
        <f>J25</f>
        <v>100</v>
      </c>
      <c r="X25" s="1478"/>
      <c r="Y25" s="3774"/>
      <c r="Z25" s="1115">
        <f>Q25</f>
        <v>111</v>
      </c>
      <c r="AA25" s="1484">
        <f>D25/F25</f>
        <v>1</v>
      </c>
      <c r="AB25" s="1484">
        <f>D25/H25</f>
        <v>1</v>
      </c>
      <c r="AC25" s="1484">
        <f>D25/J25</f>
        <v>1</v>
      </c>
    </row>
    <row r="26" spans="1:29" ht="15">
      <c r="A26" s="2591" t="s">
        <v>2706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4"/>
      <c r="M26" s="1986"/>
      <c r="N26" s="1986"/>
      <c r="O26" s="1993"/>
      <c r="P26" s="3775" t="s">
        <v>527</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776" t="s">
        <v>527</v>
      </c>
      <c r="Z26" s="1483" t="str">
        <f t="shared" ref="Z26:Z36" si="15">Q26</f>
        <v>配套类型</v>
      </c>
      <c r="AA26" s="1484">
        <f t="shared" si="3"/>
        <v>1</v>
      </c>
      <c r="AB26" s="1484">
        <f t="shared" si="4"/>
        <v>1</v>
      </c>
      <c r="AC26" s="1484">
        <f t="shared" si="5"/>
        <v>1</v>
      </c>
    </row>
    <row r="27" spans="1:29" s="1267"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92"/>
      <c r="M27" s="2022"/>
      <c r="N27" s="2022"/>
      <c r="O27" s="1995"/>
      <c r="P27" s="3776"/>
      <c r="Q27" s="1509" t="str">
        <f t="shared" si="11"/>
        <v>项目停车位配比</v>
      </c>
      <c r="R27" s="1485" t="s">
        <v>8</v>
      </c>
      <c r="S27" s="1486">
        <f t="shared" si="12"/>
        <v>100</v>
      </c>
      <c r="T27" s="1485" t="s">
        <v>8</v>
      </c>
      <c r="U27" s="1486">
        <f t="shared" si="13"/>
        <v>100</v>
      </c>
      <c r="V27" s="1485" t="s">
        <v>8</v>
      </c>
      <c r="W27" s="1486">
        <f t="shared" si="14"/>
        <v>100</v>
      </c>
      <c r="X27" s="1487"/>
      <c r="Y27" s="3776"/>
      <c r="Z27" s="1488" t="str">
        <f t="shared" si="15"/>
        <v>项目停车位配比</v>
      </c>
      <c r="AA27" s="1484">
        <f t="shared" si="3"/>
        <v>1</v>
      </c>
      <c r="AB27" s="1484">
        <f t="shared" si="4"/>
        <v>1</v>
      </c>
      <c r="AC27" s="1484">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94"/>
      <c r="M28" s="1986"/>
      <c r="N28" s="1986"/>
      <c r="O28" s="1993"/>
      <c r="P28" s="3776"/>
      <c r="Q28" s="1480" t="str">
        <f t="shared" si="11"/>
        <v>公共部分装修</v>
      </c>
      <c r="R28" s="1481" t="s">
        <v>8</v>
      </c>
      <c r="S28" s="1482">
        <f t="shared" si="12"/>
        <v>100</v>
      </c>
      <c r="T28" s="1481" t="s">
        <v>8</v>
      </c>
      <c r="U28" s="1482">
        <f t="shared" si="13"/>
        <v>100</v>
      </c>
      <c r="V28" s="1481" t="s">
        <v>8</v>
      </c>
      <c r="W28" s="1482">
        <f t="shared" si="14"/>
        <v>100</v>
      </c>
      <c r="X28" s="1475"/>
      <c r="Y28" s="3776"/>
      <c r="Z28" s="1483" t="str">
        <f t="shared" si="15"/>
        <v>公共部分装修</v>
      </c>
      <c r="AA28" s="1484">
        <f t="shared" si="3"/>
        <v>1</v>
      </c>
      <c r="AB28" s="1484">
        <f t="shared" si="4"/>
        <v>1</v>
      </c>
      <c r="AC28" s="1484">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4"/>
      <c r="M29" s="1986"/>
      <c r="N29" s="1986"/>
      <c r="O29" s="1993"/>
      <c r="P29" s="3776"/>
      <c r="Q29" s="1480" t="str">
        <f t="shared" si="11"/>
        <v>成新率</v>
      </c>
      <c r="R29" s="1481" t="s">
        <v>8</v>
      </c>
      <c r="S29" s="1482" t="e">
        <f t="shared" si="12"/>
        <v>#N/A</v>
      </c>
      <c r="T29" s="1481" t="s">
        <v>8</v>
      </c>
      <c r="U29" s="1482" t="e">
        <f t="shared" si="13"/>
        <v>#N/A</v>
      </c>
      <c r="V29" s="1481" t="s">
        <v>8</v>
      </c>
      <c r="W29" s="1482" t="e">
        <f t="shared" si="14"/>
        <v>#N/A</v>
      </c>
      <c r="X29" s="1475"/>
      <c r="Y29" s="3776"/>
      <c r="Z29" s="1483" t="str">
        <f t="shared" si="15"/>
        <v>成新率</v>
      </c>
      <c r="AA29" s="1484" t="e">
        <f t="shared" si="3"/>
        <v>#N/A</v>
      </c>
      <c r="AB29" s="1484" t="e">
        <f t="shared" si="4"/>
        <v>#N/A</v>
      </c>
      <c r="AC29" s="1484"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94"/>
      <c r="M30" s="1986"/>
      <c r="N30" s="1986"/>
      <c r="O30" s="1993"/>
      <c r="P30" s="3776"/>
      <c r="Q30" s="1480" t="str">
        <f t="shared" si="11"/>
        <v>物业等级</v>
      </c>
      <c r="R30" s="1481" t="s">
        <v>8</v>
      </c>
      <c r="S30" s="1482">
        <f t="shared" si="12"/>
        <v>100</v>
      </c>
      <c r="T30" s="1481" t="s">
        <v>8</v>
      </c>
      <c r="U30" s="1482">
        <f t="shared" si="13"/>
        <v>100</v>
      </c>
      <c r="V30" s="1481" t="s">
        <v>8</v>
      </c>
      <c r="W30" s="1482">
        <f t="shared" si="14"/>
        <v>100</v>
      </c>
      <c r="X30" s="1475"/>
      <c r="Y30" s="3776"/>
      <c r="Z30" s="1483" t="str">
        <f t="shared" si="15"/>
        <v>物业等级</v>
      </c>
      <c r="AA30" s="1484">
        <f t="shared" si="3"/>
        <v>1</v>
      </c>
      <c r="AB30" s="1484">
        <f t="shared" si="4"/>
        <v>1</v>
      </c>
      <c r="AC30" s="1484">
        <f t="shared" si="5"/>
        <v>1</v>
      </c>
    </row>
    <row r="31" spans="1:29" s="1185"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7"/>
      <c r="M31" s="1988"/>
      <c r="N31" s="1988"/>
      <c r="O31" s="1989"/>
      <c r="P31" s="3776"/>
      <c r="Q31" s="1116" t="str">
        <f t="shared" si="11"/>
        <v>停车位面积</v>
      </c>
      <c r="R31" s="1476" t="s">
        <v>8</v>
      </c>
      <c r="S31" s="1477" t="e">
        <f t="shared" si="12"/>
        <v>#N/A</v>
      </c>
      <c r="T31" s="1476" t="s">
        <v>8</v>
      </c>
      <c r="U31" s="1477" t="e">
        <f t="shared" si="13"/>
        <v>#N/A</v>
      </c>
      <c r="V31" s="1476" t="s">
        <v>8</v>
      </c>
      <c r="W31" s="1477" t="e">
        <f t="shared" si="14"/>
        <v>#N/A</v>
      </c>
      <c r="X31" s="1478"/>
      <c r="Y31" s="3776"/>
      <c r="Z31" s="1115" t="str">
        <f t="shared" si="15"/>
        <v>停车位面积</v>
      </c>
      <c r="AA31" s="1479" t="e">
        <f t="shared" si="3"/>
        <v>#N/A</v>
      </c>
      <c r="AB31" s="1479" t="e">
        <f t="shared" si="4"/>
        <v>#N/A</v>
      </c>
      <c r="AC31" s="1479"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94"/>
      <c r="M32" s="1986"/>
      <c r="N32" s="1986"/>
      <c r="O32" s="1993"/>
      <c r="P32" s="3776" t="s">
        <v>527</v>
      </c>
      <c r="Q32" s="1480" t="str">
        <f t="shared" si="11"/>
        <v>车位类型</v>
      </c>
      <c r="R32" s="1481" t="s">
        <v>8</v>
      </c>
      <c r="S32" s="1482">
        <f t="shared" si="12"/>
        <v>100</v>
      </c>
      <c r="T32" s="1481" t="s">
        <v>8</v>
      </c>
      <c r="U32" s="1482">
        <f t="shared" si="13"/>
        <v>100</v>
      </c>
      <c r="V32" s="1481" t="s">
        <v>8</v>
      </c>
      <c r="W32" s="1482">
        <f t="shared" si="14"/>
        <v>100</v>
      </c>
      <c r="X32" s="1475"/>
      <c r="Y32" s="3776" t="s">
        <v>527</v>
      </c>
      <c r="Z32" s="1483" t="str">
        <f t="shared" si="15"/>
        <v>车位类型</v>
      </c>
      <c r="AA32" s="1484">
        <f t="shared" si="3"/>
        <v>1</v>
      </c>
      <c r="AB32" s="1484">
        <f t="shared" si="4"/>
        <v>1</v>
      </c>
      <c r="AC32" s="1484">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94"/>
      <c r="M33" s="1986"/>
      <c r="N33" s="1986"/>
      <c r="O33" s="1993"/>
      <c r="P33" s="3776"/>
      <c r="Q33" s="1480" t="str">
        <f t="shared" si="11"/>
        <v>是否直接入户</v>
      </c>
      <c r="R33" s="1481" t="s">
        <v>8</v>
      </c>
      <c r="S33" s="1482">
        <f t="shared" si="12"/>
        <v>100</v>
      </c>
      <c r="T33" s="1481" t="s">
        <v>8</v>
      </c>
      <c r="U33" s="1482">
        <f t="shared" si="13"/>
        <v>100</v>
      </c>
      <c r="V33" s="1481" t="s">
        <v>8</v>
      </c>
      <c r="W33" s="1482">
        <f t="shared" si="14"/>
        <v>100</v>
      </c>
      <c r="X33" s="1475"/>
      <c r="Y33" s="3776"/>
      <c r="Z33" s="1483" t="str">
        <f t="shared" si="15"/>
        <v>是否直接入户</v>
      </c>
      <c r="AA33" s="1484">
        <f t="shared" si="3"/>
        <v>1</v>
      </c>
      <c r="AB33" s="1484">
        <f t="shared" si="4"/>
        <v>1</v>
      </c>
      <c r="AC33" s="1484">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4"/>
      <c r="M34" s="1986"/>
      <c r="N34" s="1986"/>
      <c r="O34" s="1993"/>
      <c r="P34" s="3776"/>
      <c r="Q34" s="1480">
        <f t="shared" si="11"/>
        <v>111</v>
      </c>
      <c r="R34" s="1481" t="s">
        <v>8</v>
      </c>
      <c r="S34" s="1482">
        <f t="shared" si="12"/>
        <v>100</v>
      </c>
      <c r="T34" s="1481" t="s">
        <v>8</v>
      </c>
      <c r="U34" s="1482">
        <f t="shared" si="13"/>
        <v>100</v>
      </c>
      <c r="V34" s="1481" t="s">
        <v>8</v>
      </c>
      <c r="W34" s="1482">
        <f t="shared" si="14"/>
        <v>100</v>
      </c>
      <c r="X34" s="1475"/>
      <c r="Y34" s="3776"/>
      <c r="Z34" s="1483">
        <f t="shared" si="15"/>
        <v>111</v>
      </c>
      <c r="AA34" s="1484">
        <f t="shared" si="3"/>
        <v>1</v>
      </c>
      <c r="AB34" s="1484">
        <f t="shared" si="4"/>
        <v>1</v>
      </c>
      <c r="AC34" s="1484">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2"/>
      <c r="M35" s="2022"/>
      <c r="N35" s="2022"/>
      <c r="O35" s="1995"/>
      <c r="P35" s="3776"/>
      <c r="Q35" s="1509">
        <f t="shared" si="11"/>
        <v>111</v>
      </c>
      <c r="R35" s="1485" t="s">
        <v>8</v>
      </c>
      <c r="S35" s="1486">
        <f t="shared" si="12"/>
        <v>100</v>
      </c>
      <c r="T35" s="1485" t="s">
        <v>8</v>
      </c>
      <c r="U35" s="1486">
        <f t="shared" si="13"/>
        <v>100</v>
      </c>
      <c r="V35" s="1485" t="s">
        <v>8</v>
      </c>
      <c r="W35" s="1486">
        <f t="shared" si="14"/>
        <v>100</v>
      </c>
      <c r="X35" s="1487"/>
      <c r="Y35" s="3776"/>
      <c r="Z35" s="1488">
        <f t="shared" si="15"/>
        <v>111</v>
      </c>
      <c r="AA35" s="1484">
        <f t="shared" si="3"/>
        <v>1</v>
      </c>
      <c r="AB35" s="1484">
        <f t="shared" si="4"/>
        <v>1</v>
      </c>
      <c r="AC35" s="1484">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4"/>
      <c r="M36" s="1986"/>
      <c r="N36" s="1986"/>
      <c r="O36" s="1993"/>
      <c r="P36" s="3776"/>
      <c r="Q36" s="1480">
        <f t="shared" si="11"/>
        <v>111</v>
      </c>
      <c r="R36" s="1481" t="s">
        <v>8</v>
      </c>
      <c r="S36" s="1482">
        <f t="shared" si="12"/>
        <v>100</v>
      </c>
      <c r="T36" s="1481" t="s">
        <v>8</v>
      </c>
      <c r="U36" s="1482">
        <f t="shared" si="13"/>
        <v>100</v>
      </c>
      <c r="V36" s="1481" t="s">
        <v>8</v>
      </c>
      <c r="W36" s="1482">
        <f t="shared" si="14"/>
        <v>100</v>
      </c>
      <c r="X36" s="1475"/>
      <c r="Y36" s="3776"/>
      <c r="Z36" s="1483">
        <f t="shared" si="15"/>
        <v>111</v>
      </c>
      <c r="AA36" s="1484">
        <f t="shared" si="3"/>
        <v>1</v>
      </c>
      <c r="AB36" s="1484">
        <f t="shared" si="4"/>
        <v>1</v>
      </c>
      <c r="AC36" s="1484">
        <f t="shared" si="5"/>
        <v>1</v>
      </c>
    </row>
    <row r="37" spans="1:29" ht="15">
      <c r="A37" s="1732" t="s">
        <v>2042</v>
      </c>
      <c r="B37" s="1733" t="s">
        <v>2043</v>
      </c>
      <c r="C37" s="2437" t="s">
        <v>1</v>
      </c>
      <c r="D37" s="2438"/>
      <c r="E37" s="2439"/>
      <c r="F37" s="2440"/>
      <c r="G37" s="2441"/>
      <c r="H37" s="2442"/>
      <c r="I37" s="2439"/>
      <c r="J37" s="2442"/>
      <c r="K37" s="1514"/>
      <c r="L37" s="1996"/>
      <c r="M37" s="1997"/>
      <c r="N37" s="1986"/>
      <c r="O37" s="1997"/>
      <c r="P37" s="3771" t="str">
        <f>A37</f>
        <v>成交单价</v>
      </c>
      <c r="Q37" s="3771"/>
      <c r="R37" s="3913">
        <f>E37</f>
        <v>0</v>
      </c>
      <c r="S37" s="3913"/>
      <c r="T37" s="3913">
        <f>G37</f>
        <v>0</v>
      </c>
      <c r="U37" s="3913"/>
      <c r="V37" s="3913">
        <f>I37</f>
        <v>0</v>
      </c>
      <c r="W37" s="3913"/>
      <c r="X37" s="1470"/>
      <c r="Y37" s="1489"/>
      <c r="Z37" s="1470"/>
      <c r="AA37" s="1470"/>
      <c r="AB37" s="1470"/>
      <c r="AC37" s="1470"/>
    </row>
    <row r="38" spans="1:29" ht="15.75" thickBot="1">
      <c r="A38" s="591" t="s">
        <v>2711</v>
      </c>
      <c r="B38" s="859"/>
      <c r="C38" s="2443" t="e">
        <f>R39</f>
        <v>#DIV/0!</v>
      </c>
      <c r="D38" s="2977" t="s">
        <v>2935</v>
      </c>
      <c r="E38" s="2444" t="e">
        <f>R38</f>
        <v>#DIV/0!</v>
      </c>
      <c r="F38" s="2978"/>
      <c r="G38" s="2443" t="e">
        <f>T38</f>
        <v>#DIV/0!</v>
      </c>
      <c r="H38" s="2978"/>
      <c r="I38" s="2444" t="e">
        <f>V38</f>
        <v>#DIV/0!</v>
      </c>
      <c r="J38" s="2978"/>
      <c r="K38" s="2986">
        <f>F38+H38+J38</f>
        <v>0</v>
      </c>
      <c r="L38" s="1996"/>
      <c r="M38" s="1997"/>
      <c r="N38" s="1997"/>
      <c r="O38" s="1997"/>
      <c r="P38" s="3771" t="str">
        <f>A38</f>
        <v>比较价格（元/平方米）</v>
      </c>
      <c r="Q38" s="3771"/>
      <c r="R38" s="3913" t="e">
        <f>IF(F1="售价",ROUND(PRODUCT(R37,AA7:AA36),0),ROUND(PRODUCT(R37,AA7:AA36),1))</f>
        <v>#DIV/0!</v>
      </c>
      <c r="S38" s="3913"/>
      <c r="T38" s="3913" t="e">
        <f>IF(F1="售价",ROUND(PRODUCT(T37,AB7:AB36),0),ROUND(PRODUCT(T37,AB7:AB36),1))</f>
        <v>#DIV/0!</v>
      </c>
      <c r="U38" s="3913"/>
      <c r="V38" s="3913" t="e">
        <f>IF(F1="售价",ROUND(PRODUCT(V37,AC7:AC36),0),ROUND(PRODUCT(V37,AC7:AC36),1))</f>
        <v>#DIV/0!</v>
      </c>
      <c r="W38" s="3913"/>
      <c r="X38" s="1470"/>
      <c r="Y38" s="1470"/>
      <c r="Z38" s="1470"/>
      <c r="AA38" s="1470"/>
      <c r="AB38" s="1470"/>
      <c r="AC38" s="1470"/>
    </row>
    <row r="39" spans="1:29" ht="15.75" thickBot="1">
      <c r="A39" s="595" t="s">
        <v>2871</v>
      </c>
      <c r="B39" s="596"/>
      <c r="C39" s="2445" t="e">
        <f>R39</f>
        <v>#DIV/0!</v>
      </c>
      <c r="D39" s="2445"/>
      <c r="E39" s="2445"/>
      <c r="F39" s="2445"/>
      <c r="G39" s="2445"/>
      <c r="H39" s="2445"/>
      <c r="I39" s="2445"/>
      <c r="J39" s="2445"/>
      <c r="K39" s="1515"/>
      <c r="L39" s="1996"/>
      <c r="M39" s="1997"/>
      <c r="N39" s="1997"/>
      <c r="O39" s="1997"/>
      <c r="P39" s="3792" t="str">
        <f>A39</f>
        <v>估价对象XX用房的比较价格（楼面单价，元/平方米）</v>
      </c>
      <c r="Q39" s="3793"/>
      <c r="R39" s="3912" t="e">
        <f>IF(F1="售价",ROUND(IF(D38="简单平均",AVERAGE(R38:W38),R38*F38+T38*H38+V38*J38),0),ROUND(IF(D38="简单平均",AVERAGE(R38:V38),R38*F38+T38*H38+V38*J38),1))</f>
        <v>#DIV/0!</v>
      </c>
      <c r="S39" s="3912"/>
      <c r="T39" s="3912"/>
      <c r="U39" s="3912"/>
      <c r="V39" s="3912"/>
      <c r="W39" s="3912"/>
      <c r="X39" s="1470"/>
      <c r="Y39" s="1470"/>
      <c r="Z39" s="1470"/>
      <c r="AA39" s="1470"/>
      <c r="AB39" s="1470"/>
      <c r="AC39" s="1470"/>
    </row>
    <row r="40" spans="1:29">
      <c r="A40" s="3176"/>
      <c r="B40" s="3176"/>
      <c r="C40" s="3176"/>
      <c r="D40" s="3176"/>
      <c r="E40" s="3176"/>
      <c r="F40" s="3176"/>
      <c r="G40" s="3178"/>
      <c r="H40" s="3176"/>
      <c r="I40" s="3176"/>
      <c r="J40" s="3176"/>
      <c r="K40" s="3179"/>
      <c r="L40" s="2001"/>
      <c r="M40" s="1997"/>
      <c r="N40" s="1997"/>
      <c r="O40" s="1997"/>
      <c r="P40" s="1997"/>
      <c r="Q40" s="1997"/>
      <c r="R40" s="1997"/>
      <c r="S40" s="1997"/>
      <c r="T40" s="1997"/>
      <c r="U40" s="1997"/>
      <c r="V40" s="1997"/>
      <c r="W40" s="1997"/>
      <c r="X40" s="1997"/>
      <c r="Y40" s="1997"/>
      <c r="Z40" s="1997"/>
      <c r="AA40" s="1997"/>
      <c r="AB40" s="1997"/>
      <c r="AC40" s="1997"/>
    </row>
    <row r="41" spans="1:29">
      <c r="A41" s="3176"/>
      <c r="B41" s="3176"/>
      <c r="C41" s="3176"/>
      <c r="D41" s="3176"/>
      <c r="E41" s="3176"/>
      <c r="F41" s="3176"/>
      <c r="G41" s="3176"/>
      <c r="H41" s="3176"/>
      <c r="I41" s="3176"/>
      <c r="J41" s="3176"/>
      <c r="K41" s="317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6"/>
      <c r="B42" s="3176"/>
      <c r="C42" s="598" t="s">
        <v>534</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6"/>
      <c r="B43" s="3176"/>
      <c r="C43" s="598" t="s">
        <v>535</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1"/>
      <c r="M43" s="1997"/>
      <c r="N43" s="1997"/>
      <c r="O43" s="1997"/>
      <c r="P43" s="1997"/>
      <c r="Q43" s="1997"/>
      <c r="R43" s="1997"/>
      <c r="S43" s="1997"/>
      <c r="T43" s="1997"/>
      <c r="U43" s="1997"/>
      <c r="V43" s="1997"/>
      <c r="W43" s="1997"/>
      <c r="X43" s="1997"/>
      <c r="Y43" s="1997"/>
      <c r="Z43" s="1997"/>
      <c r="AA43" s="1997"/>
      <c r="AB43" s="1997"/>
      <c r="AC43" s="1997"/>
    </row>
    <row r="44" spans="1:29" s="1272" customFormat="1" ht="13.5" customHeight="1">
      <c r="A44" s="3177"/>
      <c r="B44" s="3177"/>
      <c r="C44" s="598" t="s">
        <v>536</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4"/>
      <c r="M44" s="1998"/>
      <c r="N44" s="1998"/>
      <c r="O44" s="1998"/>
      <c r="P44" s="1998"/>
      <c r="Q44" s="1998"/>
      <c r="R44" s="1998"/>
      <c r="S44" s="1998"/>
      <c r="T44" s="1998"/>
      <c r="U44" s="1998"/>
      <c r="V44" s="1998"/>
      <c r="W44" s="1998"/>
      <c r="X44" s="1998"/>
      <c r="Y44" s="1998"/>
      <c r="Z44" s="1998"/>
      <c r="AA44" s="1998"/>
      <c r="AB44" s="1998"/>
      <c r="AC44" s="1998"/>
    </row>
    <row r="45" spans="1:29" s="1272"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2" t="s">
        <v>551</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4" customFormat="1" ht="15">
      <c r="A48" s="619" t="s">
        <v>506</v>
      </c>
      <c r="B48" s="620"/>
      <c r="C48" s="2486" t="str">
        <f>YEAR(C7)&amp;"-"&amp;MONTH(C7)</f>
        <v>2022-3</v>
      </c>
      <c r="D48" s="2488">
        <f>EDATE(C48,-1)</f>
        <v>44593</v>
      </c>
      <c r="E48" s="2488">
        <f t="shared" ref="E48:O48" si="16">EDATE(D48,-1)</f>
        <v>44562</v>
      </c>
      <c r="F48" s="2488">
        <f t="shared" si="16"/>
        <v>44531</v>
      </c>
      <c r="G48" s="2488">
        <f t="shared" si="16"/>
        <v>44501</v>
      </c>
      <c r="H48" s="2488">
        <f t="shared" si="16"/>
        <v>44470</v>
      </c>
      <c r="I48" s="2488">
        <f t="shared" si="16"/>
        <v>44440</v>
      </c>
      <c r="J48" s="2488">
        <f t="shared" si="16"/>
        <v>44409</v>
      </c>
      <c r="K48" s="2488">
        <f t="shared" si="16"/>
        <v>44378</v>
      </c>
      <c r="L48" s="2488">
        <f t="shared" si="16"/>
        <v>44348</v>
      </c>
      <c r="M48" s="2488">
        <f t="shared" si="16"/>
        <v>44317</v>
      </c>
      <c r="N48" s="2488">
        <f t="shared" si="16"/>
        <v>44287</v>
      </c>
      <c r="O48" s="2488">
        <f t="shared" si="16"/>
        <v>44256</v>
      </c>
      <c r="P48" s="2011"/>
      <c r="Q48" s="2012"/>
      <c r="R48" s="2012"/>
      <c r="S48" s="2012"/>
      <c r="T48" s="2012"/>
      <c r="U48" s="2012"/>
      <c r="V48" s="2012"/>
      <c r="W48" s="2012"/>
      <c r="X48" s="2012"/>
      <c r="Y48" s="2012"/>
      <c r="Z48" s="2012"/>
      <c r="AA48" s="2012"/>
      <c r="AB48" s="2012"/>
      <c r="AC48" s="2012"/>
    </row>
    <row r="49" spans="1:29" s="1185" customFormat="1" ht="15">
      <c r="A49" s="621"/>
      <c r="B49" s="622"/>
      <c r="C49" s="2487">
        <v>100</v>
      </c>
      <c r="D49" s="624"/>
      <c r="E49" s="624"/>
      <c r="F49" s="624"/>
      <c r="G49" s="624"/>
      <c r="H49" s="624"/>
      <c r="I49" s="624"/>
      <c r="J49" s="624"/>
      <c r="K49" s="624"/>
      <c r="L49" s="624"/>
      <c r="M49" s="625"/>
      <c r="N49" s="624"/>
      <c r="O49" s="626"/>
      <c r="P49" s="2009"/>
      <c r="Q49" s="1876"/>
      <c r="R49" s="1876"/>
      <c r="S49" s="1876"/>
      <c r="T49" s="1876"/>
      <c r="U49" s="1876"/>
      <c r="V49" s="1876"/>
      <c r="W49" s="1876"/>
      <c r="X49" s="1876"/>
      <c r="Y49" s="1876"/>
      <c r="Z49" s="1876"/>
      <c r="AA49" s="1876"/>
      <c r="AB49" s="1876"/>
      <c r="AC49" s="1876"/>
    </row>
    <row r="50" spans="1:29" s="1185" customFormat="1" ht="15.75" thickBot="1">
      <c r="A50" s="627" t="s">
        <v>552</v>
      </c>
      <c r="B50" s="628"/>
      <c r="C50" s="629"/>
      <c r="D50" s="630"/>
      <c r="E50" s="630"/>
      <c r="F50" s="630"/>
      <c r="G50" s="630"/>
      <c r="H50" s="630"/>
      <c r="I50" s="630"/>
      <c r="J50" s="630"/>
      <c r="K50" s="630"/>
      <c r="L50" s="630"/>
      <c r="M50" s="631"/>
      <c r="N50" s="630"/>
      <c r="O50" s="632"/>
      <c r="P50" s="2009"/>
      <c r="Q50" s="2009"/>
      <c r="R50" s="1876"/>
      <c r="S50" s="1876"/>
      <c r="T50" s="1876"/>
      <c r="U50" s="1876"/>
      <c r="V50" s="1876"/>
      <c r="W50" s="1876"/>
      <c r="X50" s="1876"/>
      <c r="Y50" s="1876"/>
      <c r="Z50" s="1876"/>
      <c r="AA50" s="1876"/>
      <c r="AB50" s="1876"/>
      <c r="AC50" s="1876"/>
    </row>
    <row r="51" spans="1:29" s="1185" customFormat="1" ht="15">
      <c r="A51" s="633" t="s">
        <v>508</v>
      </c>
      <c r="B51" s="622"/>
      <c r="C51" s="634" t="s">
        <v>553</v>
      </c>
      <c r="D51" s="635"/>
      <c r="E51" s="635"/>
      <c r="F51" s="635"/>
      <c r="G51" s="635"/>
      <c r="H51" s="635"/>
      <c r="I51" s="635"/>
      <c r="J51" s="635"/>
      <c r="K51" s="635"/>
      <c r="L51" s="636"/>
      <c r="M51" s="637"/>
      <c r="N51" s="2013"/>
      <c r="O51" s="2013"/>
      <c r="P51" s="2014"/>
      <c r="Q51" s="2009"/>
      <c r="R51" s="1876"/>
      <c r="S51" s="1876"/>
      <c r="T51" s="1876"/>
      <c r="U51" s="1876"/>
      <c r="V51" s="1876"/>
      <c r="W51" s="1876"/>
      <c r="X51" s="1876"/>
      <c r="Y51" s="1876"/>
      <c r="Z51" s="1876"/>
      <c r="AA51" s="1876"/>
      <c r="AB51" s="1876"/>
      <c r="AC51" s="1876"/>
    </row>
    <row r="52" spans="1:29" s="1185" customFormat="1" ht="15.75" thickBot="1">
      <c r="A52" s="633"/>
      <c r="B52" s="622"/>
      <c r="C52" s="623">
        <v>100</v>
      </c>
      <c r="D52" s="624"/>
      <c r="E52" s="624"/>
      <c r="F52" s="624"/>
      <c r="G52" s="624"/>
      <c r="H52" s="624"/>
      <c r="I52" s="624"/>
      <c r="J52" s="624"/>
      <c r="K52" s="624"/>
      <c r="L52" s="624"/>
      <c r="M52" s="626"/>
      <c r="N52" s="2013"/>
      <c r="O52" s="2013"/>
      <c r="P52" s="2009"/>
      <c r="Q52" s="2009"/>
      <c r="R52" s="1876"/>
      <c r="S52" s="1876"/>
      <c r="T52" s="1876"/>
      <c r="U52" s="1876"/>
      <c r="V52" s="1876"/>
      <c r="W52" s="1876"/>
      <c r="X52" s="1876"/>
      <c r="Y52" s="1876"/>
      <c r="Z52" s="1876"/>
      <c r="AA52" s="1876"/>
      <c r="AB52" s="1876"/>
      <c r="AC52" s="1876"/>
    </row>
    <row r="53" spans="1:29">
      <c r="A53" s="638" t="s">
        <v>554</v>
      </c>
      <c r="B53" s="639" t="s">
        <v>511</v>
      </c>
      <c r="C53" s="678">
        <f>C9</f>
        <v>0</v>
      </c>
      <c r="D53" s="574"/>
      <c r="E53" s="574"/>
      <c r="F53" s="574"/>
      <c r="G53" s="574"/>
      <c r="H53" s="574"/>
      <c r="I53" s="574"/>
      <c r="J53" s="574"/>
      <c r="K53" s="640"/>
      <c r="L53" s="641"/>
      <c r="M53" s="642"/>
      <c r="N53" s="2015"/>
      <c r="O53" s="2015"/>
      <c r="P53" s="2016"/>
      <c r="Q53" s="2009"/>
      <c r="R53" s="1997"/>
      <c r="S53" s="1997"/>
      <c r="T53" s="1997"/>
      <c r="U53" s="1997"/>
      <c r="V53" s="1997"/>
      <c r="W53" s="1997"/>
      <c r="X53" s="1997"/>
      <c r="Y53" s="1997"/>
      <c r="Z53" s="1997"/>
      <c r="AA53" s="1997"/>
      <c r="AB53" s="1997"/>
      <c r="AC53" s="1997"/>
    </row>
    <row r="54" spans="1:29" ht="15.75" thickBot="1">
      <c r="A54" s="643"/>
      <c r="B54" s="644"/>
      <c r="C54" s="645"/>
      <c r="D54" s="645"/>
      <c r="E54" s="645"/>
      <c r="F54" s="645"/>
      <c r="G54" s="645"/>
      <c r="H54" s="645"/>
      <c r="I54" s="645"/>
      <c r="J54" s="645"/>
      <c r="K54" s="645"/>
      <c r="L54" s="645"/>
      <c r="M54" s="646"/>
      <c r="N54" s="2017"/>
      <c r="O54" s="2017"/>
      <c r="P54" s="2016"/>
      <c r="Q54" s="2009"/>
      <c r="R54" s="1997"/>
      <c r="S54" s="1997"/>
      <c r="T54" s="1997"/>
      <c r="U54" s="1997"/>
      <c r="V54" s="1997"/>
      <c r="W54" s="1997"/>
      <c r="X54" s="1997"/>
      <c r="Y54" s="1997"/>
      <c r="Z54" s="1997"/>
      <c r="AA54" s="1997"/>
      <c r="AB54" s="1997"/>
      <c r="AC54" s="1997"/>
    </row>
    <row r="55" spans="1:29" ht="27.75" thickTop="1">
      <c r="A55" s="643"/>
      <c r="B55" s="647" t="s">
        <v>514</v>
      </c>
      <c r="C55" s="648" t="s">
        <v>714</v>
      </c>
      <c r="D55" s="648" t="s">
        <v>715</v>
      </c>
      <c r="E55" s="648" t="s">
        <v>716</v>
      </c>
      <c r="F55" s="648" t="s">
        <v>717</v>
      </c>
      <c r="G55" s="648" t="s">
        <v>718</v>
      </c>
      <c r="H55" s="648" t="s">
        <v>719</v>
      </c>
      <c r="I55" s="648" t="s">
        <v>720</v>
      </c>
      <c r="J55" s="648"/>
      <c r="K55" s="649"/>
      <c r="L55" s="650"/>
      <c r="M55" s="651"/>
      <c r="N55" s="2015"/>
      <c r="O55" s="2015"/>
      <c r="P55" s="2016"/>
      <c r="Q55" s="2009"/>
      <c r="R55" s="1997"/>
      <c r="S55" s="1997"/>
      <c r="T55" s="1997"/>
      <c r="U55" s="1997"/>
      <c r="V55" s="1997"/>
      <c r="W55" s="1997"/>
      <c r="X55" s="1997"/>
      <c r="Y55" s="1997"/>
      <c r="Z55" s="1997"/>
      <c r="AA55" s="1997"/>
      <c r="AB55" s="1997"/>
      <c r="AC55" s="1997"/>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7"/>
      <c r="O56" s="2017"/>
      <c r="P56" s="2016"/>
      <c r="Q56" s="2009"/>
      <c r="R56" s="1997"/>
      <c r="S56" s="1997"/>
      <c r="T56" s="1997"/>
      <c r="U56" s="1997"/>
      <c r="V56" s="1997"/>
      <c r="W56" s="1997"/>
      <c r="X56" s="1997"/>
      <c r="Y56" s="1997"/>
      <c r="Z56" s="1997"/>
      <c r="AA56" s="1997"/>
      <c r="AB56" s="1997"/>
      <c r="AC56" s="1997"/>
    </row>
    <row r="57" spans="1:29" ht="15.75" thickTop="1">
      <c r="A57" s="643"/>
      <c r="B57" s="906">
        <f>B11</f>
        <v>111</v>
      </c>
      <c r="C57" s="517"/>
      <c r="D57" s="517"/>
      <c r="E57" s="517"/>
      <c r="F57" s="517"/>
      <c r="G57" s="517"/>
      <c r="H57" s="517"/>
      <c r="I57" s="517"/>
      <c r="J57" s="517"/>
      <c r="K57" s="658"/>
      <c r="L57" s="659"/>
      <c r="M57" s="660"/>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66"/>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s="1267" customFormat="1" ht="15.75" thickTop="1">
      <c r="A59" s="661"/>
      <c r="B59" s="647">
        <f>B12</f>
        <v>111</v>
      </c>
      <c r="C59" s="517"/>
      <c r="D59" s="517"/>
      <c r="E59" s="517"/>
      <c r="F59" s="517"/>
      <c r="G59" s="662"/>
      <c r="H59" s="663"/>
      <c r="I59" s="663"/>
      <c r="J59" s="663"/>
      <c r="K59" s="663"/>
      <c r="L59" s="664"/>
      <c r="M59" s="665"/>
      <c r="N59" s="2018"/>
      <c r="O59" s="2018"/>
      <c r="P59" s="2019"/>
      <c r="Q59" s="2020"/>
      <c r="R59" s="2021"/>
      <c r="S59" s="2021"/>
      <c r="T59" s="2021"/>
      <c r="U59" s="2021"/>
      <c r="V59" s="2021"/>
      <c r="W59" s="2021"/>
      <c r="X59" s="2021"/>
      <c r="Y59" s="2021"/>
      <c r="Z59" s="2021"/>
      <c r="AA59" s="2021"/>
      <c r="AB59" s="2021"/>
      <c r="AC59" s="2021"/>
    </row>
    <row r="60" spans="1:29" s="1267" customFormat="1" ht="15.75" thickBot="1">
      <c r="A60" s="661"/>
      <c r="B60" s="652"/>
      <c r="C60" s="666"/>
      <c r="D60" s="645"/>
      <c r="E60" s="645"/>
      <c r="F60" s="645"/>
      <c r="G60" s="645"/>
      <c r="H60" s="645"/>
      <c r="I60" s="645"/>
      <c r="J60" s="645"/>
      <c r="K60" s="645"/>
      <c r="L60" s="645"/>
      <c r="M60" s="646"/>
      <c r="N60" s="2017"/>
      <c r="O60" s="2017"/>
      <c r="P60" s="2019"/>
      <c r="Q60" s="2020"/>
      <c r="R60" s="2021"/>
      <c r="S60" s="2021"/>
      <c r="T60" s="2021"/>
      <c r="U60" s="2021"/>
      <c r="V60" s="2021"/>
      <c r="W60" s="2021"/>
      <c r="X60" s="2021"/>
      <c r="Y60" s="2021"/>
      <c r="Z60" s="2021"/>
      <c r="AA60" s="2021"/>
      <c r="AB60" s="2021"/>
      <c r="AC60" s="2021"/>
    </row>
    <row r="61" spans="1:29" s="1267" customFormat="1" ht="15.75" thickTop="1">
      <c r="A61" s="661"/>
      <c r="B61" s="647">
        <f>B13</f>
        <v>111</v>
      </c>
      <c r="C61" s="662"/>
      <c r="D61" s="662"/>
      <c r="E61" s="662"/>
      <c r="F61" s="662"/>
      <c r="G61" s="662"/>
      <c r="H61" s="663"/>
      <c r="I61" s="663"/>
      <c r="J61" s="663"/>
      <c r="K61" s="663"/>
      <c r="L61" s="664"/>
      <c r="M61" s="665"/>
      <c r="N61" s="2018"/>
      <c r="O61" s="2018"/>
      <c r="P61" s="2022"/>
      <c r="Q61" s="2023"/>
      <c r="R61" s="2021"/>
      <c r="S61" s="2021"/>
      <c r="T61" s="2021"/>
      <c r="U61" s="2021"/>
      <c r="V61" s="2021"/>
      <c r="W61" s="2021"/>
      <c r="X61" s="2021"/>
      <c r="Y61" s="2021"/>
      <c r="Z61" s="2021"/>
      <c r="AA61" s="2021"/>
      <c r="AB61" s="2021"/>
      <c r="AC61" s="2021"/>
    </row>
    <row r="62" spans="1:29" s="1267" customFormat="1" ht="15.75" thickBot="1">
      <c r="A62" s="661"/>
      <c r="B62" s="652"/>
      <c r="C62" s="666"/>
      <c r="D62" s="666"/>
      <c r="E62" s="666"/>
      <c r="F62" s="666"/>
      <c r="G62" s="666"/>
      <c r="H62" s="667"/>
      <c r="I62" s="667"/>
      <c r="J62" s="667"/>
      <c r="K62" s="667"/>
      <c r="L62" s="667"/>
      <c r="M62" s="668"/>
      <c r="N62" s="2018"/>
      <c r="O62" s="2018"/>
      <c r="P62" s="2019"/>
      <c r="Q62" s="2020"/>
      <c r="R62" s="2021"/>
      <c r="S62" s="2021"/>
      <c r="T62" s="2021"/>
      <c r="U62" s="2021"/>
      <c r="V62" s="2021"/>
      <c r="W62" s="2021"/>
      <c r="X62" s="2021"/>
      <c r="Y62" s="2021"/>
      <c r="Z62" s="2021"/>
      <c r="AA62" s="2021"/>
      <c r="AB62" s="2021"/>
      <c r="AC62" s="2021"/>
    </row>
    <row r="63" spans="1:29" ht="15" thickTop="1">
      <c r="A63" s="638" t="s">
        <v>516</v>
      </c>
      <c r="B63" s="639" t="s">
        <v>563</v>
      </c>
      <c r="C63" s="677" t="s">
        <v>556</v>
      </c>
      <c r="D63" s="677" t="s">
        <v>557</v>
      </c>
      <c r="E63" s="677" t="s">
        <v>558</v>
      </c>
      <c r="F63" s="677" t="s">
        <v>559</v>
      </c>
      <c r="G63" s="677" t="s">
        <v>560</v>
      </c>
      <c r="H63" s="678"/>
      <c r="I63" s="678"/>
      <c r="J63" s="678"/>
      <c r="K63" s="679"/>
      <c r="L63" s="680"/>
      <c r="M63" s="681"/>
      <c r="N63" s="2015"/>
      <c r="O63" s="2015"/>
      <c r="P63" s="2025"/>
      <c r="Q63" s="2009"/>
      <c r="R63" s="1997"/>
      <c r="S63" s="1997"/>
      <c r="T63" s="1997"/>
      <c r="U63" s="1997"/>
      <c r="V63" s="1997"/>
      <c r="W63" s="1997"/>
      <c r="X63" s="1997"/>
      <c r="Y63" s="1997"/>
      <c r="Z63" s="1997"/>
      <c r="AA63" s="1997"/>
      <c r="AB63" s="1997"/>
      <c r="AC63" s="1997"/>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1782" t="s">
        <v>2509</v>
      </c>
      <c r="C65" s="682" t="s">
        <v>556</v>
      </c>
      <c r="D65" s="682" t="s">
        <v>557</v>
      </c>
      <c r="E65" s="682" t="s">
        <v>558</v>
      </c>
      <c r="F65" s="682" t="s">
        <v>559</v>
      </c>
      <c r="G65" s="682" t="s">
        <v>560</v>
      </c>
      <c r="H65" s="648"/>
      <c r="I65" s="648"/>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2408" t="s">
        <v>2510</v>
      </c>
      <c r="C67" s="2409" t="s">
        <v>2511</v>
      </c>
      <c r="D67" s="2409" t="s">
        <v>2512</v>
      </c>
      <c r="E67" s="2409" t="s">
        <v>2513</v>
      </c>
      <c r="F67" s="2409" t="s">
        <v>2514</v>
      </c>
      <c r="G67" s="2409" t="s">
        <v>2515</v>
      </c>
      <c r="H67" s="648"/>
      <c r="I67" s="648"/>
      <c r="J67" s="648"/>
      <c r="K67" s="648"/>
      <c r="L67" s="648"/>
      <c r="M67" s="2412"/>
      <c r="N67" s="2017"/>
      <c r="O67" s="2017"/>
      <c r="P67" s="2016"/>
      <c r="Q67" s="2009"/>
      <c r="R67" s="1997"/>
      <c r="S67" s="1997"/>
      <c r="T67" s="1997"/>
      <c r="U67" s="1997"/>
      <c r="V67" s="1997"/>
      <c r="W67" s="1997"/>
      <c r="X67" s="1997"/>
      <c r="Y67" s="1997"/>
      <c r="Z67" s="1997"/>
      <c r="AA67" s="1997"/>
      <c r="AB67" s="1997"/>
      <c r="AC67" s="1997"/>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721</v>
      </c>
      <c r="C69" s="682" t="s">
        <v>556</v>
      </c>
      <c r="D69" s="682" t="s">
        <v>557</v>
      </c>
      <c r="E69" s="682" t="s">
        <v>558</v>
      </c>
      <c r="F69" s="682" t="s">
        <v>559</v>
      </c>
      <c r="G69" s="682" t="s">
        <v>560</v>
      </c>
      <c r="H69" s="648"/>
      <c r="I69" s="648"/>
      <c r="J69" s="648"/>
      <c r="K69" s="649"/>
      <c r="L69" s="650"/>
      <c r="M69" s="651"/>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ht="15.75" thickTop="1">
      <c r="A71" s="643"/>
      <c r="B71" s="647" t="s">
        <v>722</v>
      </c>
      <c r="C71" s="662"/>
      <c r="D71" s="662"/>
      <c r="E71" s="662"/>
      <c r="F71" s="662"/>
      <c r="G71" s="662"/>
      <c r="H71" s="692"/>
      <c r="I71" s="692"/>
      <c r="J71" s="692"/>
      <c r="K71" s="693"/>
      <c r="L71" s="694"/>
      <c r="M71" s="695"/>
      <c r="N71" s="2015"/>
      <c r="O71" s="2015"/>
      <c r="P71" s="2016"/>
      <c r="Q71" s="2009"/>
      <c r="R71" s="1997"/>
      <c r="S71" s="1997"/>
      <c r="T71" s="1997"/>
      <c r="U71" s="1997"/>
      <c r="V71" s="1997"/>
      <c r="W71" s="1997"/>
      <c r="X71" s="1997"/>
      <c r="Y71" s="1997"/>
      <c r="Z71" s="1997"/>
      <c r="AA71" s="1997"/>
      <c r="AB71" s="1997"/>
      <c r="AC71" s="1997"/>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7"/>
      <c r="O72" s="2017"/>
      <c r="P72" s="2016"/>
      <c r="Q72" s="2009"/>
      <c r="R72" s="1997"/>
      <c r="S72" s="1997"/>
      <c r="T72" s="1997"/>
      <c r="U72" s="1997"/>
      <c r="V72" s="1997"/>
      <c r="W72" s="1997"/>
      <c r="X72" s="1997"/>
      <c r="Y72" s="1997"/>
      <c r="Z72" s="1997"/>
      <c r="AA72" s="1997"/>
      <c r="AB72" s="1997"/>
      <c r="AC72" s="1997"/>
    </row>
    <row r="73" spans="1:29" s="1185" customFormat="1" ht="15.75" thickTop="1">
      <c r="A73" s="683"/>
      <c r="B73" s="647">
        <f>B23</f>
        <v>111</v>
      </c>
      <c r="C73" s="517"/>
      <c r="D73" s="517"/>
      <c r="E73" s="517"/>
      <c r="F73" s="517"/>
      <c r="G73" s="662"/>
      <c r="H73" s="662"/>
      <c r="I73" s="662"/>
      <c r="J73" s="662"/>
      <c r="K73" s="662"/>
      <c r="L73" s="861"/>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185" customFormat="1" ht="15.75" thickTop="1">
      <c r="A75" s="683"/>
      <c r="B75" s="647">
        <f>B24</f>
        <v>111</v>
      </c>
      <c r="C75" s="517"/>
      <c r="D75" s="517"/>
      <c r="E75" s="517"/>
      <c r="F75" s="517"/>
      <c r="G75" s="662"/>
      <c r="H75" s="662"/>
      <c r="I75" s="662"/>
      <c r="J75" s="662"/>
      <c r="K75" s="662"/>
      <c r="L75" s="662"/>
      <c r="M75" s="862"/>
      <c r="N75" s="2013"/>
      <c r="O75" s="2013"/>
      <c r="P75" s="2016"/>
      <c r="Q75" s="2009"/>
      <c r="R75" s="1876"/>
      <c r="S75" s="1876"/>
      <c r="T75" s="1876"/>
      <c r="U75" s="1876"/>
      <c r="V75" s="1876"/>
      <c r="W75" s="1876"/>
      <c r="X75" s="1876"/>
      <c r="Y75" s="1876"/>
      <c r="Z75" s="1876"/>
      <c r="AA75" s="1876"/>
      <c r="AB75" s="1876"/>
      <c r="AC75" s="1876"/>
    </row>
    <row r="76" spans="1:29" s="1185" customFormat="1" ht="15.75" thickBot="1">
      <c r="A76" s="683"/>
      <c r="B76" s="652"/>
      <c r="C76" s="666"/>
      <c r="D76" s="645"/>
      <c r="E76" s="645"/>
      <c r="F76" s="645"/>
      <c r="G76" s="645"/>
      <c r="H76" s="645"/>
      <c r="I76" s="645"/>
      <c r="J76" s="645"/>
      <c r="K76" s="645"/>
      <c r="L76" s="645"/>
      <c r="M76" s="646"/>
      <c r="N76" s="2017"/>
      <c r="O76" s="2017"/>
      <c r="P76" s="2016"/>
      <c r="Q76" s="2009"/>
      <c r="R76" s="1876"/>
      <c r="S76" s="1876"/>
      <c r="T76" s="1876"/>
      <c r="U76" s="1876"/>
      <c r="V76" s="1876"/>
      <c r="W76" s="1876"/>
      <c r="X76" s="1876"/>
      <c r="Y76" s="1876"/>
      <c r="Z76" s="1876"/>
      <c r="AA76" s="1876"/>
      <c r="AB76" s="1876"/>
      <c r="AC76" s="1876"/>
    </row>
    <row r="77" spans="1:29" s="1267" customFormat="1" ht="15.75" thickTop="1">
      <c r="A77" s="661"/>
      <c r="B77" s="647">
        <f>B25</f>
        <v>111</v>
      </c>
      <c r="C77" s="662"/>
      <c r="D77" s="662"/>
      <c r="E77" s="662"/>
      <c r="F77" s="662"/>
      <c r="G77" s="662"/>
      <c r="H77" s="663"/>
      <c r="I77" s="663"/>
      <c r="J77" s="663"/>
      <c r="K77" s="663"/>
      <c r="L77" s="664"/>
      <c r="M77" s="665"/>
      <c r="N77" s="2018"/>
      <c r="O77" s="2018"/>
      <c r="P77" s="2019"/>
      <c r="Q77" s="2020"/>
      <c r="R77" s="2021"/>
      <c r="S77" s="2021"/>
      <c r="T77" s="2021"/>
      <c r="U77" s="2021"/>
      <c r="V77" s="2021"/>
      <c r="W77" s="2021"/>
      <c r="X77" s="2021"/>
      <c r="Y77" s="2021"/>
      <c r="Z77" s="2021"/>
      <c r="AA77" s="2021"/>
      <c r="AB77" s="2021"/>
      <c r="AC77" s="2021"/>
    </row>
    <row r="78" spans="1:29" s="1267" customFormat="1" ht="15.75" thickBot="1">
      <c r="A78" s="661"/>
      <c r="B78" s="652"/>
      <c r="C78" s="666"/>
      <c r="D78" s="666"/>
      <c r="E78" s="666"/>
      <c r="F78" s="666"/>
      <c r="G78" s="645"/>
      <c r="H78" s="645"/>
      <c r="I78" s="645"/>
      <c r="J78" s="645"/>
      <c r="K78" s="645"/>
      <c r="L78" s="645"/>
      <c r="M78" s="646"/>
      <c r="N78" s="2018"/>
      <c r="O78" s="2018"/>
      <c r="P78" s="2019"/>
      <c r="Q78" s="2020"/>
      <c r="R78" s="2021"/>
      <c r="S78" s="2021"/>
      <c r="T78" s="2021"/>
      <c r="U78" s="2021"/>
      <c r="V78" s="2021"/>
      <c r="W78" s="2021"/>
      <c r="X78" s="2021"/>
      <c r="Y78" s="2021"/>
      <c r="Z78" s="2021"/>
      <c r="AA78" s="2021"/>
      <c r="AB78" s="2021"/>
      <c r="AC78" s="2021"/>
    </row>
    <row r="79" spans="1:29" ht="27.75" thickTop="1">
      <c r="A79" s="638" t="s">
        <v>528</v>
      </c>
      <c r="B79" s="639" t="s">
        <v>791</v>
      </c>
      <c r="C79" s="678">
        <f>C26</f>
        <v>0</v>
      </c>
      <c r="D79" s="574"/>
      <c r="E79" s="574"/>
      <c r="F79" s="574"/>
      <c r="G79" s="574"/>
      <c r="H79" s="574"/>
      <c r="I79" s="574"/>
      <c r="J79" s="574"/>
      <c r="K79" s="640"/>
      <c r="L79" s="641"/>
      <c r="M79" s="642"/>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3"/>
      <c r="B81" s="647" t="s">
        <v>792</v>
      </c>
      <c r="C81" s="907"/>
      <c r="D81" s="907"/>
      <c r="E81" s="907"/>
      <c r="F81" s="907"/>
      <c r="G81" s="907"/>
      <c r="H81" s="907"/>
      <c r="I81" s="907"/>
      <c r="J81" s="907"/>
      <c r="K81" s="908"/>
      <c r="L81" s="909"/>
      <c r="M81" s="910"/>
      <c r="N81" s="2013"/>
      <c r="O81" s="2013"/>
      <c r="P81" s="2016"/>
      <c r="Q81" s="2009"/>
      <c r="R81" s="1997"/>
      <c r="S81" s="1997"/>
      <c r="T81" s="1997"/>
      <c r="U81" s="1997"/>
      <c r="V81" s="1997"/>
      <c r="W81" s="1997"/>
      <c r="X81" s="1997"/>
      <c r="Y81" s="1997"/>
      <c r="Z81" s="1997"/>
      <c r="AA81" s="1997"/>
      <c r="AB81" s="1997"/>
      <c r="AC81" s="1997"/>
    </row>
    <row r="82" spans="1:29" s="1267" customFormat="1" ht="15.75" thickBot="1">
      <c r="A82" s="661"/>
      <c r="B82" s="652"/>
      <c r="C82" s="666"/>
      <c r="D82" s="645"/>
      <c r="E82" s="645"/>
      <c r="F82" s="645"/>
      <c r="G82" s="645"/>
      <c r="H82" s="645"/>
      <c r="I82" s="645"/>
      <c r="J82" s="645"/>
      <c r="K82" s="645"/>
      <c r="L82" s="645"/>
      <c r="M82" s="646"/>
      <c r="N82" s="2017"/>
      <c r="O82" s="2017"/>
      <c r="P82" s="2019"/>
      <c r="Q82" s="2020"/>
      <c r="R82" s="2021"/>
      <c r="S82" s="2021"/>
      <c r="T82" s="2021"/>
      <c r="U82" s="2021"/>
      <c r="V82" s="2021"/>
      <c r="W82" s="2021"/>
      <c r="X82" s="2021"/>
      <c r="Y82" s="2021"/>
      <c r="Z82" s="2021"/>
      <c r="AA82" s="2021"/>
      <c r="AB82" s="2021"/>
      <c r="AC82" s="2021"/>
    </row>
    <row r="83" spans="1:29" ht="15" thickTop="1">
      <c r="A83" s="709"/>
      <c r="B83" s="647" t="s">
        <v>728</v>
      </c>
      <c r="C83" s="662"/>
      <c r="D83" s="662"/>
      <c r="E83" s="692"/>
      <c r="F83" s="692"/>
      <c r="G83" s="692"/>
      <c r="H83" s="692"/>
      <c r="I83" s="692"/>
      <c r="J83" s="692"/>
      <c r="K83" s="693"/>
      <c r="L83" s="694"/>
      <c r="M83" s="695"/>
      <c r="N83" s="2015"/>
      <c r="O83" s="2015"/>
      <c r="P83" s="2016"/>
      <c r="Q83" s="2009"/>
      <c r="R83" s="1997"/>
      <c r="S83" s="1997"/>
      <c r="T83" s="1997"/>
      <c r="U83" s="1997"/>
      <c r="V83" s="1997"/>
      <c r="W83" s="1997"/>
      <c r="X83" s="1997"/>
      <c r="Y83" s="1997"/>
      <c r="Z83" s="1997"/>
      <c r="AA83" s="1997"/>
      <c r="AB83" s="1997"/>
      <c r="AC83" s="1997"/>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5"/>
      <c r="O85" s="2015"/>
      <c r="P85" s="2016"/>
      <c r="Q85" s="2009"/>
      <c r="R85" s="1997"/>
      <c r="S85" s="1997"/>
      <c r="T85" s="1997"/>
      <c r="U85" s="1997"/>
      <c r="V85" s="1997"/>
      <c r="W85" s="1997"/>
      <c r="X85" s="1997"/>
      <c r="Y85" s="1997"/>
      <c r="Z85" s="1997"/>
      <c r="AA85" s="1997"/>
      <c r="AB85" s="1997"/>
      <c r="AC85" s="1997"/>
    </row>
    <row r="86" spans="1:29">
      <c r="A86" s="709"/>
      <c r="B86" s="655"/>
      <c r="C86" s="865">
        <v>0.5</v>
      </c>
      <c r="D86" s="865">
        <v>0.6</v>
      </c>
      <c r="E86" s="865">
        <v>0.7</v>
      </c>
      <c r="F86" s="865">
        <v>0.8</v>
      </c>
      <c r="G86" s="865">
        <v>0.9</v>
      </c>
      <c r="H86" s="865">
        <v>1.0001</v>
      </c>
      <c r="I86" s="876"/>
      <c r="J86" s="876"/>
      <c r="K86" s="877"/>
      <c r="L86" s="878"/>
      <c r="M86" s="879"/>
      <c r="N86" s="2015"/>
      <c r="O86" s="2015"/>
      <c r="P86" s="2016"/>
      <c r="Q86" s="2009"/>
      <c r="R86" s="1997"/>
      <c r="S86" s="1997"/>
      <c r="T86" s="1997"/>
      <c r="U86" s="1997"/>
      <c r="V86" s="1997"/>
      <c r="W86" s="1997"/>
      <c r="X86" s="1997"/>
      <c r="Y86" s="1997"/>
      <c r="Z86" s="1997"/>
      <c r="AA86" s="1997"/>
      <c r="AB86" s="1997"/>
      <c r="AC86" s="1997"/>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9"/>
      <c r="B88" s="655" t="s">
        <v>794</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7"/>
      <c r="O89" s="2017"/>
      <c r="P89" s="2016"/>
      <c r="Q89" s="2009"/>
      <c r="R89" s="1997"/>
      <c r="S89" s="1997"/>
      <c r="T89" s="1997"/>
      <c r="U89" s="1997"/>
      <c r="V89" s="1997"/>
      <c r="W89" s="1997"/>
      <c r="X89" s="1997"/>
      <c r="Y89" s="1997"/>
      <c r="Z89" s="1997"/>
      <c r="AA89" s="1997"/>
      <c r="AB89" s="1997"/>
      <c r="AC89" s="1997"/>
    </row>
    <row r="90" spans="1:29" s="126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8"/>
      <c r="O90" s="2018"/>
      <c r="P90" s="2019"/>
      <c r="Q90" s="2020"/>
      <c r="R90" s="2021"/>
      <c r="S90" s="2021"/>
      <c r="T90" s="2021"/>
      <c r="U90" s="2021"/>
      <c r="V90" s="2021"/>
      <c r="W90" s="2021"/>
      <c r="X90" s="2021"/>
      <c r="Y90" s="2021"/>
      <c r="Z90" s="2021"/>
      <c r="AA90" s="2021"/>
      <c r="AB90" s="2021"/>
      <c r="AC90" s="2021"/>
    </row>
    <row r="91" spans="1:29" s="1267" customFormat="1">
      <c r="A91" s="702"/>
      <c r="B91" s="655"/>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8"/>
      <c r="O92" s="2018"/>
      <c r="P92" s="2019"/>
      <c r="Q92" s="2020"/>
      <c r="R92" s="2021"/>
      <c r="S92" s="2021"/>
      <c r="T92" s="2021"/>
      <c r="U92" s="2021"/>
      <c r="V92" s="2021"/>
      <c r="W92" s="2021"/>
      <c r="X92" s="2021"/>
      <c r="Y92" s="2021"/>
      <c r="Z92" s="2021"/>
      <c r="AA92" s="2021"/>
      <c r="AB92" s="2021"/>
      <c r="AC92" s="2021"/>
    </row>
    <row r="93" spans="1:29" ht="15" thickTop="1">
      <c r="A93" s="709"/>
      <c r="B93" s="647" t="s">
        <v>796</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797</v>
      </c>
      <c r="C95" s="574"/>
      <c r="D95" s="574"/>
      <c r="E95" s="574"/>
      <c r="F95" s="574"/>
      <c r="G95" s="574"/>
      <c r="H95" s="574"/>
      <c r="I95" s="574"/>
      <c r="J95" s="574"/>
      <c r="K95" s="640"/>
      <c r="L95" s="641"/>
      <c r="M95" s="642"/>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7"/>
      <c r="O96" s="2017"/>
      <c r="P96" s="2016"/>
      <c r="Q96" s="2009"/>
      <c r="R96" s="1997"/>
      <c r="S96" s="1997"/>
      <c r="T96" s="1997"/>
      <c r="U96" s="1997"/>
      <c r="V96" s="1997"/>
      <c r="W96" s="1997"/>
      <c r="X96" s="1997"/>
      <c r="Y96" s="1997"/>
      <c r="Z96" s="1997"/>
      <c r="AA96" s="1997"/>
      <c r="AB96" s="1997"/>
      <c r="AC96" s="1997"/>
    </row>
    <row r="97" spans="1:29" ht="15" thickTop="1">
      <c r="A97" s="709"/>
      <c r="B97" s="888">
        <f>B34</f>
        <v>111</v>
      </c>
      <c r="C97" s="517"/>
      <c r="D97" s="517"/>
      <c r="E97" s="517"/>
      <c r="F97" s="517"/>
      <c r="G97" s="662"/>
      <c r="H97" s="663"/>
      <c r="I97" s="663"/>
      <c r="J97" s="663"/>
      <c r="K97" s="663"/>
      <c r="L97" s="664"/>
      <c r="M97" s="665"/>
      <c r="N97" s="2017"/>
      <c r="O97" s="2017"/>
      <c r="P97" s="2056"/>
      <c r="Q97" s="2057"/>
      <c r="R97" s="1997"/>
      <c r="S97" s="1997"/>
      <c r="T97" s="1997"/>
      <c r="U97" s="1997"/>
      <c r="V97" s="1997"/>
      <c r="W97" s="1997"/>
      <c r="X97" s="1997"/>
      <c r="Y97" s="1997"/>
      <c r="Z97" s="1997"/>
      <c r="AA97" s="1997"/>
      <c r="AB97" s="1997"/>
      <c r="AC97" s="1997"/>
    </row>
    <row r="98" spans="1:29" ht="15.75" thickBot="1">
      <c r="A98" s="643"/>
      <c r="B98" s="652"/>
      <c r="C98" s="666"/>
      <c r="D98" s="645"/>
      <c r="E98" s="645"/>
      <c r="F98" s="645"/>
      <c r="G98" s="666"/>
      <c r="H98" s="667"/>
      <c r="I98" s="667"/>
      <c r="J98" s="667"/>
      <c r="K98" s="667"/>
      <c r="L98" s="667"/>
      <c r="M98" s="668"/>
      <c r="N98" s="2017"/>
      <c r="O98" s="2017"/>
      <c r="P98" s="2016"/>
      <c r="Q98" s="2009"/>
      <c r="R98" s="1997"/>
      <c r="S98" s="1997"/>
      <c r="T98" s="1997"/>
      <c r="U98" s="1997"/>
      <c r="V98" s="1997"/>
      <c r="W98" s="1997"/>
      <c r="X98" s="1997"/>
      <c r="Y98" s="1997"/>
      <c r="Z98" s="1997"/>
      <c r="AA98" s="1997"/>
      <c r="AB98" s="1997"/>
      <c r="AC98" s="1997"/>
    </row>
    <row r="99" spans="1:29" s="1267" customFormat="1" ht="15" thickTop="1">
      <c r="A99" s="702"/>
      <c r="B99" s="647">
        <f>B35</f>
        <v>111</v>
      </c>
      <c r="C99" s="517"/>
      <c r="D99" s="517"/>
      <c r="E99" s="517"/>
      <c r="F99" s="517"/>
      <c r="G99" s="662"/>
      <c r="H99" s="663"/>
      <c r="I99" s="663"/>
      <c r="J99" s="663"/>
      <c r="K99" s="663"/>
      <c r="L99" s="664"/>
      <c r="M99" s="665"/>
      <c r="N99" s="2018"/>
      <c r="O99" s="2018"/>
      <c r="P99" s="2019"/>
      <c r="Q99" s="2020"/>
      <c r="R99" s="2021"/>
      <c r="S99" s="2021"/>
      <c r="T99" s="2021"/>
      <c r="U99" s="2021"/>
      <c r="V99" s="2021"/>
      <c r="W99" s="2021"/>
      <c r="X99" s="2021"/>
      <c r="Y99" s="2021"/>
      <c r="Z99" s="2021"/>
      <c r="AA99" s="2021"/>
      <c r="AB99" s="2021"/>
      <c r="AC99" s="2021"/>
    </row>
    <row r="100" spans="1:29" s="1267" customFormat="1" ht="15.75" thickBot="1">
      <c r="A100" s="661"/>
      <c r="B100" s="644"/>
      <c r="C100" s="666"/>
      <c r="D100" s="645"/>
      <c r="E100" s="645"/>
      <c r="F100" s="645"/>
      <c r="G100" s="666"/>
      <c r="H100" s="667"/>
      <c r="I100" s="667"/>
      <c r="J100" s="667"/>
      <c r="K100" s="667"/>
      <c r="L100" s="667"/>
      <c r="M100" s="668"/>
      <c r="N100" s="2018"/>
      <c r="O100" s="2018"/>
      <c r="P100" s="2019"/>
      <c r="Q100" s="2020"/>
      <c r="R100" s="2021"/>
      <c r="S100" s="2021"/>
      <c r="T100" s="2021"/>
      <c r="U100" s="2021"/>
      <c r="V100" s="2021"/>
      <c r="W100" s="2021"/>
      <c r="X100" s="2021"/>
      <c r="Y100" s="2021"/>
      <c r="Z100" s="2021"/>
      <c r="AA100" s="2021"/>
      <c r="AB100" s="2021"/>
      <c r="AC100" s="2021"/>
    </row>
    <row r="101" spans="1:29" ht="15" thickTop="1">
      <c r="A101" s="709"/>
      <c r="B101" s="647">
        <f>B36</f>
        <v>111</v>
      </c>
      <c r="C101" s="662"/>
      <c r="D101" s="662"/>
      <c r="E101" s="662"/>
      <c r="F101" s="662"/>
      <c r="G101" s="662"/>
      <c r="H101" s="663"/>
      <c r="I101" s="663"/>
      <c r="J101" s="663"/>
      <c r="K101" s="663"/>
      <c r="L101" s="664"/>
      <c r="M101" s="665"/>
      <c r="N101" s="2015"/>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66"/>
      <c r="D102" s="666"/>
      <c r="E102" s="666"/>
      <c r="F102" s="666"/>
      <c r="G102" s="666"/>
      <c r="H102" s="667"/>
      <c r="I102" s="667"/>
      <c r="J102" s="667"/>
      <c r="K102" s="667"/>
      <c r="L102" s="667"/>
      <c r="M102" s="668"/>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52" t="s">
        <v>2003</v>
      </c>
      <c r="B1" s="3552"/>
      <c r="C1" s="3552"/>
      <c r="D1" s="3552"/>
      <c r="E1" s="3552"/>
      <c r="F1" s="3552"/>
      <c r="G1" s="3552"/>
      <c r="H1" s="3552"/>
      <c r="I1" s="3552"/>
      <c r="J1" s="3552"/>
      <c r="K1" s="3552"/>
      <c r="L1" s="3552"/>
      <c r="M1" s="3552"/>
      <c r="N1" s="3552"/>
      <c r="O1" s="3552"/>
      <c r="P1" s="3552"/>
      <c r="Q1" s="3552"/>
      <c r="R1" s="3552"/>
    </row>
    <row r="2" spans="1:18">
      <c r="A2" s="1694" t="s">
        <v>2005</v>
      </c>
      <c r="B2" s="1694"/>
      <c r="C2" s="1694"/>
      <c r="D2" s="1694"/>
      <c r="E2" s="1694"/>
      <c r="F2" s="1694"/>
      <c r="G2" s="1694"/>
      <c r="H2" s="1694"/>
      <c r="I2" s="1695"/>
      <c r="J2" s="1695"/>
      <c r="K2" s="1696" t="str">
        <f>"估价期日："&amp;TEXT(项目基本情况!D3,"yyyy年m月d日;;")</f>
        <v>估价期日：2022年3月3日</v>
      </c>
      <c r="L2" s="1694"/>
      <c r="M2" s="1694"/>
      <c r="N2" s="1694"/>
      <c r="O2" s="1694"/>
      <c r="P2" s="1694"/>
      <c r="Q2" s="1694"/>
      <c r="R2" s="1696" t="str">
        <f>"估价期日的国有建设用地使用权性质："&amp;项目基本情况!B16</f>
        <v>估价期日的国有建设用地使用权性质：储备</v>
      </c>
    </row>
    <row r="3" spans="1:18" ht="23.25" customHeight="1">
      <c r="A3" s="3553" t="s">
        <v>1994</v>
      </c>
      <c r="B3" s="3553" t="s">
        <v>2682</v>
      </c>
      <c r="C3" s="3554" t="s">
        <v>1995</v>
      </c>
      <c r="D3" s="3553" t="s">
        <v>2686</v>
      </c>
      <c r="E3" s="3556" t="s">
        <v>1996</v>
      </c>
      <c r="F3" s="3556"/>
      <c r="G3" s="3556"/>
      <c r="H3" s="3556" t="s">
        <v>1997</v>
      </c>
      <c r="I3" s="3556"/>
      <c r="J3" s="3556"/>
      <c r="K3" s="3554" t="s">
        <v>1998</v>
      </c>
      <c r="L3" s="3554" t="s">
        <v>1999</v>
      </c>
      <c r="M3" s="3553" t="s">
        <v>2683</v>
      </c>
      <c r="N3" s="3555" t="str">
        <f>"（分摊）"&amp;项目基本情况!B16&amp;"国有建设用地使用权面积/㎡"</f>
        <v>（分摊）储备国有建设用地使用权面积/㎡</v>
      </c>
      <c r="O3" s="3553" t="s">
        <v>2028</v>
      </c>
      <c r="P3" s="3554" t="s">
        <v>2008</v>
      </c>
      <c r="Q3" s="3554" t="s">
        <v>2029</v>
      </c>
      <c r="R3" s="3554" t="s">
        <v>2000</v>
      </c>
    </row>
    <row r="4" spans="1:18" ht="36.75" customHeight="1">
      <c r="A4" s="3553"/>
      <c r="B4" s="3553"/>
      <c r="C4" s="3554"/>
      <c r="D4" s="3553"/>
      <c r="E4" s="2458" t="s">
        <v>2007</v>
      </c>
      <c r="F4" s="2458" t="s">
        <v>2695</v>
      </c>
      <c r="G4" s="2458" t="s">
        <v>2001</v>
      </c>
      <c r="H4" s="2458" t="s">
        <v>2002</v>
      </c>
      <c r="I4" s="2458" t="s">
        <v>2696</v>
      </c>
      <c r="J4" s="2458" t="s">
        <v>2001</v>
      </c>
      <c r="K4" s="3554"/>
      <c r="L4" s="3554"/>
      <c r="M4" s="3553"/>
      <c r="N4" s="3555"/>
      <c r="O4" s="3553"/>
      <c r="P4" s="3554"/>
      <c r="Q4" s="3554"/>
      <c r="R4" s="3554"/>
    </row>
    <row r="5" spans="1:18" ht="135" customHeight="1">
      <c r="A5" s="1829" t="s">
        <v>2606</v>
      </c>
      <c r="B5" s="2551" t="s">
        <v>2604</v>
      </c>
      <c r="C5" s="2457">
        <v>22</v>
      </c>
      <c r="D5" s="2456" t="s">
        <v>2605</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t="str">
        <f>IF(项目基本情况!B16="出让",项目基本情况!D20,"——")</f>
        <v>——</v>
      </c>
      <c r="N5" s="1697">
        <f>项目基本情况!C22</f>
        <v>155413.54999999999</v>
      </c>
      <c r="O5" s="1697">
        <f>项目基本情况!C21</f>
        <v>155413.54999999999</v>
      </c>
      <c r="P5" s="1697" t="e">
        <f ca="1">结果表!E42</f>
        <v>#REF!</v>
      </c>
      <c r="Q5" s="1697" t="e">
        <f ca="1">结果表!D42</f>
        <v>#REF!</v>
      </c>
      <c r="R5" s="1698" t="e">
        <f ca="1">结果表!C42</f>
        <v>#REF!</v>
      </c>
    </row>
    <row r="6" spans="1:18">
      <c r="A6" s="3549" t="str">
        <f>IF(项目基本情况!B9="市场价格","——","抵押价格")</f>
        <v>抵押价格</v>
      </c>
      <c r="B6" s="3550"/>
      <c r="C6" s="3550"/>
      <c r="D6" s="3550"/>
      <c r="E6" s="3550"/>
      <c r="F6" s="3550"/>
      <c r="G6" s="3550"/>
      <c r="H6" s="3550"/>
      <c r="I6" s="3550"/>
      <c r="J6" s="3550"/>
      <c r="K6" s="3550"/>
      <c r="L6" s="3550"/>
      <c r="M6" s="3550"/>
      <c r="N6" s="3550"/>
      <c r="O6" s="3550"/>
      <c r="P6" s="3550"/>
      <c r="Q6" s="3551"/>
      <c r="R6" s="1699" t="str">
        <f>结果表!O39</f>
        <v>——</v>
      </c>
    </row>
    <row r="7" spans="1:18">
      <c r="A7" s="3549" t="str">
        <f>IF(项目基本情况!B9="市场价格","——",IF(项目基本情况!E8="已注销及未注销","抵押担保权已注销时的抵押价格","——"))</f>
        <v>——</v>
      </c>
      <c r="B7" s="3550"/>
      <c r="C7" s="3550"/>
      <c r="D7" s="3550"/>
      <c r="E7" s="3550"/>
      <c r="F7" s="3550"/>
      <c r="G7" s="3550"/>
      <c r="H7" s="3550"/>
      <c r="I7" s="3550"/>
      <c r="J7" s="3550"/>
      <c r="K7" s="3550"/>
      <c r="L7" s="3550"/>
      <c r="M7" s="3550"/>
      <c r="N7" s="3550"/>
      <c r="O7" s="3550"/>
      <c r="P7" s="3550"/>
      <c r="Q7" s="3551"/>
      <c r="R7" s="1699" t="str">
        <f>结果表!O40</f>
        <v>——</v>
      </c>
    </row>
    <row r="8" spans="1:18">
      <c r="A8" s="3549">
        <f>IF(项目基本情况!B9="市场价格","——",项目基本情况!E9)</f>
        <v>0</v>
      </c>
      <c r="B8" s="3550"/>
      <c r="C8" s="3550"/>
      <c r="D8" s="3550"/>
      <c r="E8" s="3550"/>
      <c r="F8" s="3550"/>
      <c r="G8" s="3550"/>
      <c r="H8" s="3550"/>
      <c r="I8" s="3550"/>
      <c r="J8" s="3550"/>
      <c r="K8" s="3550"/>
      <c r="L8" s="3550"/>
      <c r="M8" s="3550"/>
      <c r="N8" s="3550"/>
      <c r="O8" s="3550"/>
      <c r="P8" s="3550"/>
      <c r="Q8" s="3551"/>
      <c r="R8" s="1699" t="str">
        <f>结果表!O41</f>
        <v>——</v>
      </c>
    </row>
    <row r="9" spans="1:18">
      <c r="A9" s="1700" t="s">
        <v>2006</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1993</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1"/>
      <c r="G1" s="1505" t="s">
        <v>770</v>
      </c>
      <c r="H1" s="482"/>
      <c r="I1" s="482"/>
      <c r="J1" s="482"/>
      <c r="K1" s="483"/>
      <c r="L1" s="3172"/>
      <c r="M1" s="3173"/>
      <c r="N1" s="3173"/>
      <c r="O1" s="3173"/>
      <c r="P1" s="1984"/>
      <c r="Q1" s="1984"/>
      <c r="R1" s="1984"/>
      <c r="S1" s="1984"/>
      <c r="T1" s="1984"/>
      <c r="U1" s="1984"/>
      <c r="V1" s="1984"/>
      <c r="W1" s="1984"/>
      <c r="X1" s="1984"/>
      <c r="Y1" s="1984"/>
      <c r="Z1" s="1984"/>
      <c r="AA1" s="1984"/>
      <c r="AB1" s="1984"/>
      <c r="AC1" s="3174"/>
    </row>
    <row r="2" spans="1:29" s="1264" customFormat="1" ht="28.5" customHeight="1">
      <c r="A2" s="417" t="s">
        <v>771</v>
      </c>
      <c r="B2" s="821"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4"/>
    </row>
    <row r="3" spans="1:29" s="1264" customFormat="1" ht="28.5" customHeight="1" thickBot="1">
      <c r="A3" s="485" t="s">
        <v>772</v>
      </c>
      <c r="B3" s="486" t="e">
        <f>C37</f>
        <v>#DIV/0!</v>
      </c>
      <c r="C3" s="823" t="s">
        <v>773</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5"/>
      <c r="AC3" s="1915"/>
    </row>
    <row r="4" spans="1:29" ht="15">
      <c r="A4" s="488" t="s">
        <v>774</v>
      </c>
      <c r="B4" s="489"/>
      <c r="C4" s="3777" t="s">
        <v>775</v>
      </c>
      <c r="D4" s="3778"/>
      <c r="E4" s="3882" t="s">
        <v>776</v>
      </c>
      <c r="F4" s="3883"/>
      <c r="G4" s="3777" t="s">
        <v>777</v>
      </c>
      <c r="H4" s="3778"/>
      <c r="I4" s="3777" t="s">
        <v>778</v>
      </c>
      <c r="J4" s="3778"/>
      <c r="K4" s="490" t="s">
        <v>779</v>
      </c>
      <c r="L4" s="1985"/>
      <c r="M4" s="1986"/>
      <c r="N4" s="1986"/>
      <c r="O4" s="1986"/>
      <c r="P4" s="3779" t="s">
        <v>780</v>
      </c>
      <c r="Q4" s="3780"/>
      <c r="R4" s="3765" t="s">
        <v>776</v>
      </c>
      <c r="S4" s="3766"/>
      <c r="T4" s="3765" t="s">
        <v>777</v>
      </c>
      <c r="U4" s="3766"/>
      <c r="V4" s="3785" t="s">
        <v>778</v>
      </c>
      <c r="W4" s="3785"/>
      <c r="X4" s="1475"/>
      <c r="Y4" s="3765" t="s">
        <v>780</v>
      </c>
      <c r="Z4" s="3766"/>
      <c r="AA4" s="3760" t="s">
        <v>776</v>
      </c>
      <c r="AB4" s="3761" t="s">
        <v>777</v>
      </c>
      <c r="AC4" s="3760" t="s">
        <v>778</v>
      </c>
    </row>
    <row r="5" spans="1:29" ht="15">
      <c r="A5" s="491"/>
      <c r="B5" s="492"/>
      <c r="C5" s="3788" t="s">
        <v>2865</v>
      </c>
      <c r="D5" s="3789"/>
      <c r="E5" s="3884" t="s">
        <v>2866</v>
      </c>
      <c r="F5" s="3885"/>
      <c r="G5" s="3788" t="s">
        <v>2867</v>
      </c>
      <c r="H5" s="3789"/>
      <c r="I5" s="3788" t="s">
        <v>2868</v>
      </c>
      <c r="J5" s="3789"/>
      <c r="K5" s="490"/>
      <c r="L5" s="1985"/>
      <c r="M5" s="1986"/>
      <c r="N5" s="1986"/>
      <c r="O5" s="1986"/>
      <c r="P5" s="3781"/>
      <c r="Q5" s="3782"/>
      <c r="R5" s="3767"/>
      <c r="S5" s="3768"/>
      <c r="T5" s="3767"/>
      <c r="U5" s="3768"/>
      <c r="V5" s="3785"/>
      <c r="W5" s="3785"/>
      <c r="X5" s="1475"/>
      <c r="Y5" s="3767"/>
      <c r="Z5" s="3768"/>
      <c r="AA5" s="3761"/>
      <c r="AB5" s="3761"/>
      <c r="AC5" s="3761"/>
    </row>
    <row r="6" spans="1:29" ht="15.75" thickBot="1">
      <c r="A6" s="493"/>
      <c r="B6" s="494"/>
      <c r="C6" s="3786" t="s">
        <v>2869</v>
      </c>
      <c r="D6" s="3787"/>
      <c r="E6" s="3886" t="s">
        <v>2869</v>
      </c>
      <c r="F6" s="3887"/>
      <c r="G6" s="3786" t="s">
        <v>2869</v>
      </c>
      <c r="H6" s="3787"/>
      <c r="I6" s="3786" t="s">
        <v>2869</v>
      </c>
      <c r="J6" s="3787"/>
      <c r="K6" s="490" t="s">
        <v>505</v>
      </c>
      <c r="L6" s="1985"/>
      <c r="M6" s="1986"/>
      <c r="N6" s="1986"/>
      <c r="O6" s="1986"/>
      <c r="P6" s="3783"/>
      <c r="Q6" s="3784"/>
      <c r="R6" s="3767"/>
      <c r="S6" s="3768"/>
      <c r="T6" s="3769"/>
      <c r="U6" s="3770"/>
      <c r="V6" s="3785"/>
      <c r="W6" s="3785"/>
      <c r="X6" s="1475"/>
      <c r="Y6" s="3769"/>
      <c r="Z6" s="3770"/>
      <c r="AA6" s="3762"/>
      <c r="AB6" s="3762"/>
      <c r="AC6" s="3762"/>
    </row>
    <row r="7" spans="1:29" s="1185" customFormat="1" ht="15.75" thickBot="1">
      <c r="A7" s="2596"/>
      <c r="B7" s="2603" t="s">
        <v>506</v>
      </c>
      <c r="C7" s="495">
        <f>'数据-取费表'!B2</f>
        <v>44623</v>
      </c>
      <c r="D7" s="496">
        <v>100</v>
      </c>
      <c r="E7" s="497"/>
      <c r="F7" s="498">
        <f>SUMIF(46:46,YEAR(E7)&amp;"-"&amp;MONTH(E7),47:47)</f>
        <v>0</v>
      </c>
      <c r="G7" s="499"/>
      <c r="H7" s="496">
        <f>SUMIF(46:46,YEAR(G7)&amp;"-"&amp;MONTH(G7),47:47)</f>
        <v>0</v>
      </c>
      <c r="I7" s="499"/>
      <c r="J7" s="496">
        <f>SUMIF(46:46,YEAR(I7)&amp;"-"&amp;MONTH(I7),47:47)</f>
        <v>0</v>
      </c>
      <c r="K7" s="500"/>
      <c r="L7" s="1987"/>
      <c r="M7" s="1988"/>
      <c r="N7" s="1988"/>
      <c r="O7" s="1988"/>
      <c r="P7" s="3763" t="s">
        <v>507</v>
      </c>
      <c r="Q7" s="3772"/>
      <c r="R7" s="1476" t="s">
        <v>8</v>
      </c>
      <c r="S7" s="1477">
        <f t="shared" ref="S7:S14" si="0">F7</f>
        <v>0</v>
      </c>
      <c r="T7" s="1476" t="s">
        <v>8</v>
      </c>
      <c r="U7" s="1477">
        <f t="shared" ref="U7:U14" si="1">H7</f>
        <v>0</v>
      </c>
      <c r="V7" s="1476" t="s">
        <v>8</v>
      </c>
      <c r="W7" s="1477">
        <f t="shared" ref="W7:W14" si="2">J7</f>
        <v>0</v>
      </c>
      <c r="X7" s="1478"/>
      <c r="Y7" s="3763" t="s">
        <v>507</v>
      </c>
      <c r="Z7" s="3764"/>
      <c r="AA7" s="1479" t="e">
        <f>D7/F7</f>
        <v>#DIV/0!</v>
      </c>
      <c r="AB7" s="1479" t="e">
        <f>D7/H7</f>
        <v>#DIV/0!</v>
      </c>
      <c r="AC7" s="1479" t="e">
        <f>D7/J7</f>
        <v>#DIV/0!</v>
      </c>
    </row>
    <row r="8" spans="1:29" s="1185" customFormat="1" ht="15.75" thickBot="1">
      <c r="A8" s="2597"/>
      <c r="B8" s="2604" t="s">
        <v>508</v>
      </c>
      <c r="C8" s="501" t="s">
        <v>553</v>
      </c>
      <c r="D8" s="496">
        <v>100</v>
      </c>
      <c r="E8" s="501"/>
      <c r="F8" s="498">
        <f>SUMIF(49:49,E8,50:50)-SUMIF(49:49,C8,50:50)+100</f>
        <v>0</v>
      </c>
      <c r="G8" s="501"/>
      <c r="H8" s="496">
        <f>SUMIF(49:49,G8,50:50)-SUMIF(49:49,C8,50:50)+100</f>
        <v>0</v>
      </c>
      <c r="I8" s="501"/>
      <c r="J8" s="496">
        <f>SUMIF(49:49,I8,50:50)-SUMIF(49:49,C8,50:50)+100</f>
        <v>0</v>
      </c>
      <c r="K8" s="500"/>
      <c r="L8" s="1987"/>
      <c r="M8" s="1988"/>
      <c r="N8" s="1988"/>
      <c r="O8" s="1988"/>
      <c r="P8" s="3763" t="s">
        <v>510</v>
      </c>
      <c r="Q8" s="3764"/>
      <c r="R8" s="1476" t="s">
        <v>8</v>
      </c>
      <c r="S8" s="1477">
        <f t="shared" si="0"/>
        <v>0</v>
      </c>
      <c r="T8" s="1476" t="s">
        <v>8</v>
      </c>
      <c r="U8" s="1477">
        <f t="shared" si="1"/>
        <v>0</v>
      </c>
      <c r="V8" s="1476" t="s">
        <v>8</v>
      </c>
      <c r="W8" s="1477">
        <f t="shared" si="2"/>
        <v>0</v>
      </c>
      <c r="X8" s="1478"/>
      <c r="Y8" s="3763" t="s">
        <v>510</v>
      </c>
      <c r="Z8" s="3764"/>
      <c r="AA8" s="1479" t="e">
        <f t="shared" ref="AA8:AA34" si="3">D8/F8</f>
        <v>#DIV/0!</v>
      </c>
      <c r="AB8" s="1479" t="e">
        <f t="shared" ref="AB8:AB34" si="4">D8/H8</f>
        <v>#DIV/0!</v>
      </c>
      <c r="AC8" s="1479" t="e">
        <f t="shared" ref="AC8:AC34" si="5">D8/J8</f>
        <v>#DIV/0!</v>
      </c>
    </row>
    <row r="9" spans="1:29" s="1185" customFormat="1" ht="15">
      <c r="A9" s="2598"/>
      <c r="B9" s="2605" t="s">
        <v>2707</v>
      </c>
      <c r="C9" s="828"/>
      <c r="D9" s="252">
        <v>100</v>
      </c>
      <c r="E9" s="831"/>
      <c r="F9" s="252">
        <f>SUMIF(51:51,E9,52:52)-SUMIF(51:51,C9,52:52)+100</f>
        <v>100</v>
      </c>
      <c r="G9" s="831"/>
      <c r="H9" s="252">
        <f>SUMIF(51:51,G9,52:52)-SUMIF(51:51,C9,52:52)+100</f>
        <v>100</v>
      </c>
      <c r="I9" s="831"/>
      <c r="J9" s="252">
        <f>SUMIF(51:51,I9,52:52)-SUMIF(51:51,C9,52:52)+100</f>
        <v>100</v>
      </c>
      <c r="K9" s="500"/>
      <c r="L9" s="1987"/>
      <c r="M9" s="1988"/>
      <c r="N9" s="1988"/>
      <c r="O9" s="1989"/>
      <c r="P9" s="3771" t="s">
        <v>512</v>
      </c>
      <c r="Q9" s="1116" t="str">
        <f t="shared" ref="Q9:Q14" si="6">B9</f>
        <v>用途</v>
      </c>
      <c r="R9" s="1476" t="s">
        <v>8</v>
      </c>
      <c r="S9" s="1477">
        <f t="shared" si="0"/>
        <v>100</v>
      </c>
      <c r="T9" s="1476" t="s">
        <v>8</v>
      </c>
      <c r="U9" s="1477">
        <f t="shared" si="1"/>
        <v>100</v>
      </c>
      <c r="V9" s="1476" t="s">
        <v>8</v>
      </c>
      <c r="W9" s="1477">
        <f t="shared" si="2"/>
        <v>100</v>
      </c>
      <c r="X9" s="1478"/>
      <c r="Y9" s="3712" t="s">
        <v>513</v>
      </c>
      <c r="Z9" s="1115" t="str">
        <f t="shared" ref="Z9:Z14" si="7">Q9</f>
        <v>用途</v>
      </c>
      <c r="AA9" s="1479">
        <f t="shared" si="3"/>
        <v>1</v>
      </c>
      <c r="AB9" s="1479">
        <f t="shared" si="4"/>
        <v>1</v>
      </c>
      <c r="AC9" s="1479">
        <f t="shared" si="5"/>
        <v>1</v>
      </c>
    </row>
    <row r="10" spans="1:29" s="1266" customFormat="1" ht="27">
      <c r="A10" s="2599"/>
      <c r="B10" s="2604" t="s">
        <v>2708</v>
      </c>
      <c r="C10" s="832"/>
      <c r="D10" s="253">
        <v>100</v>
      </c>
      <c r="E10" s="832"/>
      <c r="F10" s="253">
        <f>SUMIF(53:53,E10,54:54)-SUMIF(53:53,C10,54:54)+100</f>
        <v>100</v>
      </c>
      <c r="G10" s="833"/>
      <c r="H10" s="253">
        <f>SUMIF(53:53,G10,54:54)-SUMIF(53:53,C10,54:54)+100</f>
        <v>100</v>
      </c>
      <c r="I10" s="832"/>
      <c r="J10" s="253">
        <f>SUMIF(53:53,I10,54:54)-SUMIF(53:53,C10,54:54)+100</f>
        <v>100</v>
      </c>
      <c r="K10" s="560"/>
      <c r="L10" s="1990"/>
      <c r="M10" s="2029"/>
      <c r="N10" s="2029"/>
      <c r="O10" s="1991"/>
      <c r="P10" s="3771"/>
      <c r="Q10" s="1116" t="str">
        <f t="shared" si="6"/>
        <v>土地使用年限（年）</v>
      </c>
      <c r="R10" s="1476" t="s">
        <v>8</v>
      </c>
      <c r="S10" s="1477">
        <f t="shared" si="0"/>
        <v>100</v>
      </c>
      <c r="T10" s="1476" t="s">
        <v>8</v>
      </c>
      <c r="U10" s="1477">
        <f t="shared" si="1"/>
        <v>100</v>
      </c>
      <c r="V10" s="1476" t="s">
        <v>8</v>
      </c>
      <c r="W10" s="1477">
        <f t="shared" si="2"/>
        <v>100</v>
      </c>
      <c r="X10" s="1478"/>
      <c r="Y10" s="3712"/>
      <c r="Z10" s="1115" t="str">
        <f t="shared" si="7"/>
        <v>土地使用年限（年）</v>
      </c>
      <c r="AA10" s="1479">
        <f t="shared" si="3"/>
        <v>1</v>
      </c>
      <c r="AB10" s="1479">
        <f t="shared" si="4"/>
        <v>1</v>
      </c>
      <c r="AC10" s="1479">
        <f t="shared" si="5"/>
        <v>1</v>
      </c>
    </row>
    <row r="11" spans="1:29" ht="15">
      <c r="A11" s="2601"/>
      <c r="B11" s="2607">
        <v>111</v>
      </c>
      <c r="C11" s="504"/>
      <c r="D11" s="253">
        <v>100</v>
      </c>
      <c r="E11" s="851"/>
      <c r="F11" s="253">
        <f>SUMIF(55:55,E11,56:56)-SUMIF(55:55,C11,56:56)+100</f>
        <v>100</v>
      </c>
      <c r="G11" s="851"/>
      <c r="H11" s="253">
        <f>SUMIF(55:55,G11,56:56)-SUMIF(55:55,C11,56:56)+100</f>
        <v>100</v>
      </c>
      <c r="I11" s="851"/>
      <c r="J11" s="253">
        <f>SUMIF(55:55,I11,56:56)-SUMIF(55:55,C11,56:56)+100</f>
        <v>100</v>
      </c>
      <c r="K11" s="557"/>
      <c r="L11" s="1992"/>
      <c r="M11" s="1986"/>
      <c r="N11" s="1986"/>
      <c r="O11" s="1993"/>
      <c r="P11" s="3771"/>
      <c r="Q11" s="1116">
        <f t="shared" si="6"/>
        <v>111</v>
      </c>
      <c r="R11" s="1476" t="s">
        <v>8</v>
      </c>
      <c r="S11" s="1477">
        <f t="shared" si="0"/>
        <v>100</v>
      </c>
      <c r="T11" s="1476" t="s">
        <v>8</v>
      </c>
      <c r="U11" s="1477">
        <f t="shared" si="1"/>
        <v>100</v>
      </c>
      <c r="V11" s="1476" t="s">
        <v>8</v>
      </c>
      <c r="W11" s="1477">
        <f t="shared" si="2"/>
        <v>100</v>
      </c>
      <c r="X11" s="1478"/>
      <c r="Y11" s="3712"/>
      <c r="Z11" s="1115">
        <f t="shared" si="7"/>
        <v>111</v>
      </c>
      <c r="AA11" s="1479">
        <f t="shared" si="3"/>
        <v>1</v>
      </c>
      <c r="AB11" s="1479">
        <f t="shared" si="4"/>
        <v>1</v>
      </c>
      <c r="AC11" s="1479">
        <f t="shared" si="5"/>
        <v>1</v>
      </c>
    </row>
    <row r="12" spans="1:29" s="1185" customFormat="1" ht="15">
      <c r="A12" s="2601"/>
      <c r="B12" s="2607">
        <v>111</v>
      </c>
      <c r="C12" s="504"/>
      <c r="D12" s="514">
        <v>100</v>
      </c>
      <c r="E12" s="851"/>
      <c r="F12" s="253">
        <f>SUMIF(57:57,E12,58:58)-SUMIF(57:57,C12,58:58)+100</f>
        <v>100</v>
      </c>
      <c r="G12" s="851"/>
      <c r="H12" s="253">
        <f>SUMIF(57:57,G12,58:58)-SUMIF(57:57,C12,58:58)+100</f>
        <v>100</v>
      </c>
      <c r="I12" s="851"/>
      <c r="J12" s="253">
        <f>SUMIF(57:57,I12,58:58)-SUMIF(57:57,C12,58:58)+100</f>
        <v>100</v>
      </c>
      <c r="K12" s="557"/>
      <c r="L12" s="1987"/>
      <c r="M12" s="1988"/>
      <c r="N12" s="1988"/>
      <c r="O12" s="1989"/>
      <c r="P12" s="3771"/>
      <c r="Q12" s="1116">
        <f t="shared" si="6"/>
        <v>111</v>
      </c>
      <c r="R12" s="1476" t="s">
        <v>8</v>
      </c>
      <c r="S12" s="1477">
        <f t="shared" si="0"/>
        <v>100</v>
      </c>
      <c r="T12" s="1476" t="s">
        <v>8</v>
      </c>
      <c r="U12" s="1477">
        <f t="shared" si="1"/>
        <v>100</v>
      </c>
      <c r="V12" s="1476" t="s">
        <v>8</v>
      </c>
      <c r="W12" s="1477">
        <f t="shared" si="2"/>
        <v>100</v>
      </c>
      <c r="X12" s="1478"/>
      <c r="Y12" s="3712"/>
      <c r="Z12" s="1115">
        <f t="shared" si="7"/>
        <v>111</v>
      </c>
      <c r="AA12" s="1479">
        <f>D12/F12</f>
        <v>1</v>
      </c>
      <c r="AB12" s="1479">
        <f>D12/H12</f>
        <v>1</v>
      </c>
      <c r="AC12" s="1479">
        <f>D12/J12</f>
        <v>1</v>
      </c>
    </row>
    <row r="13" spans="1:29" ht="15.75" thickBot="1">
      <c r="A13" s="2602"/>
      <c r="B13" s="2608">
        <v>111</v>
      </c>
      <c r="C13" s="515"/>
      <c r="D13" s="516">
        <v>100</v>
      </c>
      <c r="E13" s="851"/>
      <c r="F13" s="253">
        <f>SUMIF(59:59,E13,60:60)-SUMIF(59:59,C13,60:60)+100</f>
        <v>100</v>
      </c>
      <c r="G13" s="851"/>
      <c r="H13" s="516">
        <f>SUMIF(59:59,G13,60:60)-SUMIF(59:59,C13,60:60)+100</f>
        <v>100</v>
      </c>
      <c r="I13" s="851"/>
      <c r="J13" s="516">
        <f>SUMIF(59:59,I13,60:60)-SUMIF(59:59,C13,60:60)+100</f>
        <v>100</v>
      </c>
      <c r="K13" s="557"/>
      <c r="L13" s="1994"/>
      <c r="M13" s="1986"/>
      <c r="N13" s="1986"/>
      <c r="O13" s="1993"/>
      <c r="P13" s="3771"/>
      <c r="Q13" s="1116">
        <f t="shared" si="6"/>
        <v>111</v>
      </c>
      <c r="R13" s="1476" t="s">
        <v>8</v>
      </c>
      <c r="S13" s="1477">
        <f t="shared" si="0"/>
        <v>100</v>
      </c>
      <c r="T13" s="1476" t="s">
        <v>8</v>
      </c>
      <c r="U13" s="1477">
        <f t="shared" si="1"/>
        <v>100</v>
      </c>
      <c r="V13" s="1476" t="s">
        <v>8</v>
      </c>
      <c r="W13" s="1477">
        <f t="shared" si="2"/>
        <v>100</v>
      </c>
      <c r="X13" s="1478"/>
      <c r="Y13" s="3712"/>
      <c r="Z13" s="1115">
        <f t="shared" si="7"/>
        <v>111</v>
      </c>
      <c r="AA13" s="1479">
        <f t="shared" si="3"/>
        <v>1</v>
      </c>
      <c r="AB13" s="1479">
        <f t="shared" si="4"/>
        <v>1</v>
      </c>
      <c r="AC13" s="1479">
        <f t="shared" si="5"/>
        <v>1</v>
      </c>
    </row>
    <row r="14" spans="1:29" ht="85.5">
      <c r="A14" s="2594" t="s">
        <v>2705</v>
      </c>
      <c r="B14" s="164" t="s">
        <v>520</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4"/>
      <c r="M14" s="1986"/>
      <c r="N14" s="1986"/>
      <c r="O14" s="1993"/>
      <c r="P14" s="3773" t="s">
        <v>517</v>
      </c>
      <c r="Q14" s="1480" t="str">
        <f t="shared" si="6"/>
        <v>交通便捷度</v>
      </c>
      <c r="R14" s="1481" t="s">
        <v>8</v>
      </c>
      <c r="S14" s="1482">
        <f t="shared" si="0"/>
        <v>100</v>
      </c>
      <c r="T14" s="1481" t="s">
        <v>8</v>
      </c>
      <c r="U14" s="1482">
        <f t="shared" si="1"/>
        <v>100</v>
      </c>
      <c r="V14" s="1481" t="s">
        <v>8</v>
      </c>
      <c r="W14" s="1482">
        <f t="shared" si="2"/>
        <v>100</v>
      </c>
      <c r="X14" s="1475"/>
      <c r="Y14" s="3773" t="s">
        <v>517</v>
      </c>
      <c r="Z14" s="1483" t="str">
        <f t="shared" si="7"/>
        <v>交通便捷度</v>
      </c>
      <c r="AA14" s="1484">
        <f t="shared" si="3"/>
        <v>1</v>
      </c>
      <c r="AB14" s="1484">
        <f t="shared" si="4"/>
        <v>1</v>
      </c>
      <c r="AC14" s="1484">
        <f t="shared" si="5"/>
        <v>1</v>
      </c>
    </row>
    <row r="15" spans="1:29" ht="15">
      <c r="A15" s="508"/>
      <c r="B15" s="840"/>
      <c r="C15" s="552"/>
      <c r="D15" s="531"/>
      <c r="E15" s="552"/>
      <c r="F15" s="533"/>
      <c r="G15" s="552"/>
      <c r="H15" s="535"/>
      <c r="I15" s="552"/>
      <c r="J15" s="531"/>
      <c r="K15" s="870"/>
      <c r="L15" s="1994"/>
      <c r="M15" s="1986"/>
      <c r="N15" s="1986"/>
      <c r="O15" s="1993"/>
      <c r="P15" s="3774"/>
      <c r="Q15" s="1480"/>
      <c r="R15" s="1481"/>
      <c r="S15" s="1482"/>
      <c r="T15" s="1481"/>
      <c r="U15" s="1482"/>
      <c r="V15" s="1481"/>
      <c r="W15" s="1482"/>
      <c r="X15" s="1475"/>
      <c r="Y15" s="3774"/>
      <c r="Z15" s="1483"/>
      <c r="AA15" s="1484">
        <v>1</v>
      </c>
      <c r="AB15" s="1484">
        <v>1</v>
      </c>
      <c r="AC15" s="1484">
        <v>1</v>
      </c>
    </row>
    <row r="16" spans="1:29" ht="42.75">
      <c r="A16" s="508"/>
      <c r="B16" s="2414" t="s">
        <v>2498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4"/>
      <c r="M16" s="1986"/>
      <c r="N16" s="1986"/>
      <c r="O16" s="1993"/>
      <c r="P16" s="3774"/>
      <c r="Q16" s="1480" t="str">
        <f>B16</f>
        <v>公共配套设施</v>
      </c>
      <c r="R16" s="1481" t="s">
        <v>8</v>
      </c>
      <c r="S16" s="1482">
        <f>F16</f>
        <v>100</v>
      </c>
      <c r="T16" s="1481" t="s">
        <v>8</v>
      </c>
      <c r="U16" s="1482">
        <f>H16</f>
        <v>100</v>
      </c>
      <c r="V16" s="1481" t="s">
        <v>8</v>
      </c>
      <c r="W16" s="1482">
        <f>J16</f>
        <v>100</v>
      </c>
      <c r="X16" s="1475"/>
      <c r="Y16" s="3774"/>
      <c r="Z16" s="1483" t="str">
        <f>Q16</f>
        <v>公共配套设施</v>
      </c>
      <c r="AA16" s="1484">
        <f t="shared" si="3"/>
        <v>1</v>
      </c>
      <c r="AB16" s="1484">
        <f t="shared" si="4"/>
        <v>1</v>
      </c>
      <c r="AC16" s="1484">
        <f t="shared" si="5"/>
        <v>1</v>
      </c>
    </row>
    <row r="17" spans="1:29" ht="15">
      <c r="A17" s="508"/>
      <c r="B17" s="542"/>
      <c r="C17" s="844"/>
      <c r="D17" s="531"/>
      <c r="E17" s="552"/>
      <c r="F17" s="533"/>
      <c r="G17" s="552"/>
      <c r="H17" s="531"/>
      <c r="I17" s="552"/>
      <c r="J17" s="531"/>
      <c r="K17" s="870"/>
      <c r="L17" s="1994"/>
      <c r="M17" s="1986"/>
      <c r="N17" s="1986"/>
      <c r="O17" s="1993"/>
      <c r="P17" s="3774"/>
      <c r="Q17" s="1480"/>
      <c r="R17" s="1481"/>
      <c r="S17" s="1482"/>
      <c r="T17" s="1481"/>
      <c r="U17" s="1482"/>
      <c r="V17" s="1481"/>
      <c r="W17" s="1482"/>
      <c r="X17" s="1475"/>
      <c r="Y17" s="3774"/>
      <c r="Z17" s="1483"/>
      <c r="AA17" s="1484">
        <v>1</v>
      </c>
      <c r="AB17" s="1484">
        <v>1</v>
      </c>
      <c r="AC17" s="1484">
        <v>1</v>
      </c>
    </row>
    <row r="18" spans="1:29" ht="28.5">
      <c r="A18" s="508"/>
      <c r="B18" s="2402" t="s">
        <v>2510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4"/>
      <c r="M18" s="1986"/>
      <c r="N18" s="1986"/>
      <c r="O18" s="1993"/>
      <c r="P18" s="3774"/>
      <c r="Q18" s="2396" t="str">
        <f>B18</f>
        <v>基础设施水平</v>
      </c>
      <c r="R18" s="1481" t="s">
        <v>8</v>
      </c>
      <c r="S18" s="1482">
        <f>F18</f>
        <v>100</v>
      </c>
      <c r="T18" s="1481" t="s">
        <v>8</v>
      </c>
      <c r="U18" s="1482">
        <f>H18</f>
        <v>100</v>
      </c>
      <c r="V18" s="1481" t="s">
        <v>8</v>
      </c>
      <c r="W18" s="1482">
        <f>J18</f>
        <v>100</v>
      </c>
      <c r="X18" s="2398"/>
      <c r="Y18" s="3774"/>
      <c r="Z18" s="2397" t="str">
        <f>Q18</f>
        <v>基础设施水平</v>
      </c>
      <c r="AA18" s="1484">
        <f t="shared" ref="AA18" si="8">D18/F18</f>
        <v>1</v>
      </c>
      <c r="AB18" s="1484">
        <f t="shared" ref="AB18" si="9">D18/H18</f>
        <v>1</v>
      </c>
      <c r="AC18" s="1484">
        <f t="shared" ref="AC18" si="10">D18/J18</f>
        <v>1</v>
      </c>
    </row>
    <row r="19" spans="1:29" ht="15">
      <c r="A19" s="508"/>
      <c r="B19" s="554"/>
      <c r="C19" s="844"/>
      <c r="D19" s="535"/>
      <c r="E19" s="844"/>
      <c r="F19" s="539"/>
      <c r="G19" s="844"/>
      <c r="H19" s="531"/>
      <c r="I19" s="552"/>
      <c r="J19" s="531"/>
      <c r="K19" s="2413"/>
      <c r="L19" s="1994"/>
      <c r="M19" s="1986"/>
      <c r="N19" s="1986"/>
      <c r="O19" s="1993"/>
      <c r="P19" s="3774"/>
      <c r="Q19" s="2396"/>
      <c r="R19" s="1481"/>
      <c r="S19" s="1482"/>
      <c r="T19" s="1481"/>
      <c r="U19" s="1482"/>
      <c r="V19" s="1481"/>
      <c r="W19" s="1482"/>
      <c r="X19" s="2398"/>
      <c r="Y19" s="3774"/>
      <c r="Z19" s="2397"/>
      <c r="AA19" s="1484">
        <v>1</v>
      </c>
      <c r="AB19" s="1484">
        <v>1</v>
      </c>
      <c r="AC19" s="1484">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4"/>
      <c r="M20" s="1986"/>
      <c r="N20" s="1986"/>
      <c r="O20" s="1993"/>
      <c r="P20" s="3774"/>
      <c r="Q20" s="1480" t="str">
        <f>B20</f>
        <v>自然及人文环境</v>
      </c>
      <c r="R20" s="1481" t="s">
        <v>8</v>
      </c>
      <c r="S20" s="1482">
        <f>F20</f>
        <v>100</v>
      </c>
      <c r="T20" s="1481" t="s">
        <v>8</v>
      </c>
      <c r="U20" s="1482">
        <f>H20</f>
        <v>100</v>
      </c>
      <c r="V20" s="1481" t="s">
        <v>8</v>
      </c>
      <c r="W20" s="1482">
        <f>J20</f>
        <v>100</v>
      </c>
      <c r="X20" s="1475"/>
      <c r="Y20" s="3774"/>
      <c r="Z20" s="1483" t="str">
        <f>Q20</f>
        <v>自然及人文环境</v>
      </c>
      <c r="AA20" s="1484">
        <f t="shared" si="3"/>
        <v>1</v>
      </c>
      <c r="AB20" s="1484">
        <f t="shared" si="4"/>
        <v>1</v>
      </c>
      <c r="AC20" s="1484">
        <f t="shared" si="5"/>
        <v>1</v>
      </c>
    </row>
    <row r="21" spans="1:29" ht="15">
      <c r="A21" s="508"/>
      <c r="B21" s="571"/>
      <c r="C21" s="552"/>
      <c r="D21" s="531"/>
      <c r="E21" s="552"/>
      <c r="F21" s="533"/>
      <c r="G21" s="552"/>
      <c r="H21" s="531"/>
      <c r="I21" s="552"/>
      <c r="J21" s="531"/>
      <c r="K21" s="870"/>
      <c r="L21" s="1994"/>
      <c r="M21" s="1986"/>
      <c r="N21" s="1986"/>
      <c r="O21" s="1993"/>
      <c r="P21" s="3774"/>
      <c r="Q21" s="1480"/>
      <c r="R21" s="1481"/>
      <c r="S21" s="1482"/>
      <c r="T21" s="1481"/>
      <c r="U21" s="1482"/>
      <c r="V21" s="1481"/>
      <c r="W21" s="1482"/>
      <c r="X21" s="1475"/>
      <c r="Y21" s="3774"/>
      <c r="Z21" s="1483"/>
      <c r="AA21" s="1484">
        <v>1</v>
      </c>
      <c r="AB21" s="1484">
        <v>1</v>
      </c>
      <c r="AC21" s="1484">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94"/>
      <c r="M22" s="1986"/>
      <c r="N22" s="1986"/>
      <c r="O22" s="1993"/>
      <c r="P22" s="3774"/>
      <c r="Q22" s="1480" t="str">
        <f>B22</f>
        <v>楼层</v>
      </c>
      <c r="R22" s="1481" t="s">
        <v>8</v>
      </c>
      <c r="S22" s="1482">
        <f>F22</f>
        <v>100</v>
      </c>
      <c r="T22" s="1481" t="s">
        <v>8</v>
      </c>
      <c r="U22" s="1482">
        <f>H22</f>
        <v>100</v>
      </c>
      <c r="V22" s="1481" t="s">
        <v>8</v>
      </c>
      <c r="W22" s="1482">
        <f>J22</f>
        <v>100</v>
      </c>
      <c r="X22" s="1475"/>
      <c r="Y22" s="3774"/>
      <c r="Z22" s="1483" t="str">
        <f>Q22</f>
        <v>楼层</v>
      </c>
      <c r="AA22" s="1484">
        <f t="shared" si="3"/>
        <v>1</v>
      </c>
      <c r="AB22" s="1484">
        <f t="shared" si="4"/>
        <v>1</v>
      </c>
      <c r="AC22" s="148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4"/>
      <c r="M23" s="1986"/>
      <c r="N23" s="1986"/>
      <c r="O23" s="1993"/>
      <c r="P23" s="3774"/>
      <c r="Q23" s="1480">
        <f>B23</f>
        <v>111</v>
      </c>
      <c r="R23" s="1481" t="s">
        <v>8</v>
      </c>
      <c r="S23" s="1482">
        <f>F23</f>
        <v>100</v>
      </c>
      <c r="T23" s="1481" t="s">
        <v>8</v>
      </c>
      <c r="U23" s="1482">
        <f>H23</f>
        <v>100</v>
      </c>
      <c r="V23" s="1481" t="s">
        <v>8</v>
      </c>
      <c r="W23" s="1482">
        <f>J23</f>
        <v>100</v>
      </c>
      <c r="X23" s="1475"/>
      <c r="Y23" s="3774"/>
      <c r="Z23" s="1483">
        <f>Q23</f>
        <v>111</v>
      </c>
      <c r="AA23" s="1484">
        <f t="shared" si="3"/>
        <v>1</v>
      </c>
      <c r="AB23" s="1484">
        <f t="shared" si="4"/>
        <v>1</v>
      </c>
      <c r="AC23" s="148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4"/>
      <c r="M24" s="1986"/>
      <c r="N24" s="1986"/>
      <c r="O24" s="1993"/>
      <c r="P24" s="3774"/>
      <c r="Q24" s="1480">
        <f t="shared" ref="Q24:Q34" si="11">B24</f>
        <v>111</v>
      </c>
      <c r="R24" s="1481" t="s">
        <v>8</v>
      </c>
      <c r="S24" s="1482">
        <f>F24</f>
        <v>100</v>
      </c>
      <c r="T24" s="1481" t="s">
        <v>8</v>
      </c>
      <c r="U24" s="1482">
        <f>H24</f>
        <v>100</v>
      </c>
      <c r="V24" s="1481" t="s">
        <v>8</v>
      </c>
      <c r="W24" s="1482">
        <f>J24</f>
        <v>100</v>
      </c>
      <c r="X24" s="1475"/>
      <c r="Y24" s="3774"/>
      <c r="Z24" s="1483">
        <f>Q24</f>
        <v>111</v>
      </c>
      <c r="AA24" s="1484">
        <f t="shared" si="3"/>
        <v>1</v>
      </c>
      <c r="AB24" s="1484">
        <f t="shared" si="4"/>
        <v>1</v>
      </c>
      <c r="AC24" s="1484">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7"/>
      <c r="M25" s="1988"/>
      <c r="N25" s="1988"/>
      <c r="O25" s="1989"/>
      <c r="P25" s="3774"/>
      <c r="Q25" s="1116">
        <f t="shared" si="11"/>
        <v>111</v>
      </c>
      <c r="R25" s="1476" t="s">
        <v>8</v>
      </c>
      <c r="S25" s="1477">
        <f>F25</f>
        <v>100</v>
      </c>
      <c r="T25" s="1476" t="s">
        <v>8</v>
      </c>
      <c r="U25" s="1477">
        <f>H25</f>
        <v>100</v>
      </c>
      <c r="V25" s="1476" t="s">
        <v>8</v>
      </c>
      <c r="W25" s="1477">
        <f>J25</f>
        <v>100</v>
      </c>
      <c r="X25" s="1478"/>
      <c r="Y25" s="3774"/>
      <c r="Z25" s="1115">
        <f>Q25</f>
        <v>111</v>
      </c>
      <c r="AA25" s="1484">
        <f>D25/F25</f>
        <v>1</v>
      </c>
      <c r="AB25" s="1484">
        <f>D25/H25</f>
        <v>1</v>
      </c>
      <c r="AC25" s="1484">
        <f>D25/J25</f>
        <v>1</v>
      </c>
    </row>
    <row r="26" spans="1:29" ht="15">
      <c r="A26" s="2591" t="s">
        <v>2706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94"/>
      <c r="M26" s="1986"/>
      <c r="N26" s="1986"/>
      <c r="O26" s="1993"/>
      <c r="P26" s="3775" t="s">
        <v>798</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776" t="s">
        <v>798</v>
      </c>
      <c r="Z26" s="1483" t="str">
        <f t="shared" ref="Z26:Z34" si="15">Q26</f>
        <v>公共部分装修</v>
      </c>
      <c r="AA26" s="1484">
        <f t="shared" si="3"/>
        <v>1</v>
      </c>
      <c r="AB26" s="1484">
        <f t="shared" si="4"/>
        <v>1</v>
      </c>
      <c r="AC26" s="1484">
        <f t="shared" si="5"/>
        <v>1</v>
      </c>
    </row>
    <row r="27" spans="1:29" s="1267"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2"/>
      <c r="M27" s="2022"/>
      <c r="N27" s="2022"/>
      <c r="O27" s="1995"/>
      <c r="P27" s="3776"/>
      <c r="Q27" s="1509" t="str">
        <f t="shared" si="11"/>
        <v>成新率</v>
      </c>
      <c r="R27" s="1485" t="s">
        <v>8</v>
      </c>
      <c r="S27" s="1486" t="e">
        <f t="shared" si="12"/>
        <v>#N/A</v>
      </c>
      <c r="T27" s="1485" t="s">
        <v>8</v>
      </c>
      <c r="U27" s="1486" t="e">
        <f t="shared" si="13"/>
        <v>#N/A</v>
      </c>
      <c r="V27" s="1485" t="s">
        <v>8</v>
      </c>
      <c r="W27" s="1486" t="e">
        <f t="shared" si="14"/>
        <v>#N/A</v>
      </c>
      <c r="X27" s="1487"/>
      <c r="Y27" s="3776"/>
      <c r="Z27" s="1488" t="str">
        <f t="shared" si="15"/>
        <v>成新率</v>
      </c>
      <c r="AA27" s="1484" t="e">
        <f t="shared" si="3"/>
        <v>#N/A</v>
      </c>
      <c r="AB27" s="1484" t="e">
        <f t="shared" si="4"/>
        <v>#N/A</v>
      </c>
      <c r="AC27" s="1484"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94"/>
      <c r="M28" s="1986"/>
      <c r="N28" s="1986"/>
      <c r="O28" s="1993"/>
      <c r="P28" s="3776"/>
      <c r="Q28" s="1480" t="str">
        <f t="shared" si="11"/>
        <v>物业等级</v>
      </c>
      <c r="R28" s="1481" t="s">
        <v>8</v>
      </c>
      <c r="S28" s="1482">
        <f t="shared" si="12"/>
        <v>100</v>
      </c>
      <c r="T28" s="1481" t="s">
        <v>8</v>
      </c>
      <c r="U28" s="1482">
        <f t="shared" si="13"/>
        <v>100</v>
      </c>
      <c r="V28" s="1481" t="s">
        <v>8</v>
      </c>
      <c r="W28" s="1482">
        <f t="shared" si="14"/>
        <v>100</v>
      </c>
      <c r="X28" s="1475"/>
      <c r="Y28" s="3776"/>
      <c r="Z28" s="1483" t="str">
        <f t="shared" si="15"/>
        <v>物业等级</v>
      </c>
      <c r="AA28" s="1484">
        <f t="shared" si="3"/>
        <v>1</v>
      </c>
      <c r="AB28" s="1484">
        <f t="shared" si="4"/>
        <v>1</v>
      </c>
      <c r="AC28" s="1484">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94"/>
      <c r="M29" s="1986"/>
      <c r="N29" s="1986"/>
      <c r="O29" s="1993"/>
      <c r="P29" s="3776"/>
      <c r="Q29" s="1480" t="str">
        <f t="shared" si="11"/>
        <v>有无电梯</v>
      </c>
      <c r="R29" s="1481" t="s">
        <v>8</v>
      </c>
      <c r="S29" s="1482">
        <f t="shared" si="12"/>
        <v>100</v>
      </c>
      <c r="T29" s="1481" t="s">
        <v>8</v>
      </c>
      <c r="U29" s="1482">
        <f t="shared" si="13"/>
        <v>100</v>
      </c>
      <c r="V29" s="1481" t="s">
        <v>8</v>
      </c>
      <c r="W29" s="1482">
        <f t="shared" si="14"/>
        <v>100</v>
      </c>
      <c r="X29" s="1475"/>
      <c r="Y29" s="3776"/>
      <c r="Z29" s="1483" t="str">
        <f t="shared" si="15"/>
        <v>有无电梯</v>
      </c>
      <c r="AA29" s="1484">
        <f t="shared" si="3"/>
        <v>1</v>
      </c>
      <c r="AB29" s="1484">
        <f t="shared" si="4"/>
        <v>1</v>
      </c>
      <c r="AC29" s="1484">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4"/>
      <c r="M30" s="1986"/>
      <c r="N30" s="1986"/>
      <c r="O30" s="1993"/>
      <c r="P30" s="3776"/>
      <c r="Q30" s="1480" t="str">
        <f t="shared" si="11"/>
        <v>建筑面积</v>
      </c>
      <c r="R30" s="1481" t="s">
        <v>8</v>
      </c>
      <c r="S30" s="1482" t="e">
        <f t="shared" si="12"/>
        <v>#N/A</v>
      </c>
      <c r="T30" s="1481" t="s">
        <v>8</v>
      </c>
      <c r="U30" s="1482" t="e">
        <f t="shared" si="13"/>
        <v>#N/A</v>
      </c>
      <c r="V30" s="1481" t="s">
        <v>8</v>
      </c>
      <c r="W30" s="1482" t="e">
        <f t="shared" si="14"/>
        <v>#N/A</v>
      </c>
      <c r="X30" s="1475"/>
      <c r="Y30" s="3776"/>
      <c r="Z30" s="1483" t="str">
        <f t="shared" si="15"/>
        <v>建筑面积</v>
      </c>
      <c r="AA30" s="1484" t="e">
        <f t="shared" si="3"/>
        <v>#N/A</v>
      </c>
      <c r="AB30" s="1484" t="e">
        <f t="shared" si="4"/>
        <v>#N/A</v>
      </c>
      <c r="AC30" s="1484" t="e">
        <f t="shared" si="5"/>
        <v>#N/A</v>
      </c>
    </row>
    <row r="31" spans="1:29" s="1185"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87"/>
      <c r="M31" s="1988"/>
      <c r="N31" s="1988"/>
      <c r="O31" s="1989"/>
      <c r="P31" s="3776"/>
      <c r="Q31" s="1116" t="str">
        <f t="shared" si="11"/>
        <v>是否封闭</v>
      </c>
      <c r="R31" s="1476" t="s">
        <v>8</v>
      </c>
      <c r="S31" s="1477">
        <f t="shared" si="12"/>
        <v>100</v>
      </c>
      <c r="T31" s="1476" t="s">
        <v>8</v>
      </c>
      <c r="U31" s="1477">
        <f t="shared" si="13"/>
        <v>100</v>
      </c>
      <c r="V31" s="1476" t="s">
        <v>8</v>
      </c>
      <c r="W31" s="1477">
        <f t="shared" si="14"/>
        <v>100</v>
      </c>
      <c r="X31" s="1478"/>
      <c r="Y31" s="3776"/>
      <c r="Z31" s="1115" t="str">
        <f t="shared" si="15"/>
        <v>是否封闭</v>
      </c>
      <c r="AA31" s="1479">
        <f t="shared" si="3"/>
        <v>1</v>
      </c>
      <c r="AB31" s="1479">
        <f t="shared" si="4"/>
        <v>1</v>
      </c>
      <c r="AC31" s="147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4"/>
      <c r="M32" s="1986"/>
      <c r="N32" s="1986"/>
      <c r="O32" s="1993"/>
      <c r="P32" s="3776" t="s">
        <v>527</v>
      </c>
      <c r="Q32" s="1480">
        <f t="shared" si="11"/>
        <v>111</v>
      </c>
      <c r="R32" s="1481" t="s">
        <v>8</v>
      </c>
      <c r="S32" s="1482">
        <f t="shared" si="12"/>
        <v>100</v>
      </c>
      <c r="T32" s="1481" t="s">
        <v>8</v>
      </c>
      <c r="U32" s="1482">
        <f t="shared" si="13"/>
        <v>100</v>
      </c>
      <c r="V32" s="1481" t="s">
        <v>8</v>
      </c>
      <c r="W32" s="1482">
        <f t="shared" si="14"/>
        <v>100</v>
      </c>
      <c r="X32" s="1475"/>
      <c r="Y32" s="3776" t="s">
        <v>527</v>
      </c>
      <c r="Z32" s="1483">
        <f t="shared" si="15"/>
        <v>111</v>
      </c>
      <c r="AA32" s="1484">
        <f t="shared" si="3"/>
        <v>1</v>
      </c>
      <c r="AB32" s="1484">
        <f t="shared" si="4"/>
        <v>1</v>
      </c>
      <c r="AC32" s="148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4"/>
      <c r="M33" s="1986"/>
      <c r="N33" s="1986"/>
      <c r="O33" s="1993"/>
      <c r="P33" s="3776"/>
      <c r="Q33" s="1480">
        <f t="shared" si="11"/>
        <v>111</v>
      </c>
      <c r="R33" s="1481" t="s">
        <v>8</v>
      </c>
      <c r="S33" s="1482">
        <f t="shared" si="12"/>
        <v>100</v>
      </c>
      <c r="T33" s="1481" t="s">
        <v>8</v>
      </c>
      <c r="U33" s="1482">
        <f t="shared" si="13"/>
        <v>100</v>
      </c>
      <c r="V33" s="1481" t="s">
        <v>8</v>
      </c>
      <c r="W33" s="1482">
        <f t="shared" si="14"/>
        <v>100</v>
      </c>
      <c r="X33" s="1475"/>
      <c r="Y33" s="3776"/>
      <c r="Z33" s="1483">
        <f t="shared" si="15"/>
        <v>111</v>
      </c>
      <c r="AA33" s="1484">
        <f t="shared" si="3"/>
        <v>1</v>
      </c>
      <c r="AB33" s="1484">
        <f t="shared" si="4"/>
        <v>1</v>
      </c>
      <c r="AC33" s="1484">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4"/>
      <c r="M34" s="1986"/>
      <c r="N34" s="1986"/>
      <c r="O34" s="1993"/>
      <c r="P34" s="3776"/>
      <c r="Q34" s="1480">
        <f t="shared" si="11"/>
        <v>111</v>
      </c>
      <c r="R34" s="1481" t="s">
        <v>8</v>
      </c>
      <c r="S34" s="1482">
        <f t="shared" si="12"/>
        <v>100</v>
      </c>
      <c r="T34" s="1481" t="s">
        <v>8</v>
      </c>
      <c r="U34" s="1482">
        <f t="shared" si="13"/>
        <v>100</v>
      </c>
      <c r="V34" s="1481" t="s">
        <v>8</v>
      </c>
      <c r="W34" s="1482">
        <f t="shared" si="14"/>
        <v>100</v>
      </c>
      <c r="X34" s="1475"/>
      <c r="Y34" s="3776"/>
      <c r="Z34" s="1483">
        <f t="shared" si="15"/>
        <v>111</v>
      </c>
      <c r="AA34" s="1484">
        <f t="shared" si="3"/>
        <v>1</v>
      </c>
      <c r="AB34" s="1484">
        <f t="shared" si="4"/>
        <v>1</v>
      </c>
      <c r="AC34" s="1484">
        <f t="shared" si="5"/>
        <v>1</v>
      </c>
    </row>
    <row r="35" spans="1:29" ht="15">
      <c r="A35" s="583" t="s">
        <v>713</v>
      </c>
      <c r="B35" s="858"/>
      <c r="C35" s="2437" t="s">
        <v>1</v>
      </c>
      <c r="D35" s="2438"/>
      <c r="E35" s="2439"/>
      <c r="F35" s="2440"/>
      <c r="G35" s="2441"/>
      <c r="H35" s="2442"/>
      <c r="I35" s="2439"/>
      <c r="J35" s="2442"/>
      <c r="K35" s="1514"/>
      <c r="L35" s="1996"/>
      <c r="M35" s="1997"/>
      <c r="N35" s="1986"/>
      <c r="O35" s="1997"/>
      <c r="P35" s="3771" t="str">
        <f>A35</f>
        <v>成交单价（元/平方米）</v>
      </c>
      <c r="Q35" s="3771"/>
      <c r="R35" s="3913">
        <f>E35</f>
        <v>0</v>
      </c>
      <c r="S35" s="3913"/>
      <c r="T35" s="3913">
        <f>G35</f>
        <v>0</v>
      </c>
      <c r="U35" s="3913"/>
      <c r="V35" s="3913">
        <f>I35</f>
        <v>0</v>
      </c>
      <c r="W35" s="3913"/>
      <c r="X35" s="1470"/>
      <c r="Y35" s="1489"/>
      <c r="Z35" s="1470"/>
      <c r="AA35" s="1470"/>
      <c r="AB35" s="1470"/>
      <c r="AC35" s="1470"/>
    </row>
    <row r="36" spans="1:29" ht="15.75" thickBot="1">
      <c r="A36" s="591" t="s">
        <v>2711</v>
      </c>
      <c r="B36" s="859"/>
      <c r="C36" s="2443" t="e">
        <f>R37</f>
        <v>#DIV/0!</v>
      </c>
      <c r="D36" s="2977" t="s">
        <v>2936</v>
      </c>
      <c r="E36" s="2444" t="e">
        <f>R36</f>
        <v>#DIV/0!</v>
      </c>
      <c r="F36" s="2978"/>
      <c r="G36" s="2443" t="e">
        <f>T36</f>
        <v>#DIV/0!</v>
      </c>
      <c r="H36" s="2978"/>
      <c r="I36" s="2444" t="e">
        <f>V36</f>
        <v>#DIV/0!</v>
      </c>
      <c r="J36" s="2978"/>
      <c r="K36" s="2986">
        <f>F36+H36+J36</f>
        <v>0</v>
      </c>
      <c r="L36" s="1996"/>
      <c r="M36" s="1997"/>
      <c r="N36" s="1986"/>
      <c r="O36" s="1997"/>
      <c r="P36" s="3771" t="str">
        <f>A36</f>
        <v>比较价格（元/平方米）</v>
      </c>
      <c r="Q36" s="3771"/>
      <c r="R36" s="3913" t="e">
        <f>IF(F1="售价",ROUND(PRODUCT(R35,AA7:AA34),0),ROUND(PRODUCT(R35,AA7:AA34),1))</f>
        <v>#DIV/0!</v>
      </c>
      <c r="S36" s="3913"/>
      <c r="T36" s="3913" t="e">
        <f>IF(F1="售价",ROUND(PRODUCT(T35,AB7:AB34),0),ROUND(PRODUCT(T35,AB7:AB34),1))</f>
        <v>#DIV/0!</v>
      </c>
      <c r="U36" s="3913"/>
      <c r="V36" s="3913" t="e">
        <f>IF(F1="售价",ROUND(PRODUCT(V35,AC7:AC34),0),ROUND(PRODUCT(V35,AC7:AC34),1))</f>
        <v>#DIV/0!</v>
      </c>
      <c r="W36" s="3913"/>
      <c r="X36" s="1470"/>
      <c r="Y36" s="1470"/>
      <c r="Z36" s="1470"/>
      <c r="AA36" s="1470"/>
      <c r="AB36" s="1470"/>
      <c r="AC36" s="1470"/>
    </row>
    <row r="37" spans="1:29" ht="15.75" thickBot="1">
      <c r="A37" s="595" t="s">
        <v>2871</v>
      </c>
      <c r="B37" s="596"/>
      <c r="C37" s="2445" t="e">
        <f>R37</f>
        <v>#DIV/0!</v>
      </c>
      <c r="D37" s="2445"/>
      <c r="E37" s="2445"/>
      <c r="F37" s="2445"/>
      <c r="G37" s="2445"/>
      <c r="H37" s="2445"/>
      <c r="I37" s="2445"/>
      <c r="J37" s="2445"/>
      <c r="K37" s="1515"/>
      <c r="L37" s="1996"/>
      <c r="M37" s="1997"/>
      <c r="N37" s="1997"/>
      <c r="O37" s="1997"/>
      <c r="P37" s="3792" t="str">
        <f>A37</f>
        <v>估价对象XX用房的比较价格（楼面单价，元/平方米）</v>
      </c>
      <c r="Q37" s="3793"/>
      <c r="R37" s="3912" t="e">
        <f>IF(F1="售价",ROUND(IF(D36="简单平均",AVERAGE(R36:W36),R36*F36+T36*H36+V36*J36),0),ROUND(IF(D36="简单平均",AVERAGE(R36:V36),R36*F36+T36*H36+V36*J36),1))</f>
        <v>#DIV/0!</v>
      </c>
      <c r="S37" s="3912"/>
      <c r="T37" s="3912"/>
      <c r="U37" s="3912"/>
      <c r="V37" s="3912"/>
      <c r="W37" s="3912"/>
      <c r="X37" s="1470"/>
      <c r="Y37" s="1470"/>
      <c r="Z37" s="1470"/>
      <c r="AA37" s="1470"/>
      <c r="AB37" s="1470"/>
      <c r="AC37" s="1470"/>
    </row>
    <row r="38" spans="1:29">
      <c r="A38" s="3176"/>
      <c r="B38" s="3176"/>
      <c r="C38" s="3176"/>
      <c r="D38" s="3176"/>
      <c r="E38" s="3176"/>
      <c r="F38" s="3176"/>
      <c r="G38" s="3178"/>
      <c r="H38" s="3176"/>
      <c r="I38" s="3176"/>
      <c r="J38" s="3176"/>
      <c r="K38" s="3179"/>
      <c r="L38" s="2001"/>
      <c r="M38" s="1997"/>
      <c r="N38" s="1997"/>
      <c r="O38" s="1997"/>
      <c r="P38" s="1997"/>
      <c r="Q38" s="1997"/>
      <c r="R38" s="1997"/>
      <c r="S38" s="1997"/>
      <c r="T38" s="1997"/>
      <c r="U38" s="1997"/>
      <c r="V38" s="1997"/>
      <c r="W38" s="1997"/>
      <c r="X38" s="1997"/>
      <c r="Y38" s="1997"/>
      <c r="Z38" s="1997"/>
      <c r="AA38" s="1997"/>
      <c r="AB38" s="1997"/>
      <c r="AC38" s="1997"/>
    </row>
    <row r="39" spans="1:29">
      <c r="A39" s="3176"/>
      <c r="B39" s="3176"/>
      <c r="C39" s="3176"/>
      <c r="D39" s="3176"/>
      <c r="E39" s="3176"/>
      <c r="F39" s="3176"/>
      <c r="G39" s="3176"/>
      <c r="H39" s="3176"/>
      <c r="I39" s="3176"/>
      <c r="J39" s="3176"/>
      <c r="K39" s="317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6"/>
      <c r="B40" s="3176"/>
      <c r="C40" s="598" t="s">
        <v>534</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6"/>
      <c r="B41" s="3176"/>
      <c r="C41" s="598" t="s">
        <v>535</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1"/>
      <c r="M41" s="1997"/>
      <c r="N41" s="1997"/>
      <c r="O41" s="1997"/>
      <c r="P41" s="1997"/>
      <c r="Q41" s="1997"/>
      <c r="R41" s="1997"/>
      <c r="S41" s="1997"/>
      <c r="T41" s="1997"/>
      <c r="U41" s="1997"/>
      <c r="V41" s="1997"/>
      <c r="W41" s="1997"/>
      <c r="X41" s="1997"/>
      <c r="Y41" s="1997"/>
      <c r="Z41" s="1997"/>
      <c r="AA41" s="1997"/>
      <c r="AB41" s="1997"/>
      <c r="AC41" s="1997"/>
    </row>
    <row r="42" spans="1:29" s="1272" customFormat="1" ht="13.5" customHeight="1">
      <c r="A42" s="3177"/>
      <c r="B42" s="3177"/>
      <c r="C42" s="598" t="s">
        <v>536</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4"/>
      <c r="M42" s="1998"/>
      <c r="N42" s="1998"/>
      <c r="O42" s="1998"/>
      <c r="P42" s="1998"/>
      <c r="Q42" s="1998"/>
      <c r="R42" s="1998"/>
      <c r="S42" s="1998"/>
      <c r="T42" s="1998"/>
      <c r="U42" s="1998"/>
      <c r="V42" s="1998"/>
      <c r="W42" s="1998"/>
      <c r="X42" s="1998"/>
      <c r="Y42" s="1998"/>
      <c r="Z42" s="1998"/>
      <c r="AA42" s="1998"/>
      <c r="AB42" s="1998"/>
      <c r="AC42" s="1998"/>
    </row>
    <row r="43" spans="1:29" s="1272"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2" t="s">
        <v>551</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4" customFormat="1" ht="15">
      <c r="A46" s="619" t="s">
        <v>506</v>
      </c>
      <c r="B46" s="620"/>
      <c r="C46" s="2486" t="str">
        <f>YEAR(C7)&amp;"-"&amp;MONTH(C7)</f>
        <v>2022-3</v>
      </c>
      <c r="D46" s="2488">
        <f>EDATE(C46,-1)</f>
        <v>44593</v>
      </c>
      <c r="E46" s="2488">
        <f t="shared" ref="E46:O46" si="16">EDATE(D46,-1)</f>
        <v>44562</v>
      </c>
      <c r="F46" s="2488">
        <f t="shared" si="16"/>
        <v>44531</v>
      </c>
      <c r="G46" s="2488">
        <f t="shared" si="16"/>
        <v>44501</v>
      </c>
      <c r="H46" s="2488">
        <f t="shared" si="16"/>
        <v>44470</v>
      </c>
      <c r="I46" s="2488">
        <f t="shared" si="16"/>
        <v>44440</v>
      </c>
      <c r="J46" s="2488">
        <f t="shared" si="16"/>
        <v>44409</v>
      </c>
      <c r="K46" s="2488">
        <f t="shared" si="16"/>
        <v>44378</v>
      </c>
      <c r="L46" s="2488">
        <f t="shared" si="16"/>
        <v>44348</v>
      </c>
      <c r="M46" s="2488">
        <f t="shared" si="16"/>
        <v>44317</v>
      </c>
      <c r="N46" s="2488">
        <f t="shared" si="16"/>
        <v>44287</v>
      </c>
      <c r="O46" s="2488">
        <f t="shared" si="16"/>
        <v>44256</v>
      </c>
      <c r="P46" s="2011"/>
      <c r="Q46" s="2012"/>
      <c r="R46" s="2012"/>
      <c r="S46" s="2012"/>
      <c r="T46" s="2012"/>
      <c r="U46" s="2012"/>
      <c r="V46" s="2012"/>
      <c r="W46" s="2012"/>
      <c r="X46" s="2012"/>
      <c r="Y46" s="2012"/>
      <c r="Z46" s="2012"/>
      <c r="AA46" s="2012"/>
      <c r="AB46" s="2012"/>
      <c r="AC46" s="2012"/>
    </row>
    <row r="47" spans="1:29" s="1185" customFormat="1" ht="15">
      <c r="A47" s="621"/>
      <c r="B47" s="622"/>
      <c r="C47" s="623">
        <v>100</v>
      </c>
      <c r="D47" s="624"/>
      <c r="E47" s="624"/>
      <c r="F47" s="624"/>
      <c r="G47" s="624"/>
      <c r="H47" s="624"/>
      <c r="I47" s="624"/>
      <c r="J47" s="624"/>
      <c r="K47" s="624"/>
      <c r="L47" s="624"/>
      <c r="M47" s="625"/>
      <c r="N47" s="624"/>
      <c r="O47" s="626"/>
      <c r="P47" s="2009"/>
      <c r="Q47" s="1876"/>
      <c r="R47" s="1876"/>
      <c r="S47" s="1876"/>
      <c r="T47" s="1876"/>
      <c r="U47" s="1876"/>
      <c r="V47" s="1876"/>
      <c r="W47" s="1876"/>
      <c r="X47" s="1876"/>
      <c r="Y47" s="1876"/>
      <c r="Z47" s="1876"/>
      <c r="AA47" s="1876"/>
      <c r="AB47" s="1876"/>
      <c r="AC47" s="1876"/>
    </row>
    <row r="48" spans="1:29" s="1185" customFormat="1" ht="15.75" thickBot="1">
      <c r="A48" s="627" t="s">
        <v>552</v>
      </c>
      <c r="B48" s="628"/>
      <c r="C48" s="629"/>
      <c r="D48" s="630"/>
      <c r="E48" s="630"/>
      <c r="F48" s="630"/>
      <c r="G48" s="630"/>
      <c r="H48" s="630"/>
      <c r="I48" s="630"/>
      <c r="J48" s="630"/>
      <c r="K48" s="630"/>
      <c r="L48" s="630"/>
      <c r="M48" s="631"/>
      <c r="N48" s="630"/>
      <c r="O48" s="632"/>
      <c r="P48" s="2009"/>
      <c r="Q48" s="2009"/>
      <c r="R48" s="1876"/>
      <c r="S48" s="1876"/>
      <c r="T48" s="1876"/>
      <c r="U48" s="1876"/>
      <c r="V48" s="1876"/>
      <c r="W48" s="1876"/>
      <c r="X48" s="1876"/>
      <c r="Y48" s="1876"/>
      <c r="Z48" s="1876"/>
      <c r="AA48" s="1876"/>
      <c r="AB48" s="1876"/>
      <c r="AC48" s="1876"/>
    </row>
    <row r="49" spans="1:29" s="1185" customFormat="1" ht="15">
      <c r="A49" s="633" t="s">
        <v>508</v>
      </c>
      <c r="B49" s="622"/>
      <c r="C49" s="634" t="s">
        <v>553</v>
      </c>
      <c r="D49" s="635"/>
      <c r="E49" s="635"/>
      <c r="F49" s="635"/>
      <c r="G49" s="635"/>
      <c r="H49" s="635"/>
      <c r="I49" s="635"/>
      <c r="J49" s="635"/>
      <c r="K49" s="635"/>
      <c r="L49" s="636"/>
      <c r="M49" s="637"/>
      <c r="N49" s="2013"/>
      <c r="O49" s="2013"/>
      <c r="P49" s="2014"/>
      <c r="Q49" s="2009"/>
      <c r="R49" s="1876"/>
      <c r="S49" s="1876"/>
      <c r="T49" s="1876"/>
      <c r="U49" s="1876"/>
      <c r="V49" s="1876"/>
      <c r="W49" s="1876"/>
      <c r="X49" s="1876"/>
      <c r="Y49" s="1876"/>
      <c r="Z49" s="1876"/>
      <c r="AA49" s="1876"/>
      <c r="AB49" s="1876"/>
      <c r="AC49" s="1876"/>
    </row>
    <row r="50" spans="1:29" s="1185" customFormat="1" ht="15.75" thickBot="1">
      <c r="A50" s="633"/>
      <c r="B50" s="622"/>
      <c r="C50" s="623">
        <v>100</v>
      </c>
      <c r="D50" s="624"/>
      <c r="E50" s="624"/>
      <c r="F50" s="624"/>
      <c r="G50" s="624"/>
      <c r="H50" s="624"/>
      <c r="I50" s="624"/>
      <c r="J50" s="624"/>
      <c r="K50" s="624"/>
      <c r="L50" s="624"/>
      <c r="M50" s="626"/>
      <c r="N50" s="2013"/>
      <c r="O50" s="2013"/>
      <c r="P50" s="2009"/>
      <c r="Q50" s="2009"/>
      <c r="R50" s="1876"/>
      <c r="S50" s="1876"/>
      <c r="T50" s="1876"/>
      <c r="U50" s="1876"/>
      <c r="V50" s="1876"/>
      <c r="W50" s="1876"/>
      <c r="X50" s="1876"/>
      <c r="Y50" s="1876"/>
      <c r="Z50" s="1876"/>
      <c r="AA50" s="1876"/>
      <c r="AB50" s="1876"/>
      <c r="AC50" s="1876"/>
    </row>
    <row r="51" spans="1:29">
      <c r="A51" s="638" t="s">
        <v>554</v>
      </c>
      <c r="B51" s="639" t="s">
        <v>511</v>
      </c>
      <c r="C51" s="678">
        <f>C9</f>
        <v>0</v>
      </c>
      <c r="D51" s="574"/>
      <c r="E51" s="574"/>
      <c r="F51" s="574"/>
      <c r="G51" s="574"/>
      <c r="H51" s="574"/>
      <c r="I51" s="574"/>
      <c r="J51" s="574"/>
      <c r="K51" s="640"/>
      <c r="L51" s="641"/>
      <c r="M51" s="642"/>
      <c r="N51" s="2015"/>
      <c r="O51" s="2015"/>
      <c r="P51" s="2016"/>
      <c r="Q51" s="2009"/>
      <c r="R51" s="1997"/>
      <c r="S51" s="1997"/>
      <c r="T51" s="1997"/>
      <c r="U51" s="1997"/>
      <c r="V51" s="1997"/>
      <c r="W51" s="1997"/>
      <c r="X51" s="1997"/>
      <c r="Y51" s="1997"/>
      <c r="Z51" s="1997"/>
      <c r="AA51" s="1997"/>
      <c r="AB51" s="1997"/>
      <c r="AC51" s="1997"/>
    </row>
    <row r="52" spans="1:29" ht="15.75" thickBot="1">
      <c r="A52" s="643"/>
      <c r="B52" s="644"/>
      <c r="C52" s="645">
        <v>100</v>
      </c>
      <c r="D52" s="645"/>
      <c r="E52" s="645"/>
      <c r="F52" s="645"/>
      <c r="G52" s="645"/>
      <c r="H52" s="645"/>
      <c r="I52" s="645"/>
      <c r="J52" s="645"/>
      <c r="K52" s="645"/>
      <c r="L52" s="645"/>
      <c r="M52" s="646"/>
      <c r="N52" s="2017"/>
      <c r="O52" s="2017"/>
      <c r="P52" s="2016"/>
      <c r="Q52" s="2009"/>
      <c r="R52" s="1997"/>
      <c r="S52" s="1997"/>
      <c r="T52" s="1997"/>
      <c r="U52" s="1997"/>
      <c r="V52" s="1997"/>
      <c r="W52" s="1997"/>
      <c r="X52" s="1997"/>
      <c r="Y52" s="1997"/>
      <c r="Z52" s="1997"/>
      <c r="AA52" s="1997"/>
      <c r="AB52" s="1997"/>
      <c r="AC52" s="1997"/>
    </row>
    <row r="53" spans="1:29" ht="27.75" thickTop="1">
      <c r="A53" s="643"/>
      <c r="B53" s="647" t="s">
        <v>514</v>
      </c>
      <c r="C53" s="648" t="s">
        <v>714</v>
      </c>
      <c r="D53" s="648" t="s">
        <v>715</v>
      </c>
      <c r="E53" s="648" t="s">
        <v>716</v>
      </c>
      <c r="F53" s="648" t="s">
        <v>717</v>
      </c>
      <c r="G53" s="648" t="s">
        <v>718</v>
      </c>
      <c r="H53" s="648" t="s">
        <v>719</v>
      </c>
      <c r="I53" s="648" t="s">
        <v>720</v>
      </c>
      <c r="J53" s="648"/>
      <c r="K53" s="649"/>
      <c r="L53" s="650"/>
      <c r="M53" s="651"/>
      <c r="N53" s="2015"/>
      <c r="O53" s="2015"/>
      <c r="P53" s="2016"/>
      <c r="Q53" s="2009"/>
      <c r="R53" s="1997"/>
      <c r="S53" s="1997"/>
      <c r="T53" s="1997"/>
      <c r="U53" s="1997"/>
      <c r="V53" s="1997"/>
      <c r="W53" s="1997"/>
      <c r="X53" s="1997"/>
      <c r="Y53" s="1997"/>
      <c r="Z53" s="1997"/>
      <c r="AA53" s="1997"/>
      <c r="AB53" s="1997"/>
      <c r="AC53" s="1997"/>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7"/>
      <c r="O54" s="2017"/>
      <c r="P54" s="2016"/>
      <c r="Q54" s="2009"/>
      <c r="R54" s="1997"/>
      <c r="S54" s="1997"/>
      <c r="T54" s="1997"/>
      <c r="U54" s="1997"/>
      <c r="V54" s="1997"/>
      <c r="W54" s="1997"/>
      <c r="X54" s="1997"/>
      <c r="Y54" s="1997"/>
      <c r="Z54" s="1997"/>
      <c r="AA54" s="1997"/>
      <c r="AB54" s="1997"/>
      <c r="AC54" s="1997"/>
    </row>
    <row r="55" spans="1:29" ht="15.75" thickTop="1">
      <c r="A55" s="643"/>
      <c r="B55" s="906">
        <f>B11</f>
        <v>111</v>
      </c>
      <c r="C55" s="517"/>
      <c r="D55" s="517"/>
      <c r="E55" s="517"/>
      <c r="F55" s="517"/>
      <c r="G55" s="517"/>
      <c r="H55" s="517"/>
      <c r="I55" s="517"/>
      <c r="J55" s="517"/>
      <c r="K55" s="658"/>
      <c r="L55" s="659"/>
      <c r="M55" s="660"/>
      <c r="N55" s="2015"/>
      <c r="O55" s="2015"/>
      <c r="P55" s="2016"/>
      <c r="Q55" s="2009"/>
      <c r="R55" s="1997"/>
      <c r="S55" s="1997"/>
      <c r="T55" s="1997"/>
      <c r="U55" s="1997"/>
      <c r="V55" s="1997"/>
      <c r="W55" s="1997"/>
      <c r="X55" s="1997"/>
      <c r="Y55" s="1997"/>
      <c r="Z55" s="1997"/>
      <c r="AA55" s="1997"/>
      <c r="AB55" s="1997"/>
      <c r="AC55" s="1997"/>
    </row>
    <row r="56" spans="1:29" ht="15.75" thickBot="1">
      <c r="A56" s="643"/>
      <c r="B56" s="644"/>
      <c r="C56" s="666"/>
      <c r="D56" s="645"/>
      <c r="E56" s="645"/>
      <c r="F56" s="645"/>
      <c r="G56" s="645"/>
      <c r="H56" s="645"/>
      <c r="I56" s="645"/>
      <c r="J56" s="645"/>
      <c r="K56" s="645"/>
      <c r="L56" s="645"/>
      <c r="M56" s="646"/>
      <c r="N56" s="2017"/>
      <c r="O56" s="2017"/>
      <c r="P56" s="2016"/>
      <c r="Q56" s="2009"/>
      <c r="R56" s="1997"/>
      <c r="S56" s="1997"/>
      <c r="T56" s="1997"/>
      <c r="U56" s="1997"/>
      <c r="V56" s="1997"/>
      <c r="W56" s="1997"/>
      <c r="X56" s="1997"/>
      <c r="Y56" s="1997"/>
      <c r="Z56" s="1997"/>
      <c r="AA56" s="1997"/>
      <c r="AB56" s="1997"/>
      <c r="AC56" s="1997"/>
    </row>
    <row r="57" spans="1:29" s="1267" customFormat="1" ht="15.75" thickTop="1">
      <c r="A57" s="661"/>
      <c r="B57" s="647">
        <f>B12</f>
        <v>111</v>
      </c>
      <c r="C57" s="517"/>
      <c r="D57" s="517"/>
      <c r="E57" s="517"/>
      <c r="F57" s="517"/>
      <c r="G57" s="662"/>
      <c r="H57" s="663"/>
      <c r="I57" s="663"/>
      <c r="J57" s="663"/>
      <c r="K57" s="663"/>
      <c r="L57" s="664"/>
      <c r="M57" s="665"/>
      <c r="N57" s="2018"/>
      <c r="O57" s="2018"/>
      <c r="P57" s="2019"/>
      <c r="Q57" s="2020"/>
      <c r="R57" s="2021"/>
      <c r="S57" s="2021"/>
      <c r="T57" s="2021"/>
      <c r="U57" s="2021"/>
      <c r="V57" s="2021"/>
      <c r="W57" s="2021"/>
      <c r="X57" s="2021"/>
      <c r="Y57" s="2021"/>
      <c r="Z57" s="2021"/>
      <c r="AA57" s="2021"/>
      <c r="AB57" s="2021"/>
      <c r="AC57" s="2021"/>
    </row>
    <row r="58" spans="1:29" s="1267" customFormat="1" ht="15.75" thickBot="1">
      <c r="A58" s="661"/>
      <c r="B58" s="652"/>
      <c r="C58" s="666"/>
      <c r="D58" s="645"/>
      <c r="E58" s="645"/>
      <c r="F58" s="645"/>
      <c r="G58" s="645"/>
      <c r="H58" s="645"/>
      <c r="I58" s="645"/>
      <c r="J58" s="645"/>
      <c r="K58" s="645"/>
      <c r="L58" s="645"/>
      <c r="M58" s="646"/>
      <c r="N58" s="2017"/>
      <c r="O58" s="2017"/>
      <c r="P58" s="2019"/>
      <c r="Q58" s="2020"/>
      <c r="R58" s="2021"/>
      <c r="S58" s="2021"/>
      <c r="T58" s="2021"/>
      <c r="U58" s="2021"/>
      <c r="V58" s="2021"/>
      <c r="W58" s="2021"/>
      <c r="X58" s="2021"/>
      <c r="Y58" s="2021"/>
      <c r="Z58" s="2021"/>
      <c r="AA58" s="2021"/>
      <c r="AB58" s="2021"/>
      <c r="AC58" s="2021"/>
    </row>
    <row r="59" spans="1:29" s="1267" customFormat="1" ht="15.75" thickTop="1">
      <c r="A59" s="661"/>
      <c r="B59" s="647">
        <f>B13</f>
        <v>111</v>
      </c>
      <c r="C59" s="517"/>
      <c r="D59" s="517"/>
      <c r="E59" s="517"/>
      <c r="F59" s="517"/>
      <c r="G59" s="662"/>
      <c r="H59" s="663"/>
      <c r="I59" s="663"/>
      <c r="J59" s="663"/>
      <c r="K59" s="663"/>
      <c r="L59" s="664"/>
      <c r="M59" s="665"/>
      <c r="N59" s="2018"/>
      <c r="O59" s="2018"/>
      <c r="P59" s="2022"/>
      <c r="Q59" s="2023"/>
      <c r="R59" s="2021"/>
      <c r="S59" s="2021"/>
      <c r="T59" s="2021"/>
      <c r="U59" s="2021"/>
      <c r="V59" s="2021"/>
      <c r="W59" s="2021"/>
      <c r="X59" s="2021"/>
      <c r="Y59" s="2021"/>
      <c r="Z59" s="2021"/>
      <c r="AA59" s="2021"/>
      <c r="AB59" s="2021"/>
      <c r="AC59" s="2021"/>
    </row>
    <row r="60" spans="1:29" s="1267" customFormat="1" ht="15.75" thickBot="1">
      <c r="A60" s="661"/>
      <c r="B60" s="652"/>
      <c r="C60" s="666"/>
      <c r="D60" s="666"/>
      <c r="E60" s="666"/>
      <c r="F60" s="666"/>
      <c r="G60" s="666"/>
      <c r="H60" s="667"/>
      <c r="I60" s="667"/>
      <c r="J60" s="667"/>
      <c r="K60" s="667"/>
      <c r="L60" s="667"/>
      <c r="M60" s="668"/>
      <c r="N60" s="2018"/>
      <c r="O60" s="2018"/>
      <c r="P60" s="2019"/>
      <c r="Q60" s="2020"/>
      <c r="R60" s="2021"/>
      <c r="S60" s="2021"/>
      <c r="T60" s="2021"/>
      <c r="U60" s="2021"/>
      <c r="V60" s="2021"/>
      <c r="W60" s="2021"/>
      <c r="X60" s="2021"/>
      <c r="Y60" s="2021"/>
      <c r="Z60" s="2021"/>
      <c r="AA60" s="2021"/>
      <c r="AB60" s="2021"/>
      <c r="AC60" s="2021"/>
    </row>
    <row r="61" spans="1:29" ht="15" thickTop="1">
      <c r="A61" s="638" t="s">
        <v>516</v>
      </c>
      <c r="B61" s="639" t="s">
        <v>563</v>
      </c>
      <c r="C61" s="677" t="s">
        <v>556</v>
      </c>
      <c r="D61" s="677" t="s">
        <v>557</v>
      </c>
      <c r="E61" s="677" t="s">
        <v>558</v>
      </c>
      <c r="F61" s="677" t="s">
        <v>559</v>
      </c>
      <c r="G61" s="677" t="s">
        <v>560</v>
      </c>
      <c r="H61" s="678"/>
      <c r="I61" s="678"/>
      <c r="J61" s="678"/>
      <c r="K61" s="679"/>
      <c r="L61" s="680"/>
      <c r="M61" s="681"/>
      <c r="N61" s="2015"/>
      <c r="O61" s="2015"/>
      <c r="P61" s="2025"/>
      <c r="Q61" s="2009"/>
      <c r="R61" s="1997"/>
      <c r="S61" s="1997"/>
      <c r="T61" s="1997"/>
      <c r="U61" s="1997"/>
      <c r="V61" s="1997"/>
      <c r="W61" s="1997"/>
      <c r="X61" s="1997"/>
      <c r="Y61" s="1997"/>
      <c r="Z61" s="1997"/>
      <c r="AA61" s="1997"/>
      <c r="AB61" s="1997"/>
      <c r="AC61" s="1997"/>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7"/>
      <c r="O62" s="2017"/>
      <c r="P62" s="2016"/>
      <c r="Q62" s="2009"/>
      <c r="R62" s="1997"/>
      <c r="S62" s="1997"/>
      <c r="T62" s="1997"/>
      <c r="U62" s="1997"/>
      <c r="V62" s="1997"/>
      <c r="W62" s="1997"/>
      <c r="X62" s="1997"/>
      <c r="Y62" s="1997"/>
      <c r="Z62" s="1997"/>
      <c r="AA62" s="1997"/>
      <c r="AB62" s="1997"/>
      <c r="AC62" s="1997"/>
    </row>
    <row r="63" spans="1:29" ht="15.75" thickTop="1">
      <c r="A63" s="643"/>
      <c r="B63" s="1782" t="s">
        <v>2509</v>
      </c>
      <c r="C63" s="682" t="s">
        <v>556</v>
      </c>
      <c r="D63" s="682" t="s">
        <v>557</v>
      </c>
      <c r="E63" s="682" t="s">
        <v>558</v>
      </c>
      <c r="F63" s="682" t="s">
        <v>559</v>
      </c>
      <c r="G63" s="682" t="s">
        <v>560</v>
      </c>
      <c r="H63" s="648"/>
      <c r="I63" s="648"/>
      <c r="J63" s="648"/>
      <c r="K63" s="649"/>
      <c r="L63" s="650"/>
      <c r="M63" s="651"/>
      <c r="N63" s="2015"/>
      <c r="O63" s="2015"/>
      <c r="P63" s="2016"/>
      <c r="Q63" s="2009"/>
      <c r="R63" s="1997"/>
      <c r="S63" s="1997"/>
      <c r="T63" s="1997"/>
      <c r="U63" s="1997"/>
      <c r="V63" s="1997"/>
      <c r="W63" s="1997"/>
      <c r="X63" s="1997"/>
      <c r="Y63" s="1997"/>
      <c r="Z63" s="1997"/>
      <c r="AA63" s="1997"/>
      <c r="AB63" s="1997"/>
      <c r="AC63" s="1997"/>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2408" t="s">
        <v>2510</v>
      </c>
      <c r="C65" s="2409" t="s">
        <v>2511</v>
      </c>
      <c r="D65" s="2409" t="s">
        <v>2512</v>
      </c>
      <c r="E65" s="2409" t="s">
        <v>2513</v>
      </c>
      <c r="F65" s="2409" t="s">
        <v>2514</v>
      </c>
      <c r="G65" s="2409" t="s">
        <v>2515</v>
      </c>
      <c r="H65" s="648"/>
      <c r="I65" s="648"/>
      <c r="J65" s="648"/>
      <c r="K65" s="648"/>
      <c r="L65" s="648"/>
      <c r="M65" s="2412"/>
      <c r="N65" s="2017"/>
      <c r="O65" s="2017"/>
      <c r="P65" s="2016"/>
      <c r="Q65" s="2009"/>
      <c r="R65" s="1997"/>
      <c r="S65" s="1997"/>
      <c r="T65" s="1997"/>
      <c r="U65" s="1997"/>
      <c r="V65" s="1997"/>
      <c r="W65" s="1997"/>
      <c r="X65" s="1997"/>
      <c r="Y65" s="1997"/>
      <c r="Z65" s="1997"/>
      <c r="AA65" s="1997"/>
      <c r="AB65" s="1997"/>
      <c r="AC65" s="1997"/>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7"/>
      <c r="O66" s="2017"/>
      <c r="P66" s="2016"/>
      <c r="Q66" s="2009"/>
      <c r="R66" s="1997"/>
      <c r="S66" s="1997"/>
      <c r="T66" s="1997"/>
      <c r="U66" s="1997"/>
      <c r="V66" s="1997"/>
      <c r="W66" s="1997"/>
      <c r="X66" s="1997"/>
      <c r="Y66" s="1997"/>
      <c r="Z66" s="1997"/>
      <c r="AA66" s="1997"/>
      <c r="AB66" s="1997"/>
      <c r="AC66" s="1997"/>
    </row>
    <row r="67" spans="1:29" ht="15.75" thickTop="1">
      <c r="A67" s="643"/>
      <c r="B67" s="647" t="s">
        <v>721</v>
      </c>
      <c r="C67" s="682" t="s">
        <v>556</v>
      </c>
      <c r="D67" s="682" t="s">
        <v>557</v>
      </c>
      <c r="E67" s="682" t="s">
        <v>558</v>
      </c>
      <c r="F67" s="682" t="s">
        <v>559</v>
      </c>
      <c r="G67" s="682" t="s">
        <v>560</v>
      </c>
      <c r="H67" s="648"/>
      <c r="I67" s="648"/>
      <c r="J67" s="648"/>
      <c r="K67" s="649"/>
      <c r="L67" s="650"/>
      <c r="M67" s="651"/>
      <c r="N67" s="2015"/>
      <c r="O67" s="2015"/>
      <c r="P67" s="2016"/>
      <c r="Q67" s="2009"/>
      <c r="R67" s="1997"/>
      <c r="S67" s="1997"/>
      <c r="T67" s="1997"/>
      <c r="U67" s="1997"/>
      <c r="V67" s="1997"/>
      <c r="W67" s="1997"/>
      <c r="X67" s="1997"/>
      <c r="Y67" s="1997"/>
      <c r="Z67" s="1997"/>
      <c r="AA67" s="1997"/>
      <c r="AB67" s="1997"/>
      <c r="AC67" s="1997"/>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722</v>
      </c>
      <c r="C69" s="662"/>
      <c r="D69" s="662"/>
      <c r="E69" s="662"/>
      <c r="F69" s="662"/>
      <c r="G69" s="662"/>
      <c r="H69" s="692"/>
      <c r="I69" s="692"/>
      <c r="J69" s="692"/>
      <c r="K69" s="693"/>
      <c r="L69" s="694"/>
      <c r="M69" s="695"/>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C70-$K22</f>
        <v>100</v>
      </c>
      <c r="E70" s="653"/>
      <c r="F70" s="653"/>
      <c r="G70" s="653"/>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s="1185" customFormat="1" ht="15.75" thickTop="1">
      <c r="A71" s="683"/>
      <c r="B71" s="647">
        <f>B23</f>
        <v>111</v>
      </c>
      <c r="C71" s="517"/>
      <c r="D71" s="517"/>
      <c r="E71" s="517"/>
      <c r="F71" s="517"/>
      <c r="G71" s="662"/>
      <c r="H71" s="662"/>
      <c r="I71" s="662"/>
      <c r="J71" s="662"/>
      <c r="K71" s="662"/>
      <c r="L71" s="861"/>
      <c r="M71" s="862"/>
      <c r="N71" s="2013"/>
      <c r="O71" s="2013"/>
      <c r="P71" s="2016"/>
      <c r="Q71" s="2009"/>
      <c r="R71" s="1876"/>
      <c r="S71" s="1876"/>
      <c r="T71" s="1876"/>
      <c r="U71" s="1876"/>
      <c r="V71" s="1876"/>
      <c r="W71" s="1876"/>
      <c r="X71" s="1876"/>
      <c r="Y71" s="1876"/>
      <c r="Z71" s="1876"/>
      <c r="AA71" s="1876"/>
      <c r="AB71" s="1876"/>
      <c r="AC71" s="1876"/>
    </row>
    <row r="72" spans="1:29" s="1185" customFormat="1" ht="15.75" thickBot="1">
      <c r="A72" s="683"/>
      <c r="B72" s="652"/>
      <c r="C72" s="666"/>
      <c r="D72" s="645"/>
      <c r="E72" s="645"/>
      <c r="F72" s="645"/>
      <c r="G72" s="645"/>
      <c r="H72" s="645"/>
      <c r="I72" s="645"/>
      <c r="J72" s="645"/>
      <c r="K72" s="645"/>
      <c r="L72" s="645"/>
      <c r="M72" s="646"/>
      <c r="N72" s="2017"/>
      <c r="O72" s="2017"/>
      <c r="P72" s="2016"/>
      <c r="Q72" s="2009"/>
      <c r="R72" s="1876"/>
      <c r="S72" s="1876"/>
      <c r="T72" s="1876"/>
      <c r="U72" s="1876"/>
      <c r="V72" s="1876"/>
      <c r="W72" s="1876"/>
      <c r="X72" s="1876"/>
      <c r="Y72" s="1876"/>
      <c r="Z72" s="1876"/>
      <c r="AA72" s="1876"/>
      <c r="AB72" s="1876"/>
      <c r="AC72" s="1876"/>
    </row>
    <row r="73" spans="1:29" s="1185" customFormat="1" ht="15.75" thickTop="1">
      <c r="A73" s="683"/>
      <c r="B73" s="647">
        <f>B24</f>
        <v>111</v>
      </c>
      <c r="C73" s="517"/>
      <c r="D73" s="517"/>
      <c r="E73" s="517"/>
      <c r="F73" s="517"/>
      <c r="G73" s="662"/>
      <c r="H73" s="662"/>
      <c r="I73" s="662"/>
      <c r="J73" s="662"/>
      <c r="K73" s="662"/>
      <c r="L73" s="662"/>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267" customFormat="1" ht="15.75" thickTop="1">
      <c r="A75" s="661"/>
      <c r="B75" s="647">
        <f>B25</f>
        <v>111</v>
      </c>
      <c r="C75" s="517"/>
      <c r="D75" s="517"/>
      <c r="E75" s="517"/>
      <c r="F75" s="517"/>
      <c r="G75" s="662"/>
      <c r="H75" s="663"/>
      <c r="I75" s="663"/>
      <c r="J75" s="663"/>
      <c r="K75" s="663"/>
      <c r="L75" s="664"/>
      <c r="M75" s="665"/>
      <c r="N75" s="2018"/>
      <c r="O75" s="2018"/>
      <c r="P75" s="2019"/>
      <c r="Q75" s="2020"/>
      <c r="R75" s="2021"/>
      <c r="S75" s="2021"/>
      <c r="T75" s="2021"/>
      <c r="U75" s="2021"/>
      <c r="V75" s="2021"/>
      <c r="W75" s="2021"/>
      <c r="X75" s="2021"/>
      <c r="Y75" s="2021"/>
      <c r="Z75" s="2021"/>
      <c r="AA75" s="2021"/>
      <c r="AB75" s="2021"/>
      <c r="AC75" s="2021"/>
    </row>
    <row r="76" spans="1:29" s="1267" customFormat="1" ht="15.75" thickBot="1">
      <c r="A76" s="661"/>
      <c r="B76" s="652"/>
      <c r="C76" s="666"/>
      <c r="D76" s="666"/>
      <c r="E76" s="666"/>
      <c r="F76" s="666"/>
      <c r="G76" s="645"/>
      <c r="H76" s="645"/>
      <c r="I76" s="645"/>
      <c r="J76" s="645"/>
      <c r="K76" s="645"/>
      <c r="L76" s="645"/>
      <c r="M76" s="646"/>
      <c r="N76" s="2018"/>
      <c r="O76" s="2018"/>
      <c r="P76" s="2019"/>
      <c r="Q76" s="2020"/>
      <c r="R76" s="2021"/>
      <c r="S76" s="2021"/>
      <c r="T76" s="2021"/>
      <c r="U76" s="2021"/>
      <c r="V76" s="2021"/>
      <c r="W76" s="2021"/>
      <c r="X76" s="2021"/>
      <c r="Y76" s="2021"/>
      <c r="Z76" s="2021"/>
      <c r="AA76" s="2021"/>
      <c r="AB76" s="2021"/>
      <c r="AC76" s="2021"/>
    </row>
    <row r="77" spans="1:29" ht="15" thickTop="1">
      <c r="A77" s="638" t="s">
        <v>528</v>
      </c>
      <c r="B77" s="639" t="s">
        <v>728</v>
      </c>
      <c r="C77" s="662"/>
      <c r="D77" s="662"/>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3"/>
      <c r="O79" s="2013"/>
      <c r="P79" s="2016"/>
      <c r="Q79" s="2009"/>
      <c r="R79" s="1997"/>
      <c r="S79" s="1997"/>
      <c r="T79" s="1997"/>
      <c r="U79" s="1997"/>
      <c r="V79" s="1997"/>
      <c r="W79" s="1997"/>
      <c r="X79" s="1997"/>
      <c r="Y79" s="1997"/>
      <c r="Z79" s="1997"/>
      <c r="AA79" s="1997"/>
      <c r="AB79" s="1997"/>
      <c r="AC79" s="1997"/>
    </row>
    <row r="80" spans="1:29" ht="15">
      <c r="A80" s="643"/>
      <c r="B80" s="655"/>
      <c r="C80" s="865">
        <v>0.5</v>
      </c>
      <c r="D80" s="865">
        <v>0.6</v>
      </c>
      <c r="E80" s="865">
        <v>0.7</v>
      </c>
      <c r="F80" s="865">
        <v>0.8</v>
      </c>
      <c r="G80" s="865">
        <v>0.9</v>
      </c>
      <c r="H80" s="865">
        <v>1.0001</v>
      </c>
      <c r="I80" s="906"/>
      <c r="J80" s="906"/>
      <c r="K80" s="916"/>
      <c r="L80" s="917"/>
      <c r="M80" s="918"/>
      <c r="N80" s="2013"/>
      <c r="O80" s="2013"/>
      <c r="P80" s="2016"/>
      <c r="Q80" s="2009"/>
      <c r="R80" s="1997"/>
      <c r="S80" s="1997"/>
      <c r="T80" s="1997"/>
      <c r="U80" s="1997"/>
      <c r="V80" s="1997"/>
      <c r="W80" s="1997"/>
      <c r="X80" s="1997"/>
      <c r="Y80" s="1997"/>
      <c r="Z80" s="1997"/>
      <c r="AA80" s="1997"/>
      <c r="AB80" s="1997"/>
      <c r="AC80" s="1997"/>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9"/>
      <c r="B82" s="655" t="s">
        <v>794</v>
      </c>
      <c r="C82" s="662"/>
      <c r="D82" s="662"/>
      <c r="E82" s="692"/>
      <c r="F82" s="692"/>
      <c r="G82" s="692"/>
      <c r="H82" s="692"/>
      <c r="I82" s="692"/>
      <c r="J82" s="692"/>
      <c r="K82" s="693"/>
      <c r="L82" s="694"/>
      <c r="M82" s="695"/>
      <c r="N82" s="2015"/>
      <c r="O82" s="2015"/>
      <c r="P82" s="2016"/>
      <c r="Q82" s="2009"/>
      <c r="R82" s="1997"/>
      <c r="S82" s="1997"/>
      <c r="T82" s="1997"/>
      <c r="U82" s="1997"/>
      <c r="V82" s="1997"/>
      <c r="W82" s="1997"/>
      <c r="X82" s="1997"/>
      <c r="Y82" s="1997"/>
      <c r="Z82" s="1997"/>
      <c r="AA82" s="1997"/>
      <c r="AB82" s="1997"/>
      <c r="AC82" s="1997"/>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9"/>
      <c r="B84" s="647" t="s">
        <v>802</v>
      </c>
      <c r="C84" s="662"/>
      <c r="D84" s="662"/>
      <c r="E84" s="662"/>
      <c r="F84" s="662"/>
      <c r="G84" s="662"/>
      <c r="H84" s="662"/>
      <c r="I84" s="692"/>
      <c r="J84" s="692"/>
      <c r="K84" s="693"/>
      <c r="L84" s="694"/>
      <c r="M84" s="695"/>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5"/>
      <c r="O86" s="2015"/>
      <c r="P86" s="2016"/>
      <c r="Q86" s="2009"/>
      <c r="R86" s="1997"/>
      <c r="S86" s="1997"/>
      <c r="T86" s="1997"/>
      <c r="U86" s="1997"/>
      <c r="V86" s="1997"/>
      <c r="W86" s="1997"/>
      <c r="X86" s="1997"/>
      <c r="Y86" s="1997"/>
      <c r="Z86" s="1997"/>
      <c r="AA86" s="1997"/>
      <c r="AB86" s="1997"/>
      <c r="AC86" s="1997"/>
    </row>
    <row r="87" spans="1:29">
      <c r="A87" s="709"/>
      <c r="B87" s="655"/>
      <c r="C87" s="704"/>
      <c r="D87" s="704"/>
      <c r="E87" s="704"/>
      <c r="F87" s="704"/>
      <c r="G87" s="704"/>
      <c r="H87" s="704"/>
      <c r="I87" s="704"/>
      <c r="J87" s="705"/>
      <c r="K87" s="705"/>
      <c r="L87" s="706"/>
      <c r="M87" s="707"/>
      <c r="N87" s="2015"/>
      <c r="O87" s="2015"/>
      <c r="P87" s="2016"/>
      <c r="Q87" s="2009"/>
      <c r="R87" s="1997"/>
      <c r="S87" s="1997"/>
      <c r="T87" s="1997"/>
      <c r="U87" s="1997"/>
      <c r="V87" s="1997"/>
      <c r="W87" s="1997"/>
      <c r="X87" s="1997"/>
      <c r="Y87" s="1997"/>
      <c r="Z87" s="1997"/>
      <c r="AA87" s="1997"/>
      <c r="AB87" s="1997"/>
      <c r="AC87" s="1997"/>
    </row>
    <row r="88" spans="1:29" ht="15.75" thickBot="1">
      <c r="A88" s="643"/>
      <c r="B88" s="652"/>
      <c r="C88" s="666"/>
      <c r="D88" s="645"/>
      <c r="E88" s="645"/>
      <c r="F88" s="645"/>
      <c r="G88" s="645"/>
      <c r="H88" s="645"/>
      <c r="I88" s="645"/>
      <c r="J88" s="645"/>
      <c r="K88" s="645"/>
      <c r="L88" s="645"/>
      <c r="M88" s="645"/>
      <c r="N88" s="2017"/>
      <c r="O88" s="2017"/>
      <c r="P88" s="2016"/>
      <c r="Q88" s="2009"/>
      <c r="R88" s="1997"/>
      <c r="S88" s="1997"/>
      <c r="T88" s="1997"/>
      <c r="U88" s="1997"/>
      <c r="V88" s="1997"/>
      <c r="W88" s="1997"/>
      <c r="X88" s="1997"/>
      <c r="Y88" s="1997"/>
      <c r="Z88" s="1997"/>
      <c r="AA88" s="1997"/>
      <c r="AB88" s="1997"/>
      <c r="AC88" s="1997"/>
    </row>
    <row r="89" spans="1:29" s="1267" customFormat="1" ht="15" thickTop="1">
      <c r="A89" s="702"/>
      <c r="B89" s="647" t="s">
        <v>804</v>
      </c>
      <c r="C89" s="662"/>
      <c r="D89" s="662"/>
      <c r="E89" s="662"/>
      <c r="F89" s="662"/>
      <c r="G89" s="662"/>
      <c r="H89" s="662"/>
      <c r="I89" s="662"/>
      <c r="J89" s="662"/>
      <c r="K89" s="662"/>
      <c r="L89" s="662"/>
      <c r="M89" s="862"/>
      <c r="N89" s="2018"/>
      <c r="O89" s="2018"/>
      <c r="P89" s="2019"/>
      <c r="Q89" s="2020"/>
      <c r="R89" s="2021"/>
      <c r="S89" s="2021"/>
      <c r="T89" s="2021"/>
      <c r="U89" s="2021"/>
      <c r="V89" s="2021"/>
      <c r="W89" s="2021"/>
      <c r="X89" s="2021"/>
      <c r="Y89" s="2021"/>
      <c r="Z89" s="2021"/>
      <c r="AA89" s="2021"/>
      <c r="AB89" s="2021"/>
      <c r="AC89" s="2021"/>
    </row>
    <row r="90" spans="1:29" s="1267" customFormat="1" ht="15.75" thickBot="1">
      <c r="A90" s="661"/>
      <c r="B90" s="652"/>
      <c r="C90" s="666"/>
      <c r="D90" s="645"/>
      <c r="E90" s="645"/>
      <c r="F90" s="645"/>
      <c r="G90" s="645"/>
      <c r="H90" s="645"/>
      <c r="I90" s="645"/>
      <c r="J90" s="645"/>
      <c r="K90" s="645"/>
      <c r="L90" s="645"/>
      <c r="M90" s="646"/>
      <c r="N90" s="2018"/>
      <c r="O90" s="2018"/>
      <c r="P90" s="2019"/>
      <c r="Q90" s="2020"/>
      <c r="R90" s="2021"/>
      <c r="S90" s="2021"/>
      <c r="T90" s="2021"/>
      <c r="U90" s="2021"/>
      <c r="V90" s="2021"/>
      <c r="W90" s="2021"/>
      <c r="X90" s="2021"/>
      <c r="Y90" s="2021"/>
      <c r="Z90" s="2021"/>
      <c r="AA90" s="2021"/>
      <c r="AB90" s="2021"/>
      <c r="AC90" s="2021"/>
    </row>
    <row r="91" spans="1:29" ht="15" thickTop="1">
      <c r="A91" s="709"/>
      <c r="B91" s="647">
        <f>B32</f>
        <v>111</v>
      </c>
      <c r="C91" s="517"/>
      <c r="D91" s="517"/>
      <c r="E91" s="517"/>
      <c r="F91" s="517"/>
      <c r="G91" s="662"/>
      <c r="H91" s="663"/>
      <c r="I91" s="663"/>
      <c r="J91" s="663"/>
      <c r="K91" s="663"/>
      <c r="L91" s="664"/>
      <c r="M91" s="665"/>
      <c r="N91" s="2015"/>
      <c r="O91" s="2015"/>
      <c r="P91" s="2016"/>
      <c r="Q91" s="2009"/>
      <c r="R91" s="1997"/>
      <c r="S91" s="1997"/>
      <c r="T91" s="1997"/>
      <c r="U91" s="1997"/>
      <c r="V91" s="1997"/>
      <c r="W91" s="1997"/>
      <c r="X91" s="1997"/>
      <c r="Y91" s="1997"/>
      <c r="Z91" s="1997"/>
      <c r="AA91" s="1997"/>
      <c r="AB91" s="1997"/>
      <c r="AC91" s="1997"/>
    </row>
    <row r="92" spans="1:29" ht="15.75" thickBot="1">
      <c r="A92" s="643"/>
      <c r="B92" s="652"/>
      <c r="C92" s="666"/>
      <c r="D92" s="645"/>
      <c r="E92" s="645"/>
      <c r="F92" s="645"/>
      <c r="G92" s="666"/>
      <c r="H92" s="667"/>
      <c r="I92" s="667"/>
      <c r="J92" s="667"/>
      <c r="K92" s="667"/>
      <c r="L92" s="667"/>
      <c r="M92" s="668"/>
      <c r="N92" s="2017"/>
      <c r="O92" s="2017"/>
      <c r="P92" s="2016"/>
      <c r="Q92" s="2009"/>
      <c r="R92" s="1997"/>
      <c r="S92" s="1997"/>
      <c r="T92" s="1997"/>
      <c r="U92" s="1997"/>
      <c r="V92" s="1997"/>
      <c r="W92" s="1997"/>
      <c r="X92" s="1997"/>
      <c r="Y92" s="1997"/>
      <c r="Z92" s="1997"/>
      <c r="AA92" s="1997"/>
      <c r="AB92" s="1997"/>
      <c r="AC92" s="1997"/>
    </row>
    <row r="93" spans="1:29" ht="15" thickTop="1">
      <c r="A93" s="709"/>
      <c r="B93" s="647">
        <f>B33</f>
        <v>111</v>
      </c>
      <c r="C93" s="517"/>
      <c r="D93" s="517"/>
      <c r="E93" s="517"/>
      <c r="F93" s="517"/>
      <c r="G93" s="662"/>
      <c r="H93" s="663"/>
      <c r="I93" s="663"/>
      <c r="J93" s="663"/>
      <c r="K93" s="663"/>
      <c r="L93" s="664"/>
      <c r="M93" s="66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66"/>
      <c r="H94" s="667"/>
      <c r="I94" s="667"/>
      <c r="J94" s="667"/>
      <c r="K94" s="667"/>
      <c r="L94" s="667"/>
      <c r="M94" s="668"/>
      <c r="N94" s="2017"/>
      <c r="O94" s="2017"/>
      <c r="P94" s="2016"/>
      <c r="Q94" s="2009"/>
      <c r="R94" s="1997"/>
      <c r="S94" s="1997"/>
      <c r="T94" s="1997"/>
      <c r="U94" s="1997"/>
      <c r="V94" s="1997"/>
      <c r="W94" s="1997"/>
      <c r="X94" s="1997"/>
      <c r="Y94" s="1997"/>
      <c r="Z94" s="1997"/>
      <c r="AA94" s="1997"/>
      <c r="AB94" s="1997"/>
      <c r="AC94" s="1997"/>
    </row>
    <row r="95" spans="1:29" ht="15" thickTop="1">
      <c r="A95" s="709"/>
      <c r="B95" s="888">
        <f>B34</f>
        <v>111</v>
      </c>
      <c r="C95" s="517"/>
      <c r="D95" s="517"/>
      <c r="E95" s="517"/>
      <c r="F95" s="517"/>
      <c r="G95" s="662"/>
      <c r="H95" s="663"/>
      <c r="I95" s="663"/>
      <c r="J95" s="663"/>
      <c r="K95" s="663"/>
      <c r="L95" s="664"/>
      <c r="M95" s="665"/>
      <c r="N95" s="2017"/>
      <c r="O95" s="2017"/>
      <c r="P95" s="2056"/>
      <c r="Q95" s="2057"/>
      <c r="R95" s="1997"/>
      <c r="S95" s="1997"/>
      <c r="T95" s="1997"/>
      <c r="U95" s="1997"/>
      <c r="V95" s="1997"/>
      <c r="W95" s="1997"/>
      <c r="X95" s="1997"/>
      <c r="Y95" s="1997"/>
      <c r="Z95" s="1997"/>
      <c r="AA95" s="1997"/>
      <c r="AB95" s="1997"/>
      <c r="AC95" s="1997"/>
    </row>
    <row r="96" spans="1:29" ht="15.75" thickBot="1">
      <c r="A96" s="643"/>
      <c r="B96" s="652"/>
      <c r="C96" s="666"/>
      <c r="D96" s="666"/>
      <c r="E96" s="666"/>
      <c r="F96" s="666"/>
      <c r="G96" s="666"/>
      <c r="H96" s="667"/>
      <c r="I96" s="667"/>
      <c r="J96" s="667"/>
      <c r="K96" s="667"/>
      <c r="L96" s="667"/>
      <c r="M96" s="668"/>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8"/>
    <col min="19" max="19" width="9" style="1186"/>
    <col min="20" max="35" width="9" style="255"/>
    <col min="36" max="16384" width="9" style="1186"/>
  </cols>
  <sheetData>
    <row r="1" spans="1:45" s="255" customFormat="1" ht="14.25" customHeight="1" thickBot="1">
      <c r="A1" s="363"/>
      <c r="B1" s="2084" t="s">
        <v>2266</v>
      </c>
      <c r="C1" s="3922" t="s">
        <v>2267</v>
      </c>
      <c r="D1" s="3923"/>
      <c r="E1" s="3923"/>
      <c r="F1" s="3923"/>
      <c r="G1" s="3923"/>
      <c r="H1" s="3923"/>
      <c r="I1" s="3923"/>
      <c r="J1" s="3923"/>
      <c r="K1" s="3923"/>
      <c r="L1" s="3923"/>
      <c r="M1" s="3923"/>
      <c r="N1" s="3923"/>
      <c r="O1" s="3923"/>
      <c r="P1" s="3923"/>
      <c r="Q1" s="3923"/>
      <c r="R1" s="3923"/>
      <c r="S1" s="3924"/>
      <c r="T1" s="2084" t="s">
        <v>2268</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4" t="s">
        <v>2269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6" t="str">
        <f>S3&amp;"(含)"&amp;"-"</f>
        <v>(含)-</v>
      </c>
      <c r="T2" s="922"/>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3"/>
      <c r="C3" s="924"/>
      <c r="D3" s="925"/>
      <c r="E3" s="925"/>
      <c r="F3" s="925"/>
      <c r="G3" s="925"/>
      <c r="H3" s="925"/>
      <c r="I3" s="925"/>
      <c r="J3" s="926"/>
      <c r="K3" s="926"/>
      <c r="L3" s="927"/>
      <c r="M3" s="2089"/>
      <c r="N3" s="2090"/>
      <c r="O3" s="925"/>
      <c r="P3" s="925"/>
      <c r="Q3" s="925"/>
      <c r="R3" s="925"/>
      <c r="S3" s="2091"/>
      <c r="T3" s="928"/>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1" t="s">
        <v>2864</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3" t="s">
        <v>2863</v>
      </c>
      <c r="C7" s="1846"/>
      <c r="D7" s="1847"/>
      <c r="E7" s="1847"/>
      <c r="F7" s="1847"/>
      <c r="G7" s="1847"/>
      <c r="H7" s="1847"/>
      <c r="I7" s="1847"/>
      <c r="J7" s="1847"/>
      <c r="K7" s="1847"/>
      <c r="L7" s="1847"/>
      <c r="M7" s="2109"/>
      <c r="N7" s="2110"/>
      <c r="O7" s="2111"/>
      <c r="P7" s="2112"/>
      <c r="Q7" s="2113"/>
      <c r="R7" s="2114"/>
      <c r="S7" s="2115"/>
      <c r="T7" s="929"/>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3" t="s">
        <v>2862</v>
      </c>
      <c r="C9" s="1846"/>
      <c r="D9" s="1847"/>
      <c r="E9" s="1847"/>
      <c r="F9" s="1847"/>
      <c r="G9" s="1847"/>
      <c r="H9" s="1847"/>
      <c r="I9" s="1847"/>
      <c r="J9" s="1847"/>
      <c r="K9" s="1847"/>
      <c r="L9" s="1848"/>
      <c r="M9" s="2109"/>
      <c r="N9" s="2110"/>
      <c r="O9" s="2111"/>
      <c r="P9" s="2112"/>
      <c r="Q9" s="2113"/>
      <c r="R9" s="2114"/>
      <c r="S9" s="2115"/>
      <c r="T9" s="929"/>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1" t="s">
        <v>2875</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1" t="s">
        <v>2861</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1" t="s">
        <v>2860</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2270</v>
      </c>
      <c r="B17" s="2128" t="s">
        <v>2271</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9"/>
      <c r="C19" s="1873"/>
      <c r="D19" s="1873"/>
      <c r="E19" s="1873"/>
      <c r="F19" s="1873"/>
      <c r="G19" s="1873"/>
      <c r="H19" s="1873"/>
      <c r="I19" s="1873"/>
      <c r="J19" s="1873"/>
      <c r="K19" s="1873"/>
      <c r="L19" s="1873"/>
      <c r="M19" s="1873"/>
      <c r="N19" s="1873"/>
      <c r="O19" s="1873"/>
      <c r="P19" s="1873"/>
      <c r="Q19" s="1873"/>
      <c r="R19" s="2075"/>
      <c r="S19" s="1882"/>
    </row>
    <row r="20" spans="1:45" ht="15.75">
      <c r="A20" s="930" t="s">
        <v>805</v>
      </c>
      <c r="B20" s="747">
        <f>S22</f>
        <v>0</v>
      </c>
      <c r="C20" s="1873"/>
      <c r="D20" s="1873"/>
      <c r="E20" s="1873"/>
      <c r="F20" s="1873"/>
      <c r="G20" s="1873"/>
      <c r="H20" s="1873"/>
      <c r="I20" s="1873"/>
      <c r="J20" s="1873"/>
      <c r="K20" s="1873"/>
      <c r="L20" s="1873"/>
      <c r="M20" s="1873"/>
      <c r="N20" s="1873"/>
      <c r="O20" s="1873"/>
      <c r="P20" s="1873"/>
      <c r="Q20" s="1873"/>
      <c r="R20" s="2075"/>
      <c r="S20" s="1882"/>
    </row>
    <row r="21" spans="1:45" ht="15.75">
      <c r="A21" s="930" t="str">
        <f>IF(B23="土地面积","地面单价","楼面单价")</f>
        <v>楼面单价</v>
      </c>
      <c r="B21" s="747" t="e">
        <f>R22</f>
        <v>#DIV/0!</v>
      </c>
      <c r="C21" s="1873"/>
      <c r="D21" s="1873"/>
      <c r="E21" s="1873"/>
      <c r="F21" s="1873"/>
      <c r="G21" s="1873"/>
      <c r="H21" s="1873"/>
      <c r="I21" s="1873"/>
      <c r="J21" s="1873"/>
      <c r="K21" s="1873"/>
      <c r="L21" s="1873"/>
      <c r="M21" s="1873"/>
      <c r="N21" s="1873"/>
      <c r="O21" s="1873"/>
      <c r="P21" s="1873"/>
      <c r="Q21" s="1873"/>
      <c r="R21" s="2075"/>
      <c r="S21" s="1882"/>
    </row>
    <row r="22" spans="1:45">
      <c r="A22" s="771" t="s">
        <v>806</v>
      </c>
      <c r="B22" s="53">
        <f>SUM(B24:B10000)</f>
        <v>0</v>
      </c>
      <c r="C22" s="3919" t="s">
        <v>20</v>
      </c>
      <c r="D22" s="3920"/>
      <c r="E22" s="3920"/>
      <c r="F22" s="3920"/>
      <c r="G22" s="3920"/>
      <c r="H22" s="3920"/>
      <c r="I22" s="3920"/>
      <c r="J22" s="3920"/>
      <c r="K22" s="3920"/>
      <c r="L22" s="3920"/>
      <c r="M22" s="3920"/>
      <c r="N22" s="3920"/>
      <c r="O22" s="3920"/>
      <c r="P22" s="3920"/>
      <c r="Q22" s="3921"/>
      <c r="R22" s="474" t="e">
        <f>ROUND(S22*10000/B22,0)</f>
        <v>#DIV/0!</v>
      </c>
      <c r="S22" s="53">
        <f>SUM(S24:S10000)</f>
        <v>0</v>
      </c>
    </row>
    <row r="23" spans="1:45" s="1516" customFormat="1" ht="24">
      <c r="A23" s="17" t="s">
        <v>807</v>
      </c>
      <c r="B23" s="2825" t="s">
        <v>2883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517" customFormat="1">
      <c r="A24" s="931" t="s">
        <v>811</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37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37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37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37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37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37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37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37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37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37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37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37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37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37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37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37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37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37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37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37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37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37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37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37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37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37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37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37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37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37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37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37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37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37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37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37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37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37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37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37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37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37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37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37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37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37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37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37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37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37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37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37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37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37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37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37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37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37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37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37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37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37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37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37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2738</v>
      </c>
      <c r="C1" s="2688">
        <f>项目基本情况!D3</f>
        <v>44623</v>
      </c>
      <c r="H1" s="2622">
        <f>IF(C1&gt;C13,0,MATCH(C1,C$13:C$100,-1))+IF(SUMIF(C13:C100,C1,D13:D100)=0,13,12)</f>
        <v>13</v>
      </c>
      <c r="I1" s="2622">
        <f ca="1">MATCH(C2,H3:H7,1)+IF(SUMIF(H3:H7,C2,I3:I7)=0,2,1)</f>
        <v>5</v>
      </c>
      <c r="J1" s="2681">
        <f ca="1">MATCH(C3,H3:H7,1)+IF(SUMIF(H3:H7,C3,J3:J7)=0,2,1)</f>
        <v>4</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2769</v>
      </c>
      <c r="C2" s="2689">
        <f>'数据-取费表'!B22</f>
        <v>3</v>
      </c>
      <c r="D2" s="2684" t="s">
        <v>2739</v>
      </c>
      <c r="E2" s="2687">
        <f ca="1">INDIRECT("I"&amp;$I$1)/100</f>
        <v>4.7500000000000001E-2</v>
      </c>
      <c r="G2" s="2624"/>
      <c r="H2" s="2624"/>
      <c r="I2" s="2624" t="s">
        <v>2740</v>
      </c>
      <c r="K2" s="2624"/>
      <c r="L2" s="2624"/>
      <c r="M2" s="2624"/>
      <c r="N2" s="2624" t="s">
        <v>2741</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2771</v>
      </c>
      <c r="C3" s="2686">
        <f>'数据-取费表'!B19</f>
        <v>1</v>
      </c>
      <c r="D3" s="2684" t="s">
        <v>2739</v>
      </c>
      <c r="E3" s="2687">
        <f ca="1">INDIRECT("J"&amp;$J$1)/100</f>
        <v>4.3499999999999997E-2</v>
      </c>
      <c r="G3" s="2626" t="s">
        <v>2742</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2770</v>
      </c>
      <c r="C4" s="2687">
        <f ca="1">N4/100</f>
        <v>1.4999999999999999E-2</v>
      </c>
      <c r="G4" s="2632" t="s">
        <v>2743</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2744</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2745</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2746</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2747</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2748</v>
      </c>
      <c r="C10" s="2651"/>
      <c r="D10" s="2651"/>
      <c r="E10" s="2651"/>
      <c r="F10" s="2651"/>
      <c r="G10" s="2651"/>
      <c r="H10" s="2651"/>
      <c r="I10" s="2625"/>
      <c r="J10" s="2625"/>
      <c r="K10" s="2651"/>
      <c r="L10" s="2652" t="s">
        <v>2749</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2750</v>
      </c>
      <c r="C11" s="2656" t="s">
        <v>2751</v>
      </c>
      <c r="D11" s="2657" t="s">
        <v>2752</v>
      </c>
      <c r="E11" s="2658"/>
      <c r="F11" s="2657" t="s">
        <v>2753</v>
      </c>
      <c r="G11" s="2659"/>
      <c r="H11" s="2658"/>
      <c r="I11" s="2657" t="s">
        <v>2754</v>
      </c>
      <c r="J11" s="2658"/>
      <c r="K11" s="2654"/>
      <c r="L11" s="2655" t="s">
        <v>2750</v>
      </c>
      <c r="M11" s="2656" t="s">
        <v>2751</v>
      </c>
      <c r="N11" s="2655" t="s">
        <v>2755</v>
      </c>
      <c r="O11" s="2657" t="s">
        <v>2756</v>
      </c>
      <c r="P11" s="2659"/>
      <c r="Q11" s="2659"/>
      <c r="R11" s="2659"/>
      <c r="S11" s="2659"/>
      <c r="T11" s="2658"/>
      <c r="U11" s="2657" t="s">
        <v>2757</v>
      </c>
      <c r="V11" s="2659"/>
      <c r="W11" s="2658"/>
      <c r="X11" s="2655" t="s">
        <v>2758</v>
      </c>
      <c r="Y11" s="2655" t="s">
        <v>2759</v>
      </c>
      <c r="Z11" s="2655" t="s">
        <v>2760</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2761</v>
      </c>
      <c r="E12" s="2664" t="s">
        <v>2762</v>
      </c>
      <c r="F12" s="2664" t="s">
        <v>2763</v>
      </c>
      <c r="G12" s="2664" t="s">
        <v>2764</v>
      </c>
      <c r="H12" s="2664" t="s">
        <v>2746</v>
      </c>
      <c r="I12" s="2665" t="s">
        <v>2765</v>
      </c>
      <c r="J12" s="2665" t="s">
        <v>2765</v>
      </c>
      <c r="K12" s="2661"/>
      <c r="L12" s="2662"/>
      <c r="M12" s="2663"/>
      <c r="N12" s="2662"/>
      <c r="O12" s="2665" t="s">
        <v>2766</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2767</v>
      </c>
      <c r="C13" s="2669">
        <v>42301</v>
      </c>
      <c r="D13" s="2670">
        <v>4.3499999999999996</v>
      </c>
      <c r="E13" s="2670">
        <v>4.3499999999999996</v>
      </c>
      <c r="F13" s="2670">
        <v>4.75</v>
      </c>
      <c r="G13" s="2670">
        <v>4.75</v>
      </c>
      <c r="H13" s="2670">
        <v>4.9000000000000004</v>
      </c>
      <c r="I13" s="2670">
        <v>2.75</v>
      </c>
      <c r="J13" s="2670">
        <v>3.25</v>
      </c>
      <c r="K13" s="2667"/>
      <c r="L13" s="2668" t="s">
        <v>2767</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2768</v>
      </c>
      <c r="Y42" s="2674" t="s">
        <v>2768</v>
      </c>
      <c r="Z42" s="2674" t="s">
        <v>2768</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2768</v>
      </c>
      <c r="Y43" s="2674" t="s">
        <v>2768</v>
      </c>
      <c r="Z43" s="2674" t="s">
        <v>2768</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2768</v>
      </c>
      <c r="Y44" s="2674" t="s">
        <v>2768</v>
      </c>
      <c r="Z44" s="2674" t="s">
        <v>2768</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2768</v>
      </c>
      <c r="Y45" s="2674" t="s">
        <v>2768</v>
      </c>
      <c r="Z45" s="2674" t="s">
        <v>2768</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2768</v>
      </c>
      <c r="Y46" s="2674" t="s">
        <v>2768</v>
      </c>
      <c r="Z46" s="2674" t="s">
        <v>2768</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2768</v>
      </c>
      <c r="Y47" s="2674" t="s">
        <v>2768</v>
      </c>
      <c r="Z47" s="2674" t="s">
        <v>2768</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2768</v>
      </c>
      <c r="Y48" s="2674" t="s">
        <v>2768</v>
      </c>
      <c r="Z48" s="2674" t="s">
        <v>2768</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2768</v>
      </c>
      <c r="Y49" s="2674" t="s">
        <v>2768</v>
      </c>
      <c r="Z49" s="2674" t="s">
        <v>2768</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2768</v>
      </c>
      <c r="Y50" s="2674" t="s">
        <v>2768</v>
      </c>
      <c r="Z50" s="2674" t="s">
        <v>2768</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2768</v>
      </c>
      <c r="V51" s="2674" t="s">
        <v>2768</v>
      </c>
      <c r="W51" s="2674" t="s">
        <v>2768</v>
      </c>
      <c r="X51" s="2674" t="s">
        <v>2768</v>
      </c>
      <c r="Y51" s="2674" t="s">
        <v>2768</v>
      </c>
      <c r="Z51" s="2674" t="s">
        <v>2768</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2768</v>
      </c>
      <c r="J55" s="2674" t="s">
        <v>2768</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557" t="s">
        <v>2030</v>
      </c>
      <c r="B1" s="3557"/>
      <c r="C1" s="3557"/>
      <c r="D1" s="3557"/>
    </row>
    <row r="2" spans="1:4" ht="47.25" customHeight="1">
      <c r="A2" s="3561" t="str">
        <f>"1.权利限制："&amp;项目基本情况!L24&amp;"未设定租赁等其他他项权利。"</f>
        <v>1.权利限制：根据估价对象《不动产权证书》原件、《国有土地使用权》复印件，截至估价期日，估价对象抵押权未见登记。未设定租赁等其他他项权利。</v>
      </c>
      <c r="B2" s="3561"/>
      <c r="C2" s="3561"/>
      <c r="D2" s="3561"/>
    </row>
    <row r="3" spans="1:4" ht="48" customHeight="1">
      <c r="A3" s="35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7"/>
      <c r="C3" s="3557"/>
      <c r="D3" s="3557"/>
    </row>
    <row r="4" spans="1:4" ht="36.75" customHeight="1">
      <c r="A4" s="3557" t="str">
        <f>"3.估价规划限制条件：详见"&amp;项目基本情况!E21&amp;"。"</f>
        <v>3.估价规划限制条件：详见《建设工程规划许可证》[]、《出让合同》[]。</v>
      </c>
      <c r="B4" s="3557"/>
      <c r="C4" s="3557"/>
      <c r="D4" s="3557"/>
    </row>
    <row r="5" spans="1:4">
      <c r="A5" s="3560" t="s">
        <v>2031</v>
      </c>
      <c r="B5" s="3560"/>
      <c r="C5" s="3560"/>
      <c r="D5" s="3560"/>
    </row>
    <row r="6" spans="1:4">
      <c r="A6" s="3557" t="s">
        <v>2009</v>
      </c>
      <c r="B6" s="3557"/>
      <c r="C6" s="3557"/>
      <c r="D6" s="3557"/>
    </row>
    <row r="7" spans="1:4" ht="33" customHeight="1">
      <c r="A7" s="3557" t="s">
        <v>2526</v>
      </c>
      <c r="B7" s="3557"/>
      <c r="C7" s="3557"/>
      <c r="D7" s="3557"/>
    </row>
    <row r="8" spans="1:4" ht="32.25" customHeight="1">
      <c r="A8" s="35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7"/>
      <c r="C8" s="3557"/>
      <c r="D8" s="3557"/>
    </row>
    <row r="9" spans="1:4" ht="33.75" customHeight="1">
      <c r="A9" s="3557" t="str">
        <f>IF(项目基本情况!B8="抵押","3.抵押双方在办理抵押登记手续时，应使用本公司出具的正式《土地估价报告》，特提请报告使用者注意。","——")</f>
        <v>——</v>
      </c>
      <c r="B9" s="3557"/>
      <c r="C9" s="3557"/>
      <c r="D9" s="3557"/>
    </row>
    <row r="10" spans="1:4">
      <c r="A10" s="3557" t="str">
        <f>IF(项目基本情况!B8="抵押","4.估价师所知悉的法定优先受偿款情况为：","——")</f>
        <v>——</v>
      </c>
      <c r="B10" s="3557"/>
      <c r="C10" s="3557"/>
      <c r="D10" s="3557"/>
    </row>
    <row r="11" spans="1:4" ht="37.5" customHeight="1">
      <c r="A11" s="3559" t="str">
        <f>IF(项目基本情况!B8="抵押","（1）"&amp;CONCATENATE(项目基本情况!L24,项目基本情况!L25,项目基本情况!L26),"——")</f>
        <v>——</v>
      </c>
      <c r="B11" s="3559"/>
      <c r="C11" s="3559"/>
      <c r="D11" s="3559"/>
    </row>
    <row r="12" spans="1:4" ht="168" customHeight="1">
      <c r="A12" s="3560" t="s">
        <v>2033</v>
      </c>
      <c r="B12" s="3560"/>
      <c r="C12" s="3560"/>
      <c r="D12" s="3560"/>
    </row>
    <row r="13" spans="1:4">
      <c r="A13" s="3558" t="s">
        <v>2697</v>
      </c>
      <c r="B13" s="3558"/>
      <c r="C13" s="3558"/>
      <c r="D13" s="3558"/>
    </row>
    <row r="14" spans="1:4">
      <c r="A14" s="3559" t="str">
        <f>IF(项目基本情况!B8="抵押","综上，"&amp;结果表!K47,"——")</f>
        <v>——</v>
      </c>
      <c r="B14" s="3559"/>
      <c r="C14" s="3559"/>
      <c r="D14" s="3559"/>
    </row>
    <row r="15" spans="1:4" ht="58.5" customHeight="1">
      <c r="A15" s="35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7"/>
      <c r="C15" s="3557"/>
      <c r="D15" s="3557"/>
    </row>
    <row r="16" spans="1:4" ht="70.5" customHeight="1">
      <c r="A16" s="35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7"/>
      <c r="C16" s="3557"/>
      <c r="D16" s="3557"/>
    </row>
    <row r="17" spans="1:4">
      <c r="A17" s="3557" t="s">
        <v>2653</v>
      </c>
      <c r="B17" s="3557"/>
      <c r="C17" s="3557"/>
      <c r="D17" s="3557"/>
    </row>
    <row r="18" spans="1:4">
      <c r="A18" s="3557" t="s">
        <v>2645</v>
      </c>
      <c r="B18" s="3557"/>
      <c r="C18" s="3557"/>
      <c r="D18" s="3557"/>
    </row>
    <row r="19" spans="1:4">
      <c r="A19" s="2552" t="s">
        <v>2646</v>
      </c>
      <c r="B19" s="2552" t="s">
        <v>2647</v>
      </c>
      <c r="C19" s="2552" t="s">
        <v>2648</v>
      </c>
      <c r="D19" s="2552" t="s">
        <v>2649</v>
      </c>
    </row>
    <row r="20" spans="1:4">
      <c r="A20" s="2552" t="str">
        <f>项目基本情况!B4</f>
        <v>土地估价师</v>
      </c>
      <c r="B20" s="2552">
        <f>项目基本情况!C4</f>
        <v>0</v>
      </c>
      <c r="C20" s="2554"/>
      <c r="D20" s="1687" t="s">
        <v>2654</v>
      </c>
    </row>
    <row r="21" spans="1:4">
      <c r="A21" s="2552" t="str">
        <f>项目基本情况!D4</f>
        <v>土地估价师</v>
      </c>
      <c r="B21" s="2552">
        <f>项目基本情况!E4</f>
        <v>0</v>
      </c>
      <c r="C21" s="2554"/>
      <c r="D21" s="1687" t="s">
        <v>2655</v>
      </c>
    </row>
    <row r="23" spans="1:4">
      <c r="A23" s="3557" t="s">
        <v>2650</v>
      </c>
      <c r="B23" s="3557"/>
      <c r="C23" s="3557"/>
      <c r="D23" s="3557"/>
    </row>
    <row r="24" spans="1:4">
      <c r="A24" s="2552" t="s">
        <v>2646</v>
      </c>
      <c r="B24" s="2552" t="s">
        <v>2651</v>
      </c>
      <c r="C24" s="2552" t="s">
        <v>2648</v>
      </c>
      <c r="D24" s="2552" t="s">
        <v>2649</v>
      </c>
    </row>
    <row r="25" spans="1:4">
      <c r="A25" s="2555" t="s">
        <v>2652</v>
      </c>
      <c r="B25" s="2552" t="s">
        <v>926</v>
      </c>
      <c r="C25" s="2554"/>
      <c r="D25" s="1687" t="s">
        <v>2655</v>
      </c>
    </row>
    <row r="29" spans="1:4">
      <c r="D29" s="2553" t="s">
        <v>2004</v>
      </c>
    </row>
    <row r="30" spans="1:4">
      <c r="D30" s="255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846</v>
      </c>
    </row>
    <row r="13" spans="1:7">
      <c r="A13" s="1136" t="s">
        <v>52</v>
      </c>
    </row>
    <row r="15" spans="1:7" ht="14.25">
      <c r="A15" s="3569" t="s">
        <v>53</v>
      </c>
      <c r="B15" s="3570" t="s">
        <v>821</v>
      </c>
      <c r="C15" s="3566"/>
    </row>
    <row r="16" spans="1:7" ht="14.25">
      <c r="A16" s="3569"/>
      <c r="B16" s="3567" t="s">
        <v>54</v>
      </c>
      <c r="C16" s="1137" t="s">
        <v>53</v>
      </c>
    </row>
    <row r="17" spans="1:3" ht="14.25">
      <c r="A17" s="3569"/>
      <c r="B17" s="3567"/>
      <c r="C17" s="1137" t="s">
        <v>55</v>
      </c>
    </row>
    <row r="18" spans="1:3" ht="14.25">
      <c r="A18" s="3569"/>
      <c r="B18" s="3567"/>
      <c r="C18" s="1137" t="s">
        <v>56</v>
      </c>
    </row>
    <row r="19" spans="1:3" ht="14.25">
      <c r="A19" s="3569"/>
      <c r="B19" s="3565" t="s">
        <v>57</v>
      </c>
      <c r="C19" s="3566"/>
    </row>
    <row r="20" spans="1:3" ht="14.25">
      <c r="A20" s="1138" t="s">
        <v>58</v>
      </c>
      <c r="B20" s="1139"/>
      <c r="C20" s="1140"/>
    </row>
    <row r="21" spans="1:3" ht="14.25">
      <c r="A21" s="3568" t="s">
        <v>59</v>
      </c>
      <c r="B21" s="3565" t="s">
        <v>60</v>
      </c>
      <c r="C21" s="3566"/>
    </row>
    <row r="22" spans="1:3" ht="14.25">
      <c r="A22" s="3568"/>
      <c r="B22" s="3565" t="s">
        <v>61</v>
      </c>
      <c r="C22" s="3566"/>
    </row>
    <row r="23" spans="1:3" ht="14.25">
      <c r="A23" s="3568"/>
      <c r="B23" s="3565" t="s">
        <v>62</v>
      </c>
      <c r="C23" s="3566"/>
    </row>
    <row r="24" spans="1:3" ht="14.25">
      <c r="A24" s="3568"/>
      <c r="B24" s="3571" t="s">
        <v>63</v>
      </c>
      <c r="C24" s="1141" t="s">
        <v>812</v>
      </c>
    </row>
    <row r="25" spans="1:3" ht="14.25">
      <c r="A25" s="3568"/>
      <c r="B25" s="3572"/>
      <c r="C25" s="1141" t="s">
        <v>813</v>
      </c>
    </row>
    <row r="26" spans="1:3" ht="14.25">
      <c r="A26" s="3568"/>
      <c r="B26" s="3572"/>
      <c r="C26" s="1141" t="s">
        <v>814</v>
      </c>
    </row>
    <row r="27" spans="1:3" ht="14.25">
      <c r="A27" s="3568"/>
      <c r="B27" s="3572"/>
      <c r="C27" s="1141" t="s">
        <v>815</v>
      </c>
    </row>
    <row r="28" spans="1:3" ht="14.25">
      <c r="A28" s="3568"/>
      <c r="B28" s="3572"/>
      <c r="C28" s="1141" t="s">
        <v>816</v>
      </c>
    </row>
    <row r="29" spans="1:3" ht="14.25">
      <c r="A29" s="3568"/>
      <c r="B29" s="3572"/>
      <c r="C29" s="1141" t="s">
        <v>817</v>
      </c>
    </row>
    <row r="30" spans="1:3" ht="14.25">
      <c r="A30" s="3568"/>
      <c r="B30" s="3572"/>
      <c r="C30" s="1141" t="s">
        <v>818</v>
      </c>
    </row>
    <row r="31" spans="1:3" ht="14.25">
      <c r="A31" s="3568"/>
      <c r="B31" s="3572"/>
      <c r="C31" s="1141" t="s">
        <v>819</v>
      </c>
    </row>
    <row r="32" spans="1:3" ht="14.25">
      <c r="A32" s="3568"/>
      <c r="B32" s="3572"/>
      <c r="C32" s="1141" t="s">
        <v>1619</v>
      </c>
    </row>
    <row r="33" spans="1:3" ht="14.25">
      <c r="A33" s="3568"/>
      <c r="B33" s="3562" t="s">
        <v>1625</v>
      </c>
      <c r="C33" s="1141" t="s">
        <v>1620</v>
      </c>
    </row>
    <row r="34" spans="1:3" ht="14.25">
      <c r="A34" s="3568"/>
      <c r="B34" s="3563"/>
      <c r="C34" s="1146" t="s">
        <v>1621</v>
      </c>
    </row>
    <row r="35" spans="1:3" ht="14.25">
      <c r="A35" s="3568"/>
      <c r="B35" s="3563"/>
      <c r="C35" s="1147" t="s">
        <v>1622</v>
      </c>
    </row>
    <row r="36" spans="1:3" ht="14.25">
      <c r="A36" s="3568"/>
      <c r="B36" s="3563"/>
      <c r="C36" s="1147" t="s">
        <v>1623</v>
      </c>
    </row>
    <row r="37" spans="1:3" ht="14.25">
      <c r="A37" s="3568"/>
      <c r="B37" s="3564"/>
      <c r="C37" s="1148" t="s">
        <v>1624</v>
      </c>
    </row>
    <row r="38" spans="1:3">
      <c r="A38" s="1142" t="s">
        <v>820</v>
      </c>
    </row>
    <row r="41" spans="1:3">
      <c r="A41" s="1142" t="s">
        <v>68</v>
      </c>
    </row>
    <row r="42" spans="1:3" ht="14.25">
      <c r="A42" s="1143" t="s">
        <v>828</v>
      </c>
    </row>
    <row r="43" spans="1:3" ht="14.25">
      <c r="A43" s="1144" t="s">
        <v>69</v>
      </c>
    </row>
    <row r="44" spans="1:3" ht="14.25">
      <c r="A44" s="1143" t="s">
        <v>827</v>
      </c>
    </row>
    <row r="45" spans="1:3" ht="14.25">
      <c r="A45" s="1145" t="s">
        <v>829</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8"/>
      <c r="B1" s="2988"/>
      <c r="C1" s="2988"/>
      <c r="D1" s="2988"/>
      <c r="E1" s="2988"/>
      <c r="F1" s="2988"/>
      <c r="G1" s="2988"/>
    </row>
    <row r="2" spans="1:7" ht="20.25" customHeight="1">
      <c r="A2" s="2989" t="s">
        <v>1874</v>
      </c>
      <c r="B2" s="2990">
        <f ca="1">TODAY()</f>
        <v>44658</v>
      </c>
      <c r="C2" s="2991" t="s">
        <v>1875</v>
      </c>
      <c r="D2" s="2991"/>
      <c r="E2" s="2988"/>
      <c r="F2" s="2988"/>
      <c r="G2" s="2988"/>
    </row>
    <row r="3" spans="1:7" ht="20.25" customHeight="1">
      <c r="A3" s="3012" t="s">
        <v>1876</v>
      </c>
      <c r="B3" s="2993" t="s">
        <v>1877</v>
      </c>
      <c r="C3" s="2994" t="s">
        <v>1878</v>
      </c>
      <c r="D3" s="3013" t="s">
        <v>1879</v>
      </c>
      <c r="E3" s="2993" t="s">
        <v>1880</v>
      </c>
      <c r="F3" s="2993" t="s">
        <v>1878</v>
      </c>
      <c r="G3" s="2988"/>
    </row>
    <row r="4" spans="1:7" ht="20.25" customHeight="1">
      <c r="A4" s="2993" t="s">
        <v>1881</v>
      </c>
      <c r="B4" s="2993">
        <f ca="1">IF(C4&lt;B2,"已过期",1119970066)</f>
        <v>1119970066</v>
      </c>
      <c r="C4" s="2996">
        <v>44876</v>
      </c>
      <c r="D4" s="3004" t="s">
        <v>1881</v>
      </c>
      <c r="E4" s="2993">
        <f ca="1">IF(F4&lt;B2,"已过期",96010014)</f>
        <v>96010014</v>
      </c>
      <c r="F4" s="2995">
        <v>47118</v>
      </c>
      <c r="G4" s="2988"/>
    </row>
    <row r="5" spans="1:7" ht="20.25" customHeight="1">
      <c r="A5" s="2993" t="s">
        <v>1882</v>
      </c>
      <c r="B5" s="2993">
        <f ca="1">IF(C5&lt;B2,"已过期",1119970111)</f>
        <v>1119970111</v>
      </c>
      <c r="C5" s="2996">
        <v>44876</v>
      </c>
      <c r="D5" s="3004" t="s">
        <v>1882</v>
      </c>
      <c r="E5" s="2993">
        <f ca="1">IF(F5&lt;B2,"已过期",94010078)</f>
        <v>94010078</v>
      </c>
      <c r="F5" s="2995">
        <v>46387</v>
      </c>
      <c r="G5" s="2988"/>
    </row>
    <row r="6" spans="1:7" ht="20.25" customHeight="1">
      <c r="A6" s="2993" t="s">
        <v>1883</v>
      </c>
      <c r="B6" s="2993" t="str">
        <f ca="1">IF(C6&lt;B2,"已过期",1120050019)</f>
        <v>已过期</v>
      </c>
      <c r="C6" s="2996">
        <v>44395</v>
      </c>
      <c r="D6" s="3004" t="s">
        <v>1883</v>
      </c>
      <c r="E6" s="2993">
        <f ca="1">IF(F6&lt;B2,"已过期",2002110030)</f>
        <v>2002110030</v>
      </c>
      <c r="F6" s="2995">
        <v>46387</v>
      </c>
      <c r="G6" s="2988"/>
    </row>
    <row r="7" spans="1:7" ht="20.25" customHeight="1">
      <c r="A7" s="2993" t="s">
        <v>1884</v>
      </c>
      <c r="B7" s="2993">
        <f ca="1">IF(C7&lt;B2,"已过期",1120000080)</f>
        <v>1120000080</v>
      </c>
      <c r="C7" s="2996">
        <v>44876</v>
      </c>
      <c r="D7" s="3004" t="s">
        <v>1884</v>
      </c>
      <c r="E7" s="2993">
        <f ca="1">IF(F7&lt;B2,"已过期",2000110082)</f>
        <v>2000110082</v>
      </c>
      <c r="F7" s="2995">
        <v>46387</v>
      </c>
      <c r="G7" s="2988"/>
    </row>
    <row r="8" spans="1:7" ht="20.25" customHeight="1">
      <c r="A8" s="2993" t="s">
        <v>1885</v>
      </c>
      <c r="B8" s="2993">
        <f ca="1">IF(C8&lt;B2,"已过期",1419970001)</f>
        <v>1419970001</v>
      </c>
      <c r="C8" s="2996">
        <v>44899</v>
      </c>
      <c r="D8" s="3004" t="s">
        <v>1885</v>
      </c>
      <c r="E8" s="2993">
        <f ca="1">IF(F8&lt;B2,"已过期",2002110125)</f>
        <v>2002110125</v>
      </c>
      <c r="F8" s="2995">
        <v>47118</v>
      </c>
      <c r="G8" s="2988"/>
    </row>
    <row r="9" spans="1:7" ht="20.25" customHeight="1">
      <c r="A9" s="2993" t="s">
        <v>1886</v>
      </c>
      <c r="B9" s="2993" t="str">
        <f ca="1">IF(C9&lt;B2,"已过期",1120060040)</f>
        <v>已过期</v>
      </c>
      <c r="C9" s="2996">
        <v>44554</v>
      </c>
      <c r="D9" s="3004" t="s">
        <v>1886</v>
      </c>
      <c r="E9" s="2993">
        <f ca="1">IF(F9&lt;B2,"已过期",2004110096)</f>
        <v>2004110096</v>
      </c>
      <c r="F9" s="2995">
        <v>47118</v>
      </c>
      <c r="G9" s="2988"/>
    </row>
    <row r="10" spans="1:7" ht="20.25" customHeight="1">
      <c r="A10" s="2993" t="s">
        <v>1887</v>
      </c>
      <c r="B10" s="2993">
        <f ca="1">IF(C10&lt;B2,"已过期",1120100036)</f>
        <v>1120100036</v>
      </c>
      <c r="C10" s="2996">
        <v>44675</v>
      </c>
      <c r="D10" s="3004" t="s">
        <v>1887</v>
      </c>
      <c r="E10" s="2993">
        <f ca="1">IF(F10&lt;B2,"已过期",2010110070)</f>
        <v>2010110070</v>
      </c>
      <c r="F10" s="2995">
        <v>47907</v>
      </c>
      <c r="G10" s="2988"/>
    </row>
    <row r="11" spans="1:7" ht="20.25" customHeight="1">
      <c r="A11" s="2993" t="s">
        <v>1888</v>
      </c>
      <c r="B11" s="2993">
        <f ca="1">IF(C11&lt;B2,"已过期",1120070131)</f>
        <v>1120070131</v>
      </c>
      <c r="C11" s="2996">
        <v>44849</v>
      </c>
      <c r="D11" s="3004" t="s">
        <v>1888</v>
      </c>
      <c r="E11" s="2993">
        <f ca="1">IF(F11&lt;B2,"已过期",2014110011)</f>
        <v>2014110011</v>
      </c>
      <c r="F11" s="2995">
        <v>49302</v>
      </c>
      <c r="G11" s="2988"/>
    </row>
    <row r="12" spans="1:7" ht="20.25" customHeight="1">
      <c r="A12" s="2993" t="s">
        <v>2912</v>
      </c>
      <c r="B12" s="2993">
        <f ca="1">IF(C12&lt;B2,"已过期",1120040230)</f>
        <v>1120040230</v>
      </c>
      <c r="C12" s="2996">
        <v>44864</v>
      </c>
      <c r="D12" s="3004" t="s">
        <v>2913</v>
      </c>
      <c r="E12" s="2993">
        <f ca="1">IF(F12&lt;B2,"已过期",98030020)</f>
        <v>98030020</v>
      </c>
      <c r="F12" s="2995">
        <v>47118</v>
      </c>
      <c r="G12" s="2988"/>
    </row>
    <row r="13" spans="1:7" ht="20.25" customHeight="1">
      <c r="A13" s="2993"/>
      <c r="B13" s="2993"/>
      <c r="C13" s="2996"/>
      <c r="D13" s="3004" t="s">
        <v>1889</v>
      </c>
      <c r="E13" s="2993">
        <f ca="1">IF(F13&lt;B2,"已过期",2011110090)</f>
        <v>2011110090</v>
      </c>
      <c r="F13" s="2995">
        <v>48302</v>
      </c>
      <c r="G13" s="2988"/>
    </row>
    <row r="14" spans="1:7" ht="20.25" customHeight="1">
      <c r="A14" s="2993" t="s">
        <v>1890</v>
      </c>
      <c r="B14" s="2993" t="str">
        <f ca="1">IF(C14&lt;B2,"已过期",1120020033)</f>
        <v>已过期</v>
      </c>
      <c r="C14" s="2996">
        <v>44339</v>
      </c>
      <c r="D14" s="3004" t="s">
        <v>1890</v>
      </c>
      <c r="E14" s="2993">
        <f ca="1">IF(F14&lt;B2,"已过期",2000110137)</f>
        <v>2000110137</v>
      </c>
      <c r="F14" s="2995">
        <v>46387</v>
      </c>
      <c r="G14" s="2988"/>
    </row>
    <row r="15" spans="1:7" ht="20.25" customHeight="1">
      <c r="A15" s="2993" t="s">
        <v>2924</v>
      </c>
      <c r="B15" s="2993" t="str">
        <f ca="1">IF(C14&lt;B2,"已过期",1119980106)</f>
        <v>已过期</v>
      </c>
      <c r="C15" s="2996">
        <v>44969</v>
      </c>
      <c r="D15" s="3004"/>
      <c r="E15" s="2993"/>
      <c r="F15" s="2993"/>
      <c r="G15" s="2988"/>
    </row>
    <row r="16" spans="1:7" s="2795" customFormat="1" ht="20.25" customHeight="1">
      <c r="A16" s="2992" t="s">
        <v>2018</v>
      </c>
      <c r="B16" s="2992" t="s">
        <v>2018</v>
      </c>
      <c r="C16" s="2996"/>
      <c r="D16" s="3005" t="s">
        <v>2018</v>
      </c>
      <c r="E16" s="2993" t="s">
        <v>2018</v>
      </c>
      <c r="F16" s="2995"/>
      <c r="G16" s="2997"/>
    </row>
    <row r="17" spans="1:7" ht="20.25" customHeight="1">
      <c r="A17" s="3576" t="s">
        <v>1891</v>
      </c>
      <c r="B17" s="3577"/>
      <c r="C17" s="3577"/>
      <c r="D17" s="3577"/>
      <c r="E17" s="3577"/>
      <c r="F17" s="3577"/>
      <c r="G17" s="2997"/>
    </row>
    <row r="18" spans="1:7" ht="20.25" customHeight="1">
      <c r="A18" s="3573" t="s">
        <v>1892</v>
      </c>
      <c r="B18" s="3573"/>
      <c r="C18" s="3574"/>
      <c r="D18" s="3575" t="s">
        <v>1893</v>
      </c>
      <c r="E18" s="3573"/>
      <c r="F18" s="3573"/>
      <c r="G18" s="2997"/>
    </row>
    <row r="19" spans="1:7" s="2793" customFormat="1" ht="20.25" customHeight="1">
      <c r="A19" s="2998" t="s">
        <v>1894</v>
      </c>
      <c r="B19" s="2999" t="s">
        <v>1895</v>
      </c>
      <c r="C19" s="3006" t="s">
        <v>1896</v>
      </c>
      <c r="D19" s="3004" t="s">
        <v>1894</v>
      </c>
      <c r="E19" s="2999" t="s">
        <v>1895</v>
      </c>
      <c r="F19" s="2999" t="s">
        <v>1896</v>
      </c>
      <c r="G19" s="2989"/>
    </row>
    <row r="20" spans="1:7" s="2793" customFormat="1" ht="20.25" customHeight="1">
      <c r="A20" s="3000" t="s">
        <v>1897</v>
      </c>
      <c r="B20" s="3000" t="s">
        <v>1898</v>
      </c>
      <c r="C20" s="3007">
        <v>44820</v>
      </c>
      <c r="D20" s="3009" t="s">
        <v>1899</v>
      </c>
      <c r="E20" s="3000" t="s">
        <v>1900</v>
      </c>
      <c r="F20" s="3001">
        <v>44377</v>
      </c>
      <c r="G20" s="2989"/>
    </row>
    <row r="21" spans="1:7" s="2793" customFormat="1" ht="20.25" customHeight="1">
      <c r="A21" s="3000"/>
      <c r="B21" s="3000"/>
      <c r="C21" s="3008"/>
      <c r="D21" s="3009" t="s">
        <v>1901</v>
      </c>
      <c r="E21" s="3000" t="s">
        <v>2923</v>
      </c>
      <c r="F21" s="3001">
        <v>44012</v>
      </c>
      <c r="G21" s="2989"/>
    </row>
    <row r="22" spans="1:7" ht="20.25" customHeight="1">
      <c r="A22" s="2988"/>
      <c r="B22" s="2988"/>
      <c r="C22" s="3002"/>
      <c r="D22" s="3010"/>
      <c r="E22" s="3011"/>
      <c r="F22" s="3003" t="s">
        <v>2937</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47" priority="149">
      <formula>AND($C5-TODAY()&lt;30,TODAY()&lt;$C5)</formula>
    </cfRule>
  </conditionalFormatting>
  <conditionalFormatting sqref="C20">
    <cfRule type="expression" dxfId="246" priority="148">
      <formula>AND($C20-TODAY()&lt;30,TODAY()&lt;$C20)</formula>
    </cfRule>
  </conditionalFormatting>
  <conditionalFormatting sqref="C20 F4 C5 C13">
    <cfRule type="cellIs" dxfId="245" priority="150" stopIfTrue="1" operator="lessThan">
      <formula>$B$2</formula>
    </cfRule>
  </conditionalFormatting>
  <conditionalFormatting sqref="F5 F7 F9">
    <cfRule type="cellIs" dxfId="244" priority="144" stopIfTrue="1" operator="lessThan">
      <formula>$B$2</formula>
    </cfRule>
  </conditionalFormatting>
  <conditionalFormatting sqref="C16:D16">
    <cfRule type="expression" dxfId="243" priority="142">
      <formula>AND($C16-TODAY()&lt;30,TODAY()&lt;$C16)</formula>
    </cfRule>
  </conditionalFormatting>
  <conditionalFormatting sqref="F6 F8 F10 C16:D16">
    <cfRule type="cellIs" dxfId="242" priority="143" stopIfTrue="1" operator="lessThan">
      <formula>$B$2</formula>
    </cfRule>
  </conditionalFormatting>
  <conditionalFormatting sqref="F14">
    <cfRule type="cellIs" dxfId="241" priority="114" stopIfTrue="1" operator="lessThan">
      <formula>$B$2</formula>
    </cfRule>
  </conditionalFormatting>
  <conditionalFormatting sqref="F13">
    <cfRule type="cellIs" dxfId="240" priority="113" stopIfTrue="1" operator="lessThan">
      <formula>$B$2</formula>
    </cfRule>
  </conditionalFormatting>
  <conditionalFormatting sqref="B4:B11 E4:E11 E13:E15 B13:B15">
    <cfRule type="cellIs" dxfId="239" priority="111" stopIfTrue="1" operator="equal">
      <formula>"已过期"</formula>
    </cfRule>
  </conditionalFormatting>
  <conditionalFormatting sqref="F20">
    <cfRule type="cellIs" dxfId="238" priority="108" stopIfTrue="1" operator="lessThan">
      <formula>$B$2</formula>
    </cfRule>
  </conditionalFormatting>
  <conditionalFormatting sqref="F20">
    <cfRule type="expression" dxfId="237" priority="152">
      <formula>AND($E20-TODAY()&lt;30,TODAY()&lt;$E20)</formula>
    </cfRule>
  </conditionalFormatting>
  <conditionalFormatting sqref="C6">
    <cfRule type="expression" dxfId="236" priority="82">
      <formula>AND($C6-TODAY()&lt;30,TODAY()&lt;$C6)</formula>
    </cfRule>
  </conditionalFormatting>
  <conditionalFormatting sqref="C6">
    <cfRule type="cellIs" dxfId="235" priority="83" stopIfTrue="1" operator="lessThan">
      <formula>$B$2</formula>
    </cfRule>
  </conditionalFormatting>
  <conditionalFormatting sqref="C11 C15">
    <cfRule type="expression" dxfId="234" priority="80">
      <formula>AND($C11-TODAY()&lt;30,TODAY()&lt;$C11)</formula>
    </cfRule>
  </conditionalFormatting>
  <conditionalFormatting sqref="C11 C15">
    <cfRule type="cellIs" dxfId="233" priority="81" stopIfTrue="1" operator="lessThan">
      <formula>$B$2</formula>
    </cfRule>
  </conditionalFormatting>
  <conditionalFormatting sqref="F11">
    <cfRule type="cellIs" dxfId="232" priority="79" stopIfTrue="1" operator="lessThan">
      <formula>$B$2</formula>
    </cfRule>
  </conditionalFormatting>
  <conditionalFormatting sqref="C14">
    <cfRule type="expression" dxfId="231" priority="60">
      <formula>AND($C14-TODAY()&lt;30,TODAY()&lt;$C14)</formula>
    </cfRule>
  </conditionalFormatting>
  <conditionalFormatting sqref="C14">
    <cfRule type="cellIs" dxfId="230" priority="61" stopIfTrue="1" operator="lessThan">
      <formula>$B$2</formula>
    </cfRule>
  </conditionalFormatting>
  <conditionalFormatting sqref="C12">
    <cfRule type="cellIs" dxfId="229" priority="54" stopIfTrue="1" operator="lessThan">
      <formula>$B$2</formula>
    </cfRule>
  </conditionalFormatting>
  <conditionalFormatting sqref="C12">
    <cfRule type="expression" dxfId="228" priority="51">
      <formula>AND($C12-TODAY()&lt;30,TODAY()&lt;$C12)</formula>
    </cfRule>
  </conditionalFormatting>
  <conditionalFormatting sqref="C12">
    <cfRule type="cellIs" dxfId="227" priority="52" stopIfTrue="1" operator="lessThan">
      <formula>$B$2</formula>
    </cfRule>
  </conditionalFormatting>
  <conditionalFormatting sqref="B12">
    <cfRule type="cellIs" dxfId="226" priority="48" stopIfTrue="1" operator="equal">
      <formula>"已过期"</formula>
    </cfRule>
  </conditionalFormatting>
  <conditionalFormatting sqref="E12">
    <cfRule type="cellIs" dxfId="225" priority="38" stopIfTrue="1" operator="equal">
      <formula>"已过期"</formula>
    </cfRule>
  </conditionalFormatting>
  <conditionalFormatting sqref="F12">
    <cfRule type="cellIs" dxfId="224" priority="37" stopIfTrue="1" operator="lessThan">
      <formula>$B$2</formula>
    </cfRule>
  </conditionalFormatting>
  <conditionalFormatting sqref="C9:C10">
    <cfRule type="expression" dxfId="223" priority="33">
      <formula>AND($C9-TODAY()&lt;30,TODAY()&lt;$C9)</formula>
    </cfRule>
  </conditionalFormatting>
  <conditionalFormatting sqref="C9:C10">
    <cfRule type="cellIs" dxfId="222" priority="34" stopIfTrue="1" operator="lessThan">
      <formula>$B$2</formula>
    </cfRule>
  </conditionalFormatting>
  <conditionalFormatting sqref="F21">
    <cfRule type="cellIs" dxfId="221" priority="13" stopIfTrue="1" operator="lessThan">
      <formula>$B$2</formula>
    </cfRule>
  </conditionalFormatting>
  <conditionalFormatting sqref="F21">
    <cfRule type="expression" dxfId="220" priority="14">
      <formula>AND($E21-TODAY()&lt;30,TODAY()&lt;$E21)</formula>
    </cfRule>
  </conditionalFormatting>
  <conditionalFormatting sqref="C7:C8">
    <cfRule type="expression" dxfId="219" priority="5">
      <formula>AND($C7-TODAY()&lt;30,TODAY()&lt;$C7)</formula>
    </cfRule>
  </conditionalFormatting>
  <conditionalFormatting sqref="C7:C8">
    <cfRule type="cellIs" dxfId="218" priority="6" stopIfTrue="1" operator="lessThan">
      <formula>$B$2</formula>
    </cfRule>
  </conditionalFormatting>
  <conditionalFormatting sqref="C7:C8">
    <cfRule type="expression" dxfId="217" priority="3">
      <formula>AND($C7-TODAY()&lt;30,TODAY()&lt;$C7)</formula>
    </cfRule>
  </conditionalFormatting>
  <conditionalFormatting sqref="C7:C8">
    <cfRule type="cellIs" dxfId="216" priority="4" stopIfTrue="1" operator="lessThan">
      <formula>$B$2</formula>
    </cfRule>
  </conditionalFormatting>
  <conditionalFormatting sqref="C4">
    <cfRule type="expression" dxfId="215" priority="1">
      <formula>AND($C4-TODAY()&lt;30,TODAY()&lt;$C4)</formula>
    </cfRule>
  </conditionalFormatting>
  <conditionalFormatting sqref="C4">
    <cfRule type="cellIs" dxfId="21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2" workbookViewId="0">
      <selection activeCell="A40" sqref="A40"/>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831</v>
      </c>
      <c r="B1" s="5" t="s">
        <v>131</v>
      </c>
      <c r="C1" s="1462" t="s">
        <v>1681</v>
      </c>
      <c r="D1" s="6" t="s">
        <v>132</v>
      </c>
      <c r="E1" s="6" t="s">
        <v>133</v>
      </c>
      <c r="F1" s="6" t="s">
        <v>134</v>
      </c>
      <c r="G1" s="6" t="s">
        <v>135</v>
      </c>
      <c r="H1" s="6" t="s">
        <v>136</v>
      </c>
      <c r="I1" s="6" t="s">
        <v>137</v>
      </c>
      <c r="J1" s="6" t="s">
        <v>138</v>
      </c>
      <c r="K1" s="6" t="s">
        <v>139</v>
      </c>
      <c r="L1" s="6" t="s">
        <v>140</v>
      </c>
      <c r="M1" s="6" t="s">
        <v>141</v>
      </c>
      <c r="N1" s="6" t="s">
        <v>142</v>
      </c>
      <c r="O1" s="6" t="s">
        <v>143</v>
      </c>
      <c r="P1" s="6" t="s">
        <v>144</v>
      </c>
      <c r="Q1" s="2400" t="s">
        <v>2497</v>
      </c>
      <c r="R1" s="2399" t="s">
        <v>2491</v>
      </c>
      <c r="S1" s="6" t="s">
        <v>145</v>
      </c>
      <c r="T1" s="7" t="s">
        <v>146</v>
      </c>
      <c r="U1" s="6" t="s">
        <v>147</v>
      </c>
      <c r="V1" s="6" t="s">
        <v>148</v>
      </c>
      <c r="W1" s="974" t="s">
        <v>848</v>
      </c>
    </row>
    <row r="2" spans="1:23">
      <c r="A2" s="8" t="s">
        <v>73</v>
      </c>
      <c r="B2" s="8" t="s">
        <v>149</v>
      </c>
      <c r="C2" s="1463" t="s">
        <v>1682</v>
      </c>
      <c r="D2" s="9" t="s">
        <v>74</v>
      </c>
      <c r="E2" s="9" t="s">
        <v>126</v>
      </c>
      <c r="F2" s="9" t="s">
        <v>127</v>
      </c>
      <c r="G2" s="9">
        <v>40</v>
      </c>
      <c r="H2" s="9" t="s">
        <v>128</v>
      </c>
      <c r="I2" s="9" t="s">
        <v>129</v>
      </c>
      <c r="J2" s="9" t="s">
        <v>130</v>
      </c>
      <c r="K2" s="9" t="s">
        <v>75</v>
      </c>
      <c r="L2" s="9" t="s">
        <v>75</v>
      </c>
      <c r="M2" s="9" t="s">
        <v>75</v>
      </c>
      <c r="N2" s="9" t="s">
        <v>75</v>
      </c>
      <c r="O2" s="9" t="s">
        <v>75</v>
      </c>
      <c r="P2" s="975" t="s">
        <v>854</v>
      </c>
      <c r="Q2" s="9" t="s">
        <v>75</v>
      </c>
      <c r="R2" s="975" t="s">
        <v>2492</v>
      </c>
      <c r="S2" s="9" t="s">
        <v>75</v>
      </c>
      <c r="T2" s="9" t="s">
        <v>76</v>
      </c>
      <c r="U2" s="9" t="s">
        <v>75</v>
      </c>
      <c r="V2" s="9" t="s">
        <v>77</v>
      </c>
      <c r="W2" s="9" t="s">
        <v>849</v>
      </c>
    </row>
    <row r="3" spans="1:23">
      <c r="A3" s="8" t="s">
        <v>78</v>
      </c>
      <c r="B3" s="10" t="s">
        <v>150</v>
      </c>
      <c r="C3" s="1464" t="s">
        <v>1683</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2493</v>
      </c>
      <c r="S3" s="9" t="s">
        <v>84</v>
      </c>
      <c r="T3" s="9" t="s">
        <v>85</v>
      </c>
      <c r="U3" s="9" t="s">
        <v>84</v>
      </c>
      <c r="V3" s="9" t="s">
        <v>86</v>
      </c>
      <c r="W3" s="9" t="s">
        <v>850</v>
      </c>
    </row>
    <row r="4" spans="1:23">
      <c r="A4" s="8" t="s">
        <v>87</v>
      </c>
      <c r="B4" s="8" t="s">
        <v>151</v>
      </c>
      <c r="C4" s="1463" t="s">
        <v>1684</v>
      </c>
      <c r="D4" s="9" t="s">
        <v>1959</v>
      </c>
      <c r="E4" s="9" t="s">
        <v>88</v>
      </c>
      <c r="F4" s="9" t="s">
        <v>89</v>
      </c>
      <c r="G4" s="9">
        <v>70</v>
      </c>
      <c r="H4" s="9" t="s">
        <v>90</v>
      </c>
      <c r="I4" s="9" t="s">
        <v>91</v>
      </c>
      <c r="K4" s="9" t="s">
        <v>92</v>
      </c>
      <c r="L4" s="9" t="s">
        <v>92</v>
      </c>
      <c r="M4" s="9" t="s">
        <v>92</v>
      </c>
      <c r="N4" s="9" t="s">
        <v>92</v>
      </c>
      <c r="O4" s="9" t="s">
        <v>92</v>
      </c>
      <c r="P4" s="975" t="s">
        <v>737</v>
      </c>
      <c r="Q4" s="9" t="s">
        <v>92</v>
      </c>
      <c r="R4" s="975" t="s">
        <v>2494</v>
      </c>
      <c r="S4" s="9" t="s">
        <v>92</v>
      </c>
      <c r="T4" s="9" t="s">
        <v>93</v>
      </c>
      <c r="U4" s="9" t="s">
        <v>92</v>
      </c>
      <c r="W4" s="9" t="s">
        <v>851</v>
      </c>
    </row>
    <row r="5" spans="1:23">
      <c r="A5" s="8" t="s">
        <v>94</v>
      </c>
      <c r="B5" s="8" t="s">
        <v>152</v>
      </c>
      <c r="C5" s="1463" t="s">
        <v>1685</v>
      </c>
      <c r="F5" s="9" t="s">
        <v>95</v>
      </c>
      <c r="H5" s="9" t="s">
        <v>70</v>
      </c>
      <c r="I5" s="9" t="s">
        <v>96</v>
      </c>
      <c r="K5" s="9" t="s">
        <v>97</v>
      </c>
      <c r="L5" s="9" t="s">
        <v>97</v>
      </c>
      <c r="M5" s="9" t="s">
        <v>97</v>
      </c>
      <c r="N5" s="9" t="s">
        <v>97</v>
      </c>
      <c r="O5" s="9" t="s">
        <v>97</v>
      </c>
      <c r="P5" s="975" t="s">
        <v>523</v>
      </c>
      <c r="Q5" s="9" t="s">
        <v>97</v>
      </c>
      <c r="R5" s="975" t="s">
        <v>2495</v>
      </c>
      <c r="S5" s="9" t="s">
        <v>97</v>
      </c>
      <c r="T5" s="9" t="s">
        <v>98</v>
      </c>
      <c r="U5" s="9" t="s">
        <v>97</v>
      </c>
      <c r="W5" s="9" t="s">
        <v>852</v>
      </c>
    </row>
    <row r="6" spans="1:23">
      <c r="A6" s="8" t="s">
        <v>99</v>
      </c>
      <c r="B6" s="1114" t="s">
        <v>3291</v>
      </c>
      <c r="C6" s="1465" t="s">
        <v>1686</v>
      </c>
      <c r="F6" s="9" t="s">
        <v>71</v>
      </c>
      <c r="H6" s="9" t="s">
        <v>72</v>
      </c>
      <c r="I6" s="9" t="s">
        <v>100</v>
      </c>
      <c r="K6" s="9" t="s">
        <v>101</v>
      </c>
      <c r="L6" s="9" t="s">
        <v>101</v>
      </c>
      <c r="M6" s="9" t="s">
        <v>101</v>
      </c>
      <c r="N6" s="9" t="s">
        <v>101</v>
      </c>
      <c r="O6" s="9" t="s">
        <v>101</v>
      </c>
      <c r="P6" s="975" t="s">
        <v>855</v>
      </c>
      <c r="Q6" s="9" t="s">
        <v>101</v>
      </c>
      <c r="R6" s="975" t="s">
        <v>2496</v>
      </c>
      <c r="S6" s="9" t="s">
        <v>101</v>
      </c>
      <c r="T6" s="9"/>
      <c r="U6" s="9" t="s">
        <v>101</v>
      </c>
      <c r="W6" s="9" t="s">
        <v>853</v>
      </c>
    </row>
    <row r="7" spans="1:23">
      <c r="A7" s="8" t="s">
        <v>102</v>
      </c>
      <c r="B7" s="8" t="s">
        <v>103</v>
      </c>
      <c r="C7" s="1463" t="s">
        <v>1687</v>
      </c>
      <c r="F7" s="9" t="s">
        <v>153</v>
      </c>
      <c r="H7" s="9" t="s">
        <v>104</v>
      </c>
      <c r="I7" s="9" t="s">
        <v>105</v>
      </c>
    </row>
    <row r="8" spans="1:23">
      <c r="A8" s="8" t="s">
        <v>106</v>
      </c>
      <c r="B8" s="3512" t="s">
        <v>3305</v>
      </c>
      <c r="C8" s="1463" t="s">
        <v>1688</v>
      </c>
      <c r="F8" s="9" t="s">
        <v>154</v>
      </c>
      <c r="H8" s="9"/>
      <c r="I8" s="9" t="s">
        <v>107</v>
      </c>
    </row>
    <row r="9" spans="1:23">
      <c r="A9" s="8" t="s">
        <v>108</v>
      </c>
      <c r="B9" s="8" t="s">
        <v>155</v>
      </c>
      <c r="C9" s="1463" t="s">
        <v>1689</v>
      </c>
      <c r="F9" s="9" t="s">
        <v>109</v>
      </c>
      <c r="H9" s="9"/>
    </row>
    <row r="10" spans="1:23">
      <c r="A10" s="8" t="s">
        <v>110</v>
      </c>
      <c r="B10" s="8" t="s">
        <v>156</v>
      </c>
      <c r="C10" s="1463" t="s">
        <v>1690</v>
      </c>
      <c r="F10" s="9" t="s">
        <v>6</v>
      </c>
    </row>
    <row r="11" spans="1:23">
      <c r="A11" s="8" t="s">
        <v>111</v>
      </c>
      <c r="B11" s="8" t="s">
        <v>157</v>
      </c>
      <c r="C11" s="1463" t="s">
        <v>1691</v>
      </c>
    </row>
    <row r="12" spans="1:23">
      <c r="A12" s="8" t="s">
        <v>112</v>
      </c>
      <c r="B12" s="8" t="s">
        <v>158</v>
      </c>
      <c r="C12" s="1463" t="s">
        <v>1692</v>
      </c>
    </row>
    <row r="13" spans="1:23">
      <c r="A13" s="8" t="s">
        <v>113</v>
      </c>
      <c r="B13" s="8" t="s">
        <v>159</v>
      </c>
      <c r="C13" s="1463" t="s">
        <v>1693</v>
      </c>
    </row>
    <row r="14" spans="1:23">
      <c r="A14" s="8" t="s">
        <v>114</v>
      </c>
      <c r="B14" s="8" t="s">
        <v>160</v>
      </c>
      <c r="C14" s="1466" t="s">
        <v>1863</v>
      </c>
    </row>
    <row r="15" spans="1:23">
      <c r="A15" s="8" t="s">
        <v>115</v>
      </c>
      <c r="B15" s="8" t="s">
        <v>1654</v>
      </c>
      <c r="C15" s="1466"/>
    </row>
    <row r="16" spans="1:23">
      <c r="A16" s="8" t="s">
        <v>116</v>
      </c>
      <c r="B16" s="8" t="s">
        <v>1655</v>
      </c>
      <c r="C16" s="1466"/>
    </row>
    <row r="17" spans="1:3">
      <c r="A17" s="8" t="s">
        <v>117</v>
      </c>
      <c r="B17" s="8" t="s">
        <v>1656</v>
      </c>
      <c r="C17" s="1466"/>
    </row>
    <row r="18" spans="1:3">
      <c r="A18" s="8" t="s">
        <v>118</v>
      </c>
      <c r="B18" s="2756" t="s">
        <v>2889</v>
      </c>
      <c r="C18" s="1466"/>
    </row>
    <row r="19" spans="1:3">
      <c r="A19" s="8" t="s">
        <v>119</v>
      </c>
      <c r="B19" s="2756" t="s">
        <v>2896</v>
      </c>
      <c r="C19" s="1466"/>
    </row>
    <row r="20" spans="1:3">
      <c r="A20" s="8" t="s">
        <v>120</v>
      </c>
      <c r="B20" s="2756" t="s">
        <v>2938</v>
      </c>
      <c r="C20" s="1466"/>
    </row>
    <row r="21" spans="1:3">
      <c r="A21" s="8" t="s">
        <v>121</v>
      </c>
      <c r="B21" s="8" t="s">
        <v>3119</v>
      </c>
      <c r="C21" s="1466"/>
    </row>
    <row r="22" spans="1:3">
      <c r="A22" s="8" t="s">
        <v>122</v>
      </c>
      <c r="B22" s="3511" t="s">
        <v>3292</v>
      </c>
      <c r="C22" s="1466"/>
    </row>
    <row r="23" spans="1:3">
      <c r="A23" s="8" t="s">
        <v>123</v>
      </c>
      <c r="B23" s="3511" t="s">
        <v>3293</v>
      </c>
      <c r="C23" s="1466"/>
    </row>
    <row r="24" spans="1:3">
      <c r="A24" s="8" t="s">
        <v>12</v>
      </c>
      <c r="B24" s="3511" t="s">
        <v>3307</v>
      </c>
      <c r="C24" s="1466"/>
    </row>
    <row r="25" spans="1:3">
      <c r="A25" s="8" t="s">
        <v>124</v>
      </c>
      <c r="B25" s="3511" t="s">
        <v>3309</v>
      </c>
      <c r="C25" s="1466"/>
    </row>
    <row r="26" spans="1:3">
      <c r="A26" s="8" t="s">
        <v>125</v>
      </c>
      <c r="B26" s="3511" t="s">
        <v>3311</v>
      </c>
      <c r="C26" s="1466"/>
    </row>
    <row r="27" spans="1:3">
      <c r="A27" s="8" t="s">
        <v>1614</v>
      </c>
      <c r="B27" s="3511" t="s">
        <v>3310</v>
      </c>
      <c r="C27" s="1466"/>
    </row>
    <row r="28" spans="1:3">
      <c r="A28" s="8" t="s">
        <v>1614</v>
      </c>
      <c r="B28" s="3511" t="s">
        <v>3312</v>
      </c>
      <c r="C28" s="1466"/>
    </row>
    <row r="29" spans="1:3">
      <c r="A29" s="8" t="s">
        <v>1614</v>
      </c>
      <c r="B29" s="8" t="s">
        <v>1614</v>
      </c>
      <c r="C29" s="1466"/>
    </row>
    <row r="30" spans="1:3">
      <c r="A30" s="8" t="s">
        <v>1614</v>
      </c>
      <c r="B30" s="8" t="s">
        <v>1614</v>
      </c>
      <c r="C30" s="1466"/>
    </row>
    <row r="31" spans="1:3">
      <c r="A31" s="8" t="s">
        <v>1614</v>
      </c>
      <c r="B31" s="8" t="s">
        <v>1614</v>
      </c>
      <c r="C31" s="1466"/>
    </row>
    <row r="32" spans="1:3">
      <c r="A32" s="8" t="s">
        <v>1614</v>
      </c>
      <c r="B32" s="8" t="s">
        <v>1614</v>
      </c>
      <c r="C32" s="1466"/>
    </row>
    <row r="33" spans="1:3">
      <c r="A33" s="8" t="s">
        <v>1614</v>
      </c>
      <c r="B33" s="8" t="s">
        <v>1614</v>
      </c>
      <c r="C33" s="1466"/>
    </row>
    <row r="34" spans="1:3">
      <c r="A34" s="8" t="s">
        <v>1614</v>
      </c>
      <c r="B34" s="8" t="s">
        <v>1614</v>
      </c>
      <c r="C34" s="1466"/>
    </row>
    <row r="35" spans="1:3">
      <c r="A35" s="8" t="s">
        <v>1614</v>
      </c>
      <c r="B35" s="8" t="s">
        <v>1614</v>
      </c>
      <c r="C35" s="1466"/>
    </row>
    <row r="36" spans="1:3">
      <c r="A36" s="8" t="s">
        <v>1614</v>
      </c>
      <c r="B36" s="8" t="s">
        <v>1614</v>
      </c>
      <c r="C36" s="1466"/>
    </row>
    <row r="37" spans="1:3">
      <c r="A37" s="8" t="s">
        <v>1614</v>
      </c>
      <c r="B37" s="8" t="s">
        <v>1614</v>
      </c>
      <c r="C37" s="1466"/>
    </row>
    <row r="38" spans="1:3">
      <c r="A38" s="8" t="s">
        <v>1614</v>
      </c>
      <c r="B38" s="8" t="s">
        <v>1614</v>
      </c>
      <c r="C38" s="1466"/>
    </row>
    <row r="39" spans="1:3">
      <c r="A39" s="8" t="s">
        <v>1614</v>
      </c>
      <c r="B39" s="8" t="s">
        <v>1614</v>
      </c>
      <c r="C39" s="1466"/>
    </row>
    <row r="40" spans="1:3">
      <c r="A40" s="8" t="s">
        <v>1614</v>
      </c>
      <c r="B40" s="8" t="s">
        <v>1614</v>
      </c>
      <c r="C40" s="1466"/>
    </row>
    <row r="41" spans="1:3">
      <c r="A41" s="8" t="s">
        <v>1614</v>
      </c>
      <c r="B41" s="8" t="s">
        <v>1614</v>
      </c>
      <c r="C41" s="1466"/>
    </row>
    <row r="42" spans="1:3">
      <c r="A42" s="8" t="s">
        <v>1614</v>
      </c>
      <c r="B42" s="8" t="s">
        <v>1614</v>
      </c>
      <c r="C42" s="1466"/>
    </row>
    <row r="43" spans="1:3">
      <c r="A43" s="8" t="s">
        <v>1614</v>
      </c>
      <c r="B43" s="8" t="s">
        <v>1614</v>
      </c>
      <c r="C43" s="1466"/>
    </row>
    <row r="44" spans="1:3">
      <c r="A44" s="8" t="s">
        <v>1614</v>
      </c>
      <c r="B44" s="8" t="s">
        <v>1614</v>
      </c>
      <c r="C44" s="1466"/>
    </row>
    <row r="45" spans="1:3">
      <c r="A45" s="8" t="s">
        <v>1614</v>
      </c>
      <c r="B45" s="8" t="s">
        <v>1614</v>
      </c>
      <c r="C45" s="1466"/>
    </row>
    <row r="46" spans="1:3">
      <c r="A46" s="8" t="s">
        <v>1614</v>
      </c>
      <c r="B46" s="8" t="s">
        <v>1614</v>
      </c>
      <c r="C46" s="1466"/>
    </row>
    <row r="47" spans="1:3">
      <c r="A47" s="8" t="s">
        <v>1614</v>
      </c>
      <c r="B47" s="8" t="s">
        <v>1614</v>
      </c>
      <c r="C47" s="1466"/>
    </row>
    <row r="48" spans="1:3">
      <c r="A48" s="8" t="s">
        <v>1614</v>
      </c>
      <c r="B48" s="8" t="s">
        <v>1614</v>
      </c>
      <c r="C48" s="1466"/>
    </row>
    <row r="49" spans="1:5">
      <c r="A49" s="8" t="s">
        <v>1614</v>
      </c>
      <c r="B49" s="8" t="s">
        <v>1614</v>
      </c>
      <c r="C49" s="1466"/>
    </row>
    <row r="50" spans="1:5">
      <c r="A50" s="8" t="s">
        <v>1614</v>
      </c>
      <c r="B50" s="8" t="s">
        <v>1614</v>
      </c>
      <c r="C50" s="1466"/>
    </row>
    <row r="51" spans="1:5">
      <c r="A51" s="1655" t="s">
        <v>1907</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57"/>
    </row>
    <row r="52" spans="1:5">
      <c r="A52" s="1655" t="s">
        <v>1951</v>
      </c>
      <c r="B52" s="1658" t="s">
        <v>1952</v>
      </c>
      <c r="C52" s="1656" t="s">
        <v>1953</v>
      </c>
      <c r="D52" s="1656" t="s">
        <v>1954</v>
      </c>
      <c r="E52" s="1657"/>
    </row>
    <row r="53" spans="1:5">
      <c r="A53" s="3578" t="s">
        <v>1955</v>
      </c>
      <c r="B53" s="1656" t="s">
        <v>1961</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3月3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57"/>
      <c r="E53" s="1657"/>
    </row>
    <row r="54" spans="1:5">
      <c r="A54" s="3578"/>
      <c r="B54" s="1656" t="s">
        <v>1962</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57"/>
      <c r="E54" s="1657"/>
    </row>
    <row r="55" spans="1:5">
      <c r="A55" s="3578"/>
      <c r="B55" s="1656" t="s">
        <v>1956</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57"/>
      <c r="E55" s="1657"/>
    </row>
    <row r="56" spans="1:5">
      <c r="A56" s="3578"/>
      <c r="B56" s="1656" t="s">
        <v>1957</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57"/>
      <c r="E56" s="1657"/>
    </row>
    <row r="57" spans="1:5">
      <c r="A57" s="3578"/>
      <c r="B57" s="1656" t="s">
        <v>1958</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2014</v>
      </c>
      <c r="B58" s="1656" t="s">
        <v>2015</v>
      </c>
      <c r="C58" s="11" t="s">
        <v>2016</v>
      </c>
      <c r="D58" s="1255"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分地块结果表</vt:lpstr>
      <vt:lpstr>结果表</vt:lpstr>
      <vt:lpstr>剩余法-待开发</vt:lpstr>
      <vt:lpstr>剩余法商业</vt:lpstr>
      <vt:lpstr>不动产收益法商业</vt:lpstr>
      <vt:lpstr>剩余法办公</vt:lpstr>
      <vt:lpstr>不动产收益法办公</vt:lpstr>
      <vt:lpstr>办公租金案例</vt:lpstr>
      <vt:lpstr>比较法-住宅、综合</vt:lpstr>
      <vt:lpstr>剩余法工业</vt:lpstr>
      <vt:lpstr>不动产收益法工业</vt:lpstr>
      <vt:lpstr>基准地价商业</vt:lpstr>
      <vt:lpstr>基准地价办公</vt:lpstr>
      <vt:lpstr>修正</vt:lpstr>
      <vt:lpstr>区片价</vt:lpstr>
      <vt:lpstr>容积率修正</vt:lpstr>
      <vt:lpstr>因素修正幅度</vt:lpstr>
      <vt:lpstr>基准地价工业</vt:lpstr>
      <vt:lpstr>地价</vt:lpstr>
      <vt:lpstr>基准地价（汇总）</vt:lpstr>
      <vt:lpstr>收益还原法</vt:lpstr>
      <vt:lpstr>不动产收益法-酒店模型</vt:lpstr>
      <vt:lpstr>酒店收入计算</vt:lpstr>
      <vt:lpstr>比较法-工业</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不动产收益法工业!Print_Area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基准地价工业!Print_Area</vt:lpstr>
      <vt:lpstr>基准地价商业!Print_Area</vt:lpstr>
      <vt:lpstr>结果表!Print_Area</vt:lpstr>
      <vt:lpstr>剩余法办公!Print_Area</vt:lpstr>
      <vt:lpstr>'剩余法-待开发'!Print_Area</vt:lpstr>
      <vt:lpstr>剩余法工业!Print_Area</vt:lpstr>
      <vt:lpstr>剩余法商业!Print_Area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基准地价工业!季度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2022-04-07T07:19:34Z</dcterms:modified>
</cp:coreProperties>
</file>