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38-永泽北路7号院\"/>
    </mc:Choice>
  </mc:AlternateContent>
  <bookViews>
    <workbookView xWindow="14025" yWindow="15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2"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M25" i="1" l="1"/>
  <c r="N6" i="1"/>
  <c r="C88" i="9"/>
  <c r="K86" i="9"/>
  <c r="M86" i="9"/>
  <c r="M85" i="9"/>
  <c r="L85" i="9"/>
  <c r="K85" i="9"/>
  <c r="M26" i="1"/>
  <c r="M17" i="1"/>
  <c r="L27" i="1"/>
  <c r="L26" i="1"/>
  <c r="L25" i="1"/>
  <c r="N27" i="1"/>
  <c r="J52" i="15"/>
  <c r="N21" i="1"/>
  <c r="C1" i="82"/>
  <c r="D14" i="9"/>
  <c r="C2" i="82"/>
  <c r="J49" i="15"/>
  <c r="D33" i="43"/>
  <c r="U18" i="1"/>
  <c r="G19" i="6"/>
  <c r="F19" i="6"/>
  <c r="I15" i="3"/>
  <c r="N26" i="1" l="1"/>
  <c r="L28" i="1"/>
  <c r="N25" i="1"/>
  <c r="N28" i="1" s="1"/>
  <c r="M28" i="1" s="1"/>
  <c r="H33" i="15" l="1"/>
  <c r="H34" i="15"/>
  <c r="I91" i="9"/>
  <c r="N19" i="1"/>
  <c r="N14" i="1" l="1"/>
  <c r="L14" i="1"/>
  <c r="B58" i="1" l="1"/>
  <c r="B59" i="1"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AD41" i="79"/>
  <c r="S42" i="79"/>
  <c r="U44" i="79"/>
  <c r="Z3"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B71" i="71" s="1"/>
  <c r="B70" i="71" s="1"/>
  <c r="Q71" i="71"/>
  <c r="P71" i="71"/>
  <c r="O71" i="71"/>
  <c r="N71" i="71"/>
  <c r="Q70" i="71"/>
  <c r="P70" i="71"/>
  <c r="O70" i="71"/>
  <c r="N70" i="71"/>
  <c r="Q69" i="71"/>
  <c r="P69" i="71"/>
  <c r="O69" i="71"/>
  <c r="N69" i="71"/>
  <c r="D69" i="71"/>
  <c r="F68" i="71"/>
  <c r="V68" i="71"/>
  <c r="E68" i="71"/>
  <c r="C68" i="71"/>
  <c r="B68" i="71"/>
  <c r="N68" i="71" s="1"/>
  <c r="F67" i="71"/>
  <c r="F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D53" i="71"/>
  <c r="Q52" i="71"/>
  <c r="P52" i="71"/>
  <c r="O52" i="71"/>
  <c r="N52" i="71"/>
  <c r="Q51" i="71"/>
  <c r="P51" i="71"/>
  <c r="E52" i="71" s="1"/>
  <c r="U52" i="71" s="1"/>
  <c r="O51" i="71"/>
  <c r="N51" i="71"/>
  <c r="Q50" i="71"/>
  <c r="P50" i="71"/>
  <c r="O50" i="71"/>
  <c r="N50" i="71"/>
  <c r="Q49" i="71"/>
  <c r="F50" i="7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c r="B43" i="71" s="1"/>
  <c r="B44" i="71" s="1"/>
  <c r="S44" i="71" s="1"/>
  <c r="D41" i="71"/>
  <c r="Q40" i="71"/>
  <c r="P40" i="71"/>
  <c r="O40" i="71"/>
  <c r="N40" i="71"/>
  <c r="Q39" i="71"/>
  <c r="AB39" i="71" s="1"/>
  <c r="P39" i="71"/>
  <c r="AA39" i="71"/>
  <c r="O39" i="71"/>
  <c r="N39" i="71"/>
  <c r="X39" i="71"/>
  <c r="Q38" i="71"/>
  <c r="P38" i="71"/>
  <c r="O38" i="71"/>
  <c r="Y38" i="71" s="1"/>
  <c r="Z38" i="71" s="1"/>
  <c r="N38" i="71"/>
  <c r="X38" i="71" s="1"/>
  <c r="F38" i="71"/>
  <c r="Q37" i="71"/>
  <c r="P37" i="71"/>
  <c r="O37" i="71"/>
  <c r="N37" i="71"/>
  <c r="D37" i="71"/>
  <c r="Q36" i="71"/>
  <c r="P36" i="71"/>
  <c r="O36" i="71"/>
  <c r="N36" i="71"/>
  <c r="X36" i="71" s="1"/>
  <c r="Q35" i="71"/>
  <c r="P35" i="71"/>
  <c r="AA35" i="71" s="1"/>
  <c r="O35" i="71"/>
  <c r="Y35" i="71"/>
  <c r="Z35" i="71" s="1"/>
  <c r="N35" i="71"/>
  <c r="Q34" i="71"/>
  <c r="AB34" i="71" s="1"/>
  <c r="P34" i="71"/>
  <c r="O34" i="71"/>
  <c r="Y30" i="71" s="1"/>
  <c r="Z30" i="71" s="1"/>
  <c r="N34" i="71"/>
  <c r="F36" i="71"/>
  <c r="V36" i="71" s="1"/>
  <c r="Q33" i="71"/>
  <c r="F34" i="71" s="1"/>
  <c r="F35" i="71" s="1"/>
  <c r="P33" i="71"/>
  <c r="O33" i="71"/>
  <c r="N33" i="71"/>
  <c r="D33" i="71"/>
  <c r="Q32" i="71"/>
  <c r="P32" i="71"/>
  <c r="O32" i="71"/>
  <c r="N32" i="71"/>
  <c r="Q31" i="71"/>
  <c r="P31" i="71"/>
  <c r="O31" i="71"/>
  <c r="N31" i="71"/>
  <c r="Q30" i="71"/>
  <c r="P30" i="71"/>
  <c r="AA30" i="71" s="1"/>
  <c r="O30" i="71"/>
  <c r="N30" i="71"/>
  <c r="Q29" i="71"/>
  <c r="F30" i="71" s="1"/>
  <c r="P29" i="71"/>
  <c r="O29" i="71"/>
  <c r="N29" i="71"/>
  <c r="D29" i="71"/>
  <c r="O28" i="71"/>
  <c r="N28" i="71"/>
  <c r="B30" i="71"/>
  <c r="B31" i="71" s="1"/>
  <c r="E30" i="71"/>
  <c r="E31" i="71"/>
  <c r="E32" i="71" s="1"/>
  <c r="U32" i="71" s="1"/>
  <c r="B34" i="71"/>
  <c r="B35" i="71" s="1"/>
  <c r="B36" i="71"/>
  <c r="S36" i="71" s="1"/>
  <c r="E38" i="71"/>
  <c r="E39" i="71" s="1"/>
  <c r="E40" i="71" s="1"/>
  <c r="U40" i="71" s="1"/>
  <c r="AA37" i="71"/>
  <c r="E34" i="71"/>
  <c r="E35" i="71" s="1"/>
  <c r="E36" i="71" s="1"/>
  <c r="U36" i="71" s="1"/>
  <c r="C34" i="71"/>
  <c r="C38" i="71"/>
  <c r="D38" i="71" s="1"/>
  <c r="Y37" i="71"/>
  <c r="Z37" i="71" s="1"/>
  <c r="AA38" i="71"/>
  <c r="C28" i="71"/>
  <c r="T28" i="71" s="1"/>
  <c r="Y28" i="71"/>
  <c r="Z28" i="71" s="1"/>
  <c r="B28" i="71"/>
  <c r="B27" i="71" s="1"/>
  <c r="B26" i="71" s="1"/>
  <c r="C39" i="71"/>
  <c r="P28" i="71"/>
  <c r="E28" i="71" s="1"/>
  <c r="E55" i="71"/>
  <c r="E56" i="71" s="1"/>
  <c r="U56" i="71" s="1"/>
  <c r="E67" i="71"/>
  <c r="E66" i="71" s="1"/>
  <c r="Q28" i="71"/>
  <c r="C55" i="71"/>
  <c r="C56" i="71" s="1"/>
  <c r="D54" i="71"/>
  <c r="C59" i="71"/>
  <c r="D59" i="71" s="1"/>
  <c r="Q67" i="71"/>
  <c r="T68" i="71"/>
  <c r="O68" i="71"/>
  <c r="D68" i="71"/>
  <c r="C67" i="71"/>
  <c r="D67" i="71" s="1"/>
  <c r="Q68" i="71"/>
  <c r="C71" i="71"/>
  <c r="E71" i="71"/>
  <c r="E70" i="71"/>
  <c r="D72" i="71"/>
  <c r="C75" i="71"/>
  <c r="C74" i="71" s="1"/>
  <c r="D74" i="71" s="1"/>
  <c r="D76" i="71"/>
  <c r="C79" i="71"/>
  <c r="D79" i="71" s="1"/>
  <c r="E79" i="71"/>
  <c r="E78" i="71"/>
  <c r="D80" i="71"/>
  <c r="C83" i="71"/>
  <c r="D83" i="71" s="1"/>
  <c r="S28" i="71"/>
  <c r="F28" i="71"/>
  <c r="F27" i="71"/>
  <c r="F26" i="71" s="1"/>
  <c r="AA27" i="71"/>
  <c r="D28" i="71"/>
  <c r="U28" i="71" s="1"/>
  <c r="C66" i="71"/>
  <c r="O65" i="71" s="1"/>
  <c r="O67" i="71"/>
  <c r="C82" i="71"/>
  <c r="D82" i="71" s="1"/>
  <c r="D75" i="7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Z21" i="37"/>
  <c r="Q21" i="37"/>
  <c r="D77" i="37"/>
  <c r="E77" i="37" s="1"/>
  <c r="F77" i="37" s="1"/>
  <c r="G77" i="37" s="1"/>
  <c r="C21" i="37"/>
  <c r="Q21" i="34"/>
  <c r="Z21" i="34" s="1"/>
  <c r="D84" i="34"/>
  <c r="E84" i="34" s="1"/>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B68" i="43"/>
  <c r="C29" i="39"/>
  <c r="S25" i="40"/>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U21" i="33" s="1"/>
  <c r="F21" i="33"/>
  <c r="S21" i="33" s="1"/>
  <c r="H1" i="69"/>
  <c r="U25" i="40"/>
  <c r="U29" i="39"/>
  <c r="S21" i="37"/>
  <c r="AB21" i="33"/>
  <c r="AA21" i="33"/>
  <c r="AC18" i="35"/>
  <c r="J21" i="37"/>
  <c r="W21" i="37" s="1"/>
  <c r="G84" i="34"/>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A105" i="3" s="1"/>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A97" i="3" s="1"/>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L259" i="3" s="1"/>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L237" i="3" s="1"/>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A214" i="3" s="1"/>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A419" i="3" s="1"/>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A407" i="3" s="1"/>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L399" i="3" s="1"/>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S37" i="31" s="1"/>
  <c r="R38" i="31"/>
  <c r="R39" i="31"/>
  <c r="R40" i="31"/>
  <c r="R41" i="31"/>
  <c r="R42" i="31"/>
  <c r="R43" i="31"/>
  <c r="R44" i="31"/>
  <c r="R45" i="31"/>
  <c r="S45" i="31" s="1"/>
  <c r="R46" i="31"/>
  <c r="R47" i="31"/>
  <c r="R48" i="31"/>
  <c r="R49" i="31"/>
  <c r="R50" i="31"/>
  <c r="R51" i="31"/>
  <c r="R52" i="31"/>
  <c r="R53" i="31"/>
  <c r="S53" i="31" s="1"/>
  <c r="R54" i="31"/>
  <c r="R55" i="31"/>
  <c r="R56" i="31"/>
  <c r="R57" i="31"/>
  <c r="R58" i="31"/>
  <c r="R59" i="31"/>
  <c r="R60" i="31"/>
  <c r="R61" i="31"/>
  <c r="S61" i="31" s="1"/>
  <c r="R62" i="31"/>
  <c r="R63" i="31"/>
  <c r="R64" i="31"/>
  <c r="R65" i="31"/>
  <c r="R66" i="31"/>
  <c r="R67" i="31"/>
  <c r="R68" i="31"/>
  <c r="R69" i="31"/>
  <c r="S69" i="31" s="1"/>
  <c r="R70" i="31"/>
  <c r="R71" i="31"/>
  <c r="R72" i="31"/>
  <c r="R73" i="31"/>
  <c r="R74" i="31"/>
  <c r="R75" i="3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R160" i="31"/>
  <c r="R161" i="31"/>
  <c r="R162" i="31"/>
  <c r="R163" i="31"/>
  <c r="R164" i="31"/>
  <c r="R165" i="31"/>
  <c r="S165" i="31" s="1"/>
  <c r="R166" i="31"/>
  <c r="R167" i="3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R431" i="31"/>
  <c r="R432" i="31"/>
  <c r="R433" i="31"/>
  <c r="R434" i="31"/>
  <c r="S434" i="31" s="1"/>
  <c r="R435" i="31"/>
  <c r="R436" i="31"/>
  <c r="R437" i="31"/>
  <c r="R438" i="31"/>
  <c r="R439" i="31"/>
  <c r="R440" i="31"/>
  <c r="R441" i="31"/>
  <c r="R442" i="31"/>
  <c r="S442" i="31" s="1"/>
  <c r="R443" i="31"/>
  <c r="R444" i="31"/>
  <c r="R445" i="31"/>
  <c r="R446" i="31"/>
  <c r="R447" i="31"/>
  <c r="R448" i="31"/>
  <c r="R449" i="31"/>
  <c r="R450" i="31"/>
  <c r="S450" i="31" s="1"/>
  <c r="R451" i="31"/>
  <c r="R452" i="31"/>
  <c r="R453" i="31"/>
  <c r="R454" i="31"/>
  <c r="R455" i="31"/>
  <c r="R456" i="31"/>
  <c r="R457" i="31"/>
  <c r="R458" i="31"/>
  <c r="S458" i="31" s="1"/>
  <c r="R459" i="31"/>
  <c r="R460" i="31"/>
  <c r="R461" i="31"/>
  <c r="R462" i="31"/>
  <c r="R463" i="31"/>
  <c r="R464" i="31"/>
  <c r="R465" i="31"/>
  <c r="R466" i="31"/>
  <c r="S466" i="31" s="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2" i="31"/>
  <c r="S400" i="31"/>
  <c r="S398" i="31"/>
  <c r="S396" i="31"/>
  <c r="S392" i="31"/>
  <c r="S390" i="31"/>
  <c r="S388" i="31"/>
  <c r="S386"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8" i="31"/>
  <c r="S427" i="31"/>
  <c r="S426"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7" i="31"/>
  <c r="S166" i="31"/>
  <c r="S164" i="31"/>
  <c r="S163" i="31"/>
  <c r="S162" i="31"/>
  <c r="S161" i="31"/>
  <c r="S160" i="31"/>
  <c r="S159"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129" i="31"/>
  <c r="S128" i="31"/>
  <c r="S127" i="31"/>
  <c r="S126"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3" i="31"/>
  <c r="S441" i="31"/>
  <c r="S440" i="31"/>
  <c r="S439" i="31"/>
  <c r="S438" i="31"/>
  <c r="S437" i="31"/>
  <c r="S436" i="31"/>
  <c r="S435" i="31"/>
  <c r="S433" i="31"/>
  <c r="S432" i="31"/>
  <c r="S431" i="31"/>
  <c r="S430" i="31"/>
  <c r="S122" i="31"/>
  <c r="S121" i="31"/>
  <c r="S120" i="31"/>
  <c r="S119" i="31"/>
  <c r="S118" i="31"/>
  <c r="S117" i="31"/>
  <c r="S116" i="31"/>
  <c r="S115" i="31"/>
  <c r="S114" i="31"/>
  <c r="S113" i="31"/>
  <c r="S112" i="31"/>
  <c r="S504" i="31"/>
  <c r="S502" i="31"/>
  <c r="S500" i="31"/>
  <c r="S498" i="31"/>
  <c r="S467" i="31"/>
  <c r="S465" i="31"/>
  <c r="S464" i="31"/>
  <c r="S463" i="31"/>
  <c r="S462" i="31"/>
  <c r="S461" i="31"/>
  <c r="S460" i="31"/>
  <c r="S459" i="31"/>
  <c r="S457" i="31"/>
  <c r="S456" i="31"/>
  <c r="S455" i="31"/>
  <c r="S454" i="31"/>
  <c r="S453" i="31"/>
  <c r="S452" i="31"/>
  <c r="S451" i="31"/>
  <c r="S54" i="31"/>
  <c r="S52" i="31"/>
  <c r="S51" i="31"/>
  <c r="S50" i="31"/>
  <c r="S49" i="31"/>
  <c r="S48" i="31"/>
  <c r="S47" i="31"/>
  <c r="S46" i="31"/>
  <c r="S44" i="31"/>
  <c r="S43" i="31"/>
  <c r="S42" i="31"/>
  <c r="S41" i="31"/>
  <c r="S40" i="31"/>
  <c r="S39" i="31"/>
  <c r="S38" i="31"/>
  <c r="S36" i="31"/>
  <c r="S35" i="31"/>
  <c r="S34" i="31"/>
  <c r="S33" i="31"/>
  <c r="S32" i="31"/>
  <c r="S76" i="31"/>
  <c r="S75" i="31"/>
  <c r="S74" i="31"/>
  <c r="S73" i="31"/>
  <c r="S72" i="31"/>
  <c r="S71" i="31"/>
  <c r="S70" i="31"/>
  <c r="S68" i="31"/>
  <c r="S67" i="31"/>
  <c r="S66" i="31"/>
  <c r="S65" i="31"/>
  <c r="S64" i="31"/>
  <c r="S63" i="31"/>
  <c r="S62"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2" i="31"/>
  <c r="S103" i="31"/>
  <c r="S104" i="31"/>
  <c r="S105" i="31"/>
  <c r="S106" i="31"/>
  <c r="S107" i="31"/>
  <c r="S108" i="31"/>
  <c r="S110" i="31"/>
  <c r="S111" i="31"/>
  <c r="S445" i="31"/>
  <c r="S446" i="31"/>
  <c r="S447" i="31"/>
  <c r="S448" i="31"/>
  <c r="S449" i="31"/>
  <c r="S507" i="31"/>
  <c r="S508" i="31"/>
  <c r="S509" i="31"/>
  <c r="S510"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L496" i="3" s="1"/>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AZ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A529" i="3" s="1"/>
  <c r="AZ529" i="3" s="1"/>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S542" i="3"/>
  <c r="BT542" i="3"/>
  <c r="H543" i="3"/>
  <c r="AC543" i="3"/>
  <c r="BB543" i="3"/>
  <c r="BC543" i="3"/>
  <c r="BD543" i="3"/>
  <c r="BE543" i="3"/>
  <c r="BA543" i="3" s="1"/>
  <c r="AZ543" i="3" s="1"/>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BL555" i="3" s="1"/>
  <c r="H556" i="3"/>
  <c r="G556" i="3" s="1"/>
  <c r="AC556" i="3"/>
  <c r="BB556" i="3"/>
  <c r="BC556" i="3"/>
  <c r="BD556" i="3"/>
  <c r="BE556" i="3"/>
  <c r="BF556" i="3"/>
  <c r="BG556" i="3"/>
  <c r="BH556" i="3"/>
  <c r="BA556" i="3" s="1"/>
  <c r="AZ556" i="3" s="1"/>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A563" i="3" s="1"/>
  <c r="AZ563" i="3" s="1"/>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AZ575" i="3" s="1"/>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A579" i="3" s="1"/>
  <c r="AZ579" i="3" s="1"/>
  <c r="BG579" i="3"/>
  <c r="BH579" i="3"/>
  <c r="BI579" i="3"/>
  <c r="BJ579" i="3"/>
  <c r="BK579" i="3"/>
  <c r="BM579" i="3"/>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A581" i="3" s="1"/>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H36" i="39" s="1"/>
  <c r="J30" i="36"/>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AC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H38" i="37" s="1"/>
  <c r="AB38" i="37" s="1"/>
  <c r="C23" i="37"/>
  <c r="C19" i="37"/>
  <c r="C17" i="37"/>
  <c r="C15" i="37"/>
  <c r="B112" i="37"/>
  <c r="D107" i="37"/>
  <c r="E107" i="37"/>
  <c r="F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s="1"/>
  <c r="D73" i="37"/>
  <c r="E73" i="37" s="1"/>
  <c r="F73" i="37" s="1"/>
  <c r="D71" i="37"/>
  <c r="H15" i="37"/>
  <c r="AB15" i="37" s="1"/>
  <c r="B68" i="37"/>
  <c r="H14" i="37"/>
  <c r="AB14" i="37" s="1"/>
  <c r="B66" i="37"/>
  <c r="F13" i="37" s="1"/>
  <c r="AA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c r="H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B77" i="35"/>
  <c r="H25" i="35" s="1"/>
  <c r="AB25" i="35" s="1"/>
  <c r="B75" i="35"/>
  <c r="J24" i="35" s="1"/>
  <c r="AC24" i="35" s="1"/>
  <c r="B73" i="35"/>
  <c r="J23" i="35" s="1"/>
  <c r="AC23" i="35" s="1"/>
  <c r="H23" i="35"/>
  <c r="U23" i="35" s="1"/>
  <c r="B57" i="35"/>
  <c r="B61" i="35"/>
  <c r="B59" i="35"/>
  <c r="F12" i="35" s="1"/>
  <c r="B131" i="34"/>
  <c r="H47" i="34" s="1"/>
  <c r="U47" i="34" s="1"/>
  <c r="B129" i="34"/>
  <c r="B127" i="34"/>
  <c r="B99" i="34"/>
  <c r="B97" i="34"/>
  <c r="B95" i="34"/>
  <c r="B93" i="34"/>
  <c r="B75" i="34"/>
  <c r="B73" i="34"/>
  <c r="J13" i="34" s="1"/>
  <c r="W13" i="34" s="1"/>
  <c r="B71" i="34"/>
  <c r="B130" i="33"/>
  <c r="B128" i="33"/>
  <c r="B126" i="33"/>
  <c r="B98" i="33"/>
  <c r="B96" i="33"/>
  <c r="B94" i="33"/>
  <c r="B74" i="33"/>
  <c r="F14" i="33" s="1"/>
  <c r="S14" i="33" s="1"/>
  <c r="B72" i="33"/>
  <c r="B70" i="33"/>
  <c r="J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s="1"/>
  <c r="F38" i="33"/>
  <c r="S38" i="33" s="1"/>
  <c r="AA38" i="33"/>
  <c r="Q37" i="33"/>
  <c r="Z37" i="33" s="1"/>
  <c r="Q36" i="33"/>
  <c r="Z36" i="33" s="1"/>
  <c r="Q35" i="33"/>
  <c r="Z35" i="33" s="1"/>
  <c r="H35" i="33"/>
  <c r="U35" i="33" s="1"/>
  <c r="AB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B98" i="2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U34" i="21" s="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S41" i="21"/>
  <c r="AA41" i="21"/>
  <c r="F45" i="39"/>
  <c r="S45" i="39"/>
  <c r="J45" i="39"/>
  <c r="W45" i="39" s="1"/>
  <c r="J44" i="39"/>
  <c r="AC44" i="39"/>
  <c r="F36" i="39"/>
  <c r="S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W28" i="36"/>
  <c r="J33" i="36"/>
  <c r="AC33" i="36" s="1"/>
  <c r="H22" i="35"/>
  <c r="AB22" i="35" s="1"/>
  <c r="AC27" i="35"/>
  <c r="W28" i="35"/>
  <c r="U31" i="35"/>
  <c r="W22" i="35"/>
  <c r="S31" i="35"/>
  <c r="U34" i="35"/>
  <c r="F36" i="34"/>
  <c r="J35" i="34"/>
  <c r="U34" i="34"/>
  <c r="H39" i="33"/>
  <c r="AB39" i="33" s="1"/>
  <c r="U33" i="33"/>
  <c r="S40" i="33"/>
  <c r="W33" i="33"/>
  <c r="W39" i="33"/>
  <c r="F11" i="40"/>
  <c r="AA11" i="40" s="1"/>
  <c r="H11" i="40"/>
  <c r="AB11" i="40"/>
  <c r="W8" i="40"/>
  <c r="S34" i="40"/>
  <c r="W31"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c r="F27" i="39"/>
  <c r="F11" i="21"/>
  <c r="S11" i="21" s="1"/>
  <c r="S40" i="21"/>
  <c r="H11" i="39"/>
  <c r="S40" i="39"/>
  <c r="H32" i="33"/>
  <c r="AB32" i="33"/>
  <c r="H11" i="21"/>
  <c r="U11" i="21" s="1"/>
  <c r="J11" i="21"/>
  <c r="W11" i="21" s="1"/>
  <c r="H37" i="40"/>
  <c r="U37" i="40"/>
  <c r="H36" i="40"/>
  <c r="AB36" i="40" s="1"/>
  <c r="F35" i="40"/>
  <c r="AA35" i="40" s="1"/>
  <c r="H23" i="40"/>
  <c r="AB23" i="40" s="1"/>
  <c r="H17" i="40"/>
  <c r="U17" i="40" s="1"/>
  <c r="J15" i="40"/>
  <c r="W15" i="40" s="1"/>
  <c r="J11" i="40"/>
  <c r="AB8" i="39"/>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c r="J29" i="35"/>
  <c r="H33" i="35"/>
  <c r="J20" i="35"/>
  <c r="AC20" i="35" s="1"/>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AB17" i="34" s="1"/>
  <c r="U17" i="34"/>
  <c r="F15" i="34"/>
  <c r="AA15" i="34" s="1"/>
  <c r="J15" i="34"/>
  <c r="H15" i="34"/>
  <c r="AB15" i="34" s="1"/>
  <c r="W8" i="34"/>
  <c r="J28" i="34"/>
  <c r="W28" i="34"/>
  <c r="F41" i="33"/>
  <c r="S41" i="33" s="1"/>
  <c r="AA41" i="33"/>
  <c r="E113" i="33"/>
  <c r="F32" i="33"/>
  <c r="AA32" i="33"/>
  <c r="J19" i="33"/>
  <c r="AC19" i="33"/>
  <c r="J15" i="33"/>
  <c r="AC15" i="33"/>
  <c r="F11" i="33"/>
  <c r="AA11" i="33" s="1"/>
  <c r="U40" i="33"/>
  <c r="W40" i="33"/>
  <c r="F37" i="40"/>
  <c r="AA37" i="40"/>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F113" i="33"/>
  <c r="G113" i="33"/>
  <c r="H113" i="33" s="1"/>
  <c r="I113" i="33" s="1"/>
  <c r="J113" i="33" s="1"/>
  <c r="K113" i="33" s="1"/>
  <c r="L113" i="33" s="1"/>
  <c r="M113" i="33" s="1"/>
  <c r="H37" i="33"/>
  <c r="AB37" i="33"/>
  <c r="H15" i="33"/>
  <c r="AB15" i="33" s="1"/>
  <c r="H11" i="33"/>
  <c r="AB11" i="33" s="1"/>
  <c r="F28" i="40"/>
  <c r="AA28" i="40"/>
  <c r="AA29" i="35"/>
  <c r="S42" i="34"/>
  <c r="AA38" i="34"/>
  <c r="J37" i="34"/>
  <c r="AC37" i="34" s="1"/>
  <c r="J11" i="33"/>
  <c r="W11" i="33" s="1"/>
  <c r="S28" i="34"/>
  <c r="J42" i="21"/>
  <c r="AC42" i="21" s="1"/>
  <c r="H42" i="21"/>
  <c r="U42" i="21" s="1"/>
  <c r="J44" i="34"/>
  <c r="F44" i="34"/>
  <c r="S44" i="34" s="1"/>
  <c r="J10" i="35"/>
  <c r="AC10" i="35" s="1"/>
  <c r="J14" i="21"/>
  <c r="W14" i="21"/>
  <c r="F14" i="21"/>
  <c r="S14" i="21" s="1"/>
  <c r="H14" i="21"/>
  <c r="U14" i="21" s="1"/>
  <c r="H28" i="21"/>
  <c r="F28" i="21"/>
  <c r="AA28" i="21" s="1"/>
  <c r="J28" i="21"/>
  <c r="W28" i="21" s="1"/>
  <c r="H30" i="21"/>
  <c r="U30" i="21"/>
  <c r="F30" i="21"/>
  <c r="S30" i="21" s="1"/>
  <c r="J30" i="21"/>
  <c r="AC30" i="21"/>
  <c r="J44" i="21"/>
  <c r="AC44" i="21" s="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45" i="21"/>
  <c r="AA45" i="21" s="1"/>
  <c r="F27" i="33"/>
  <c r="AA27" i="33"/>
  <c r="J29" i="33"/>
  <c r="H29" i="33"/>
  <c r="U29" i="33" s="1"/>
  <c r="F29" i="33"/>
  <c r="S29" i="33" s="1"/>
  <c r="J31" i="33"/>
  <c r="AC31" i="33" s="1"/>
  <c r="W31" i="33"/>
  <c r="H31" i="33"/>
  <c r="F31" i="33"/>
  <c r="H45" i="33"/>
  <c r="U45" i="33"/>
  <c r="J45" i="33"/>
  <c r="W45" i="33" s="1"/>
  <c r="F45" i="33"/>
  <c r="S45" i="33" s="1"/>
  <c r="AA45" i="33"/>
  <c r="J14" i="34"/>
  <c r="F14" i="34"/>
  <c r="S14" i="34" s="1"/>
  <c r="H14" i="34"/>
  <c r="H30" i="34"/>
  <c r="F30" i="34"/>
  <c r="S30" i="34"/>
  <c r="J30" i="34"/>
  <c r="H32" i="34"/>
  <c r="U32" i="34" s="1"/>
  <c r="F32" i="34"/>
  <c r="J32" i="34"/>
  <c r="W32" i="34" s="1"/>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AC12" i="40"/>
  <c r="W12" i="40"/>
  <c r="H14" i="33"/>
  <c r="U14" i="33" s="1"/>
  <c r="J14" i="33"/>
  <c r="W14" i="33" s="1"/>
  <c r="H30" i="33"/>
  <c r="AB30" i="33"/>
  <c r="F30" i="33"/>
  <c r="J30" i="33"/>
  <c r="H44" i="33"/>
  <c r="J44" i="33"/>
  <c r="F44" i="33"/>
  <c r="J46" i="33"/>
  <c r="AC46" i="33" s="1"/>
  <c r="H13" i="34"/>
  <c r="U13" i="34" s="1"/>
  <c r="J29" i="34"/>
  <c r="F29" i="34"/>
  <c r="S29" i="34" s="1"/>
  <c r="H29" i="34"/>
  <c r="J31" i="34"/>
  <c r="H31" i="34"/>
  <c r="F31" i="34"/>
  <c r="S31" i="34" s="1"/>
  <c r="F45" i="34"/>
  <c r="S45" i="34" s="1"/>
  <c r="F47" i="34"/>
  <c r="S47" i="34" s="1"/>
  <c r="J47" i="34"/>
  <c r="AC47" i="34" s="1"/>
  <c r="F13" i="35"/>
  <c r="J13" i="35"/>
  <c r="H13" i="35"/>
  <c r="U13" i="35" s="1"/>
  <c r="J25" i="35"/>
  <c r="W25" i="35" s="1"/>
  <c r="F25" i="35"/>
  <c r="J35" i="35"/>
  <c r="AC35" i="35" s="1"/>
  <c r="F35" i="35"/>
  <c r="AA35" i="35" s="1"/>
  <c r="H35" i="35"/>
  <c r="J25" i="36"/>
  <c r="W25" i="36"/>
  <c r="F25" i="36"/>
  <c r="S25" i="36" s="1"/>
  <c r="H25" i="36"/>
  <c r="AB25" i="36"/>
  <c r="H13" i="37"/>
  <c r="F28" i="37"/>
  <c r="AA28" i="37" s="1"/>
  <c r="J28" i="37"/>
  <c r="AC28" i="37" s="1"/>
  <c r="H28" i="37"/>
  <c r="J38" i="37"/>
  <c r="AC38" i="37" s="1"/>
  <c r="F38" i="37"/>
  <c r="S38" i="37"/>
  <c r="J14" i="39"/>
  <c r="AC14" i="39" s="1"/>
  <c r="F14" i="39"/>
  <c r="H14" i="39"/>
  <c r="AB14" i="39"/>
  <c r="F12" i="40"/>
  <c r="S12" i="40"/>
  <c r="H12" i="40"/>
  <c r="AB12" i="40" s="1"/>
  <c r="H30" i="40"/>
  <c r="U30" i="40" s="1"/>
  <c r="F33" i="40"/>
  <c r="AA33" i="40"/>
  <c r="H33" i="40"/>
  <c r="J35" i="40"/>
  <c r="AC35" i="40" s="1"/>
  <c r="J37" i="40"/>
  <c r="W37" i="40" s="1"/>
  <c r="H13" i="40"/>
  <c r="U13" i="40"/>
  <c r="J13" i="40"/>
  <c r="W13" i="40"/>
  <c r="F13" i="40"/>
  <c r="AA13" i="40" s="1"/>
  <c r="F14" i="37"/>
  <c r="AA14" i="37" s="1"/>
  <c r="S14" i="37"/>
  <c r="F27" i="37"/>
  <c r="AA27" i="37"/>
  <c r="F13" i="39"/>
  <c r="J13" i="39"/>
  <c r="W13" i="39" s="1"/>
  <c r="H13" i="39"/>
  <c r="J14" i="40"/>
  <c r="W14" i="40" s="1"/>
  <c r="J14" i="37"/>
  <c r="J27" i="37"/>
  <c r="AC27" i="37" s="1"/>
  <c r="AA14" i="33"/>
  <c r="J36" i="37"/>
  <c r="AC36" i="37"/>
  <c r="J10" i="36"/>
  <c r="AC10" i="36" s="1"/>
  <c r="AB26" i="33"/>
  <c r="AB30" i="21"/>
  <c r="S11" i="36"/>
  <c r="AA14" i="34"/>
  <c r="AB45" i="33"/>
  <c r="AC28" i="21"/>
  <c r="F17" i="21"/>
  <c r="AA17" i="21" s="1"/>
  <c r="H17" i="21"/>
  <c r="AB17" i="21" s="1"/>
  <c r="F15" i="21"/>
  <c r="S15" i="21" s="1"/>
  <c r="J41" i="39"/>
  <c r="W41" i="39" s="1"/>
  <c r="W44" i="39"/>
  <c r="S35" i="39"/>
  <c r="G536" i="3"/>
  <c r="G532" i="3"/>
  <c r="G531" i="3"/>
  <c r="G527" i="3"/>
  <c r="G523" i="3"/>
  <c r="G518" i="3"/>
  <c r="G514" i="3"/>
  <c r="G508" i="3"/>
  <c r="G504" i="3"/>
  <c r="G496" i="3"/>
  <c r="G584" i="3"/>
  <c r="G572" i="3"/>
  <c r="G568" i="3"/>
  <c r="G564" i="3"/>
  <c r="G554" i="3"/>
  <c r="G550" i="3"/>
  <c r="BL580" i="3"/>
  <c r="BL572" i="3"/>
  <c r="BL560" i="3"/>
  <c r="BL506" i="3"/>
  <c r="BL502" i="3"/>
  <c r="AZ502" i="3" s="1"/>
  <c r="BL566" i="3"/>
  <c r="G529" i="3"/>
  <c r="BL528" i="3"/>
  <c r="G525" i="3"/>
  <c r="BL518" i="3"/>
  <c r="BA576" i="3"/>
  <c r="BA574" i="3"/>
  <c r="BA560" i="3"/>
  <c r="AZ560" i="3" s="1"/>
  <c r="BA546" i="3"/>
  <c r="BA544" i="3"/>
  <c r="BA528" i="3"/>
  <c r="BA520" i="3"/>
  <c r="AZ520" i="3" s="1"/>
  <c r="BA514" i="3"/>
  <c r="BA502" i="3"/>
  <c r="BA500" i="3"/>
  <c r="BA569" i="3"/>
  <c r="BA565" i="3"/>
  <c r="AZ565" i="3" s="1"/>
  <c r="BA559" i="3"/>
  <c r="BA537" i="3"/>
  <c r="BA535" i="3"/>
  <c r="BA523" i="3"/>
  <c r="BA501" i="3"/>
  <c r="BA499" i="3"/>
  <c r="BA495" i="3"/>
  <c r="G583" i="3"/>
  <c r="G581" i="3"/>
  <c r="G579" i="3"/>
  <c r="G577" i="3"/>
  <c r="G575" i="3"/>
  <c r="G573" i="3"/>
  <c r="G561" i="3"/>
  <c r="AC557" i="3"/>
  <c r="G557" i="3" s="1"/>
  <c r="BQ557" i="3"/>
  <c r="BQ583" i="3"/>
  <c r="BQ581" i="3"/>
  <c r="BQ579" i="3"/>
  <c r="BL579" i="3"/>
  <c r="BQ577" i="3"/>
  <c r="BQ575" i="3"/>
  <c r="BQ573" i="3"/>
  <c r="BQ571" i="3"/>
  <c r="BQ569" i="3"/>
  <c r="BL569" i="3" s="1"/>
  <c r="AZ569" i="3" s="1"/>
  <c r="BQ567" i="3"/>
  <c r="BL567" i="3" s="1"/>
  <c r="BQ565" i="3"/>
  <c r="BL565" i="3" s="1"/>
  <c r="BQ563" i="3"/>
  <c r="BQ561" i="3"/>
  <c r="BQ559" i="3"/>
  <c r="BL559" i="3" s="1"/>
  <c r="AZ559" i="3"/>
  <c r="G559" i="3"/>
  <c r="G555" i="3"/>
  <c r="G547" i="3"/>
  <c r="G545" i="3"/>
  <c r="G543" i="3"/>
  <c r="G541" i="3"/>
  <c r="G539" i="3"/>
  <c r="G537" i="3"/>
  <c r="BQ555" i="3"/>
  <c r="BQ553" i="3"/>
  <c r="BL553" i="3" s="1"/>
  <c r="BQ551" i="3"/>
  <c r="BL551" i="3" s="1"/>
  <c r="BQ549" i="3"/>
  <c r="BQ547" i="3"/>
  <c r="BQ545" i="3"/>
  <c r="BQ543" i="3"/>
  <c r="BL543" i="3" s="1"/>
  <c r="BQ541" i="3"/>
  <c r="BL541" i="3"/>
  <c r="BQ539" i="3"/>
  <c r="BL539" i="3" s="1"/>
  <c r="BQ537" i="3"/>
  <c r="BQ535" i="3"/>
  <c r="BQ533" i="3"/>
  <c r="BL533" i="3"/>
  <c r="BQ531" i="3"/>
  <c r="BQ529" i="3"/>
  <c r="BL529" i="3"/>
  <c r="BQ527" i="3"/>
  <c r="BQ525" i="3"/>
  <c r="BQ523" i="3"/>
  <c r="AC521" i="3"/>
  <c r="G521" i="3"/>
  <c r="BQ521" i="3"/>
  <c r="BL520" i="3"/>
  <c r="G517" i="3"/>
  <c r="G515" i="3"/>
  <c r="G513" i="3"/>
  <c r="G511" i="3"/>
  <c r="BQ519" i="3"/>
  <c r="BQ517" i="3"/>
  <c r="BL517" i="3"/>
  <c r="BQ515" i="3"/>
  <c r="BQ513" i="3"/>
  <c r="BQ511" i="3"/>
  <c r="BA509" i="3"/>
  <c r="AZ509" i="3" s="1"/>
  <c r="AC509" i="3"/>
  <c r="BQ509" i="3"/>
  <c r="BL509" i="3"/>
  <c r="G503" i="3"/>
  <c r="G501" i="3"/>
  <c r="G499" i="3"/>
  <c r="G497" i="3"/>
  <c r="G495" i="3"/>
  <c r="BQ507" i="3"/>
  <c r="BQ505" i="3"/>
  <c r="BQ503" i="3"/>
  <c r="BQ501" i="3"/>
  <c r="BQ499" i="3"/>
  <c r="BQ497" i="3"/>
  <c r="BL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AB27" i="37"/>
  <c r="U32" i="33"/>
  <c r="AA36" i="39"/>
  <c r="F39" i="33"/>
  <c r="AA39"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3" i="37"/>
  <c r="AB23" i="37"/>
  <c r="J32" i="37"/>
  <c r="F36" i="37"/>
  <c r="AA36" i="37" s="1"/>
  <c r="F37" i="37"/>
  <c r="S37" i="37" s="1"/>
  <c r="F31" i="40"/>
  <c r="AA31" i="40"/>
  <c r="H31" i="40"/>
  <c r="U31" i="40" s="1"/>
  <c r="F32" i="40"/>
  <c r="AA32" i="40" s="1"/>
  <c r="S32" i="40"/>
  <c r="H32" i="40"/>
  <c r="U32" i="40" s="1"/>
  <c r="AB32" i="40"/>
  <c r="J36" i="40"/>
  <c r="W36" i="40"/>
  <c r="H19" i="37"/>
  <c r="H42" i="33"/>
  <c r="AB42" i="33" s="1"/>
  <c r="J43" i="33"/>
  <c r="W43" i="33" s="1"/>
  <c r="AC43" i="33"/>
  <c r="S28" i="31"/>
  <c r="S27" i="31"/>
  <c r="S26" i="31"/>
  <c r="W23" i="35"/>
  <c r="U26" i="37"/>
  <c r="W47" i="34"/>
  <c r="AC36" i="34"/>
  <c r="AC45" i="33"/>
  <c r="U11" i="33"/>
  <c r="U19"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J42" i="39"/>
  <c r="AC42" i="39" s="1"/>
  <c r="H21" i="40"/>
  <c r="AB21" i="40" s="1"/>
  <c r="AC12" i="37"/>
  <c r="H31" i="37"/>
  <c r="AB31" i="37" s="1"/>
  <c r="J15" i="37"/>
  <c r="W15" i="37" s="1"/>
  <c r="AT6" i="3"/>
  <c r="AA25" i="21"/>
  <c r="H19" i="40"/>
  <c r="U19" i="40" s="1"/>
  <c r="F88" i="40"/>
  <c r="G88" i="40" s="1"/>
  <c r="F19" i="40"/>
  <c r="S19" i="40" s="1"/>
  <c r="AC13" i="40"/>
  <c r="W23" i="39"/>
  <c r="U45" i="39"/>
  <c r="AB45" i="39"/>
  <c r="H37" i="39"/>
  <c r="AB37" i="39"/>
  <c r="AC37" i="39"/>
  <c r="W37" i="39"/>
  <c r="H25" i="39"/>
  <c r="U25" i="39" s="1"/>
  <c r="AB25" i="39"/>
  <c r="J25" i="39"/>
  <c r="AC25" i="39" s="1"/>
  <c r="F25" i="39"/>
  <c r="AA25" i="39" s="1"/>
  <c r="F15" i="39"/>
  <c r="AA15" i="39" s="1"/>
  <c r="H15" i="39"/>
  <c r="U15" i="39" s="1"/>
  <c r="J15" i="39"/>
  <c r="W15" i="39" s="1"/>
  <c r="H41" i="39"/>
  <c r="W27" i="39"/>
  <c r="AB34" i="39"/>
  <c r="U40" i="39"/>
  <c r="S42" i="39"/>
  <c r="AA41" i="39"/>
  <c r="W9" i="39"/>
  <c r="W8" i="39"/>
  <c r="J19" i="40"/>
  <c r="AC19" i="40" s="1"/>
  <c r="J50" i="40"/>
  <c r="H103" i="9"/>
  <c r="B16" i="53"/>
  <c r="B33" i="72" s="1"/>
  <c r="W35" i="40"/>
  <c r="A118" i="9"/>
  <c r="A4" i="52"/>
  <c r="B41" i="72" s="1"/>
  <c r="J11" i="39"/>
  <c r="W11" i="39"/>
  <c r="F11" i="39"/>
  <c r="S11" i="39" s="1"/>
  <c r="AA11" i="39"/>
  <c r="G4" i="4"/>
  <c r="I4" i="4"/>
  <c r="A2" i="9"/>
  <c r="F61" i="43"/>
  <c r="H64" i="43" s="1"/>
  <c r="BL549" i="3"/>
  <c r="G546"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BL116" i="3"/>
  <c r="G117" i="3"/>
  <c r="BA119" i="3"/>
  <c r="BL120" i="3"/>
  <c r="AZ120" i="3" s="1"/>
  <c r="G121" i="3"/>
  <c r="BA123" i="3"/>
  <c r="BL124" i="3"/>
  <c r="G125" i="3"/>
  <c r="BL128" i="3"/>
  <c r="G129" i="3"/>
  <c r="BA131" i="3"/>
  <c r="BL132" i="3"/>
  <c r="AZ132" i="3"/>
  <c r="G133" i="3"/>
  <c r="BA135" i="3"/>
  <c r="AZ135" i="3" s="1"/>
  <c r="BL136" i="3"/>
  <c r="G137" i="3"/>
  <c r="BA139" i="3"/>
  <c r="BL140" i="3"/>
  <c r="G141" i="3"/>
  <c r="BA143" i="3"/>
  <c r="G145" i="3"/>
  <c r="BL148" i="3"/>
  <c r="AZ148" i="3"/>
  <c r="G149" i="3"/>
  <c r="BA151" i="3"/>
  <c r="BL152" i="3"/>
  <c r="G153" i="3"/>
  <c r="BA155" i="3"/>
  <c r="BL156" i="3"/>
  <c r="AZ156" i="3" s="1"/>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AZ191" i="3"/>
  <c r="BL192" i="3"/>
  <c r="G193" i="3"/>
  <c r="BA195" i="3"/>
  <c r="BL196" i="3"/>
  <c r="G197" i="3"/>
  <c r="BA199" i="3"/>
  <c r="BL200" i="3"/>
  <c r="G201" i="3"/>
  <c r="BA203" i="3"/>
  <c r="BL204" i="3"/>
  <c r="AZ152" i="3"/>
  <c r="AZ128" i="3"/>
  <c r="G534" i="3"/>
  <c r="G530" i="3"/>
  <c r="G522" i="3"/>
  <c r="G516" i="3"/>
  <c r="G506" i="3"/>
  <c r="G494" i="3"/>
  <c r="G16" i="3"/>
  <c r="G15" i="3"/>
  <c r="BA304" i="3"/>
  <c r="BA305" i="3"/>
  <c r="BL305" i="3"/>
  <c r="G306" i="3"/>
  <c r="G309" i="3"/>
  <c r="BL310" i="3"/>
  <c r="AZ310" i="3" s="1"/>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8" i="3"/>
  <c r="BA16" i="3"/>
  <c r="BL303" i="3"/>
  <c r="G304" i="3"/>
  <c r="BA306" i="3"/>
  <c r="BL307" i="3"/>
  <c r="G308" i="3"/>
  <c r="BA310" i="3"/>
  <c r="BL311" i="3"/>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AZ366" i="3" s="1"/>
  <c r="G367" i="3"/>
  <c r="BA369" i="3"/>
  <c r="AZ369" i="3"/>
  <c r="BL370" i="3"/>
  <c r="G371" i="3"/>
  <c r="BA373" i="3"/>
  <c r="AZ373" i="3" s="1"/>
  <c r="BL374" i="3"/>
  <c r="G375" i="3"/>
  <c r="BA377" i="3"/>
  <c r="BA379" i="3"/>
  <c r="BL380" i="3"/>
  <c r="G381" i="3"/>
  <c r="BA383" i="3"/>
  <c r="AZ383" i="3" s="1"/>
  <c r="BL384" i="3"/>
  <c r="G385" i="3"/>
  <c r="BA387" i="3"/>
  <c r="BL388" i="3"/>
  <c r="G389" i="3"/>
  <c r="BA391" i="3"/>
  <c r="AZ391" i="3" s="1"/>
  <c r="BL392" i="3"/>
  <c r="AZ392" i="3" s="1"/>
  <c r="G393" i="3"/>
  <c r="BH5" i="3"/>
  <c r="AZ325" i="3"/>
  <c r="G548" i="3"/>
  <c r="G538" i="3"/>
  <c r="G520" i="3"/>
  <c r="G502" i="3"/>
  <c r="BA17" i="3"/>
  <c r="AZ356" i="3"/>
  <c r="AZ380" i="3"/>
  <c r="G509" i="3"/>
  <c r="U36" i="40"/>
  <c r="F83" i="43"/>
  <c r="H85" i="43" s="1"/>
  <c r="G85" i="43" s="1"/>
  <c r="K85" i="43" s="1"/>
  <c r="D85" i="43" s="1"/>
  <c r="F50" i="43"/>
  <c r="H54" i="43" s="1"/>
  <c r="F72" i="43"/>
  <c r="H75" i="43" s="1"/>
  <c r="U17" i="39"/>
  <c r="S14" i="35"/>
  <c r="U43" i="21"/>
  <c r="U35" i="21"/>
  <c r="AC35" i="21"/>
  <c r="G10" i="1"/>
  <c r="AC11" i="39"/>
  <c r="W37" i="37"/>
  <c r="W44" i="34"/>
  <c r="AC44" i="34"/>
  <c r="S15" i="37"/>
  <c r="U12" i="40"/>
  <c r="AA12" i="40"/>
  <c r="J37" i="33"/>
  <c r="W37" i="33"/>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S20" i="35" s="1"/>
  <c r="AB23" i="35"/>
  <c r="AB29" i="36"/>
  <c r="U29" i="36"/>
  <c r="H32" i="37"/>
  <c r="AB32" i="37" s="1"/>
  <c r="F96" i="37"/>
  <c r="H27" i="40"/>
  <c r="AB27" i="40" s="1"/>
  <c r="U27" i="40"/>
  <c r="J27" i="40"/>
  <c r="AC27" i="40"/>
  <c r="F27" i="40"/>
  <c r="S27" i="40" s="1"/>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AZ248" i="3"/>
  <c r="F23" i="39"/>
  <c r="AA23" i="39" s="1"/>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AA39" i="40" s="1"/>
  <c r="AZ224" i="3"/>
  <c r="AZ250" i="3"/>
  <c r="AZ181" i="3"/>
  <c r="B12" i="1"/>
  <c r="E12" i="1" s="1"/>
  <c r="B10" i="1"/>
  <c r="E10" i="1" s="1"/>
  <c r="K12" i="1"/>
  <c r="M12" i="1" s="1"/>
  <c r="S13" i="1"/>
  <c r="AR13" i="1" s="1"/>
  <c r="R13" i="1"/>
  <c r="J51" i="67"/>
  <c r="AC34" i="33"/>
  <c r="AB37" i="40"/>
  <c r="S35" i="40"/>
  <c r="AC36" i="40"/>
  <c r="W38" i="40"/>
  <c r="S17" i="40"/>
  <c r="S23" i="40"/>
  <c r="AC17" i="40"/>
  <c r="AC15" i="40"/>
  <c r="AA19" i="40"/>
  <c r="S28" i="40"/>
  <c r="U21"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S9" i="39"/>
  <c r="U14" i="39"/>
  <c r="AC13" i="39"/>
  <c r="S23" i="36"/>
  <c r="U13" i="36"/>
  <c r="S33" i="36"/>
  <c r="AA34" i="36"/>
  <c r="AC26" i="36"/>
  <c r="AA22" i="36"/>
  <c r="W14" i="36"/>
  <c r="AB14" i="36"/>
  <c r="U22" i="36"/>
  <c r="AA25" i="36"/>
  <c r="S24" i="36"/>
  <c r="U24" i="36"/>
  <c r="U23" i="36"/>
  <c r="U16" i="36"/>
  <c r="S14" i="36"/>
  <c r="S23" i="35"/>
  <c r="W24" i="35"/>
  <c r="AB13" i="35"/>
  <c r="U29" i="35"/>
  <c r="U28" i="35"/>
  <c r="AB27" i="35"/>
  <c r="U36" i="35"/>
  <c r="AA33" i="35"/>
  <c r="S32" i="35"/>
  <c r="AA36" i="35"/>
  <c r="S28" i="35"/>
  <c r="AB16" i="35"/>
  <c r="U22" i="35"/>
  <c r="S22" i="35"/>
  <c r="U14" i="35"/>
  <c r="AA11" i="35"/>
  <c r="AC9" i="35"/>
  <c r="W9" i="35"/>
  <c r="AC12" i="35"/>
  <c r="F9" i="35"/>
  <c r="S9" i="35" s="1"/>
  <c r="H9" i="35"/>
  <c r="U9" i="35" s="1"/>
  <c r="AB40" i="37"/>
  <c r="S25" i="37"/>
  <c r="AC29" i="37"/>
  <c r="U29" i="37"/>
  <c r="W30" i="37"/>
  <c r="S36" i="37"/>
  <c r="AA38" i="37"/>
  <c r="U32" i="37"/>
  <c r="AC35" i="37"/>
  <c r="S30" i="37"/>
  <c r="AC15" i="37"/>
  <c r="J17" i="37"/>
  <c r="W17" i="37" s="1"/>
  <c r="G73" i="37"/>
  <c r="F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H10" i="34"/>
  <c r="AB10" i="34" s="1"/>
  <c r="F11" i="34"/>
  <c r="S11" i="34" s="1"/>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s="1"/>
  <c r="S43" i="33"/>
  <c r="H27" i="33"/>
  <c r="AB27" i="33" s="1"/>
  <c r="F87" i="33"/>
  <c r="H25" i="33"/>
  <c r="AB25" i="33" s="1"/>
  <c r="F25" i="33"/>
  <c r="S25" i="33" s="1"/>
  <c r="J23" i="33"/>
  <c r="AC23" i="33" s="1"/>
  <c r="H23" i="33"/>
  <c r="U23" i="33" s="1"/>
  <c r="F81" i="33"/>
  <c r="F19" i="33"/>
  <c r="S19" i="33" s="1"/>
  <c r="W19" i="33"/>
  <c r="J17" i="33"/>
  <c r="AC17" i="33" s="1"/>
  <c r="F79" i="33"/>
  <c r="G79" i="33" s="1"/>
  <c r="S15" i="33"/>
  <c r="W15" i="33"/>
  <c r="U9" i="33"/>
  <c r="J10" i="33"/>
  <c r="W10" i="33" s="1"/>
  <c r="H10" i="33"/>
  <c r="U10" i="33" s="1"/>
  <c r="AC11" i="33"/>
  <c r="W43" i="21"/>
  <c r="W36" i="21"/>
  <c r="W41" i="21"/>
  <c r="AB39" i="21"/>
  <c r="S39" i="21"/>
  <c r="AA38" i="21"/>
  <c r="AA36" i="21"/>
  <c r="AC40" i="21"/>
  <c r="J15" i="21"/>
  <c r="W15" i="21"/>
  <c r="F77" i="21"/>
  <c r="G77" i="21" s="1"/>
  <c r="F23" i="21"/>
  <c r="S23" i="21"/>
  <c r="E85" i="21"/>
  <c r="AA14" i="21"/>
  <c r="F34" i="67"/>
  <c r="F62" i="67" s="1"/>
  <c r="M20" i="67"/>
  <c r="F34" i="15"/>
  <c r="F62" i="15" s="1"/>
  <c r="BL17" i="3"/>
  <c r="BL13" i="3"/>
  <c r="J56" i="9"/>
  <c r="J57" i="9" s="1"/>
  <c r="J59" i="9" s="1"/>
  <c r="J61" i="9" s="1"/>
  <c r="A24" i="51"/>
  <c r="B18" i="72" s="1"/>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27" i="40"/>
  <c r="S36" i="40"/>
  <c r="AC14" i="40"/>
  <c r="S13" i="40"/>
  <c r="S33" i="40"/>
  <c r="AA15" i="40"/>
  <c r="U11" i="40"/>
  <c r="S31" i="40"/>
  <c r="AB13" i="40"/>
  <c r="U15" i="40"/>
  <c r="AB17" i="40"/>
  <c r="U8" i="40"/>
  <c r="S8" i="40"/>
  <c r="AA39" i="39"/>
  <c r="AC41" i="39"/>
  <c r="U42" i="39"/>
  <c r="U13" i="39"/>
  <c r="AB13" i="39"/>
  <c r="AA13" i="39"/>
  <c r="S13" i="39"/>
  <c r="S14" i="39"/>
  <c r="AA14" i="39"/>
  <c r="AB11" i="39"/>
  <c r="U11" i="39"/>
  <c r="AA27" i="39"/>
  <c r="S27" i="39"/>
  <c r="W31" i="39"/>
  <c r="AC31" i="39"/>
  <c r="AA45" i="39"/>
  <c r="AB39" i="39"/>
  <c r="W34" i="39"/>
  <c r="U38" i="39"/>
  <c r="S8" i="39"/>
  <c r="S20" i="36"/>
  <c r="AC25" i="36"/>
  <c r="U32" i="36"/>
  <c r="W29" i="36"/>
  <c r="U25" i="36"/>
  <c r="AB28" i="36"/>
  <c r="AA13" i="36"/>
  <c r="W22" i="36"/>
  <c r="W23" i="36"/>
  <c r="AC25" i="35"/>
  <c r="U25" i="35"/>
  <c r="S24" i="35"/>
  <c r="S35" i="35"/>
  <c r="AA16" i="35"/>
  <c r="AA35" i="37"/>
  <c r="W36" i="37"/>
  <c r="S27" i="37"/>
  <c r="S28" i="37"/>
  <c r="U36" i="37"/>
  <c r="S40" i="37"/>
  <c r="U38" i="37"/>
  <c r="AC34" i="37"/>
  <c r="AB35" i="37"/>
  <c r="AA31" i="37"/>
  <c r="AA29" i="37"/>
  <c r="U8" i="37"/>
  <c r="AB40" i="34"/>
  <c r="W19" i="34"/>
  <c r="AB33" i="34"/>
  <c r="AA31" i="34"/>
  <c r="AA30" i="34"/>
  <c r="AB47" i="34"/>
  <c r="AB36" i="34"/>
  <c r="W33" i="34"/>
  <c r="AC32" i="34"/>
  <c r="AC29" i="34"/>
  <c r="W29" i="34"/>
  <c r="W46" i="34"/>
  <c r="S32" i="34"/>
  <c r="AA32" i="34"/>
  <c r="U30" i="34"/>
  <c r="AB30" i="34"/>
  <c r="S37" i="34"/>
  <c r="U38" i="34"/>
  <c r="AC40" i="34"/>
  <c r="W40" i="34"/>
  <c r="AA19" i="34"/>
  <c r="S19" i="34"/>
  <c r="AA36" i="34"/>
  <c r="S36" i="34"/>
  <c r="AA8" i="34"/>
  <c r="S8" i="34"/>
  <c r="AB32" i="34"/>
  <c r="U14" i="34"/>
  <c r="AB14" i="34"/>
  <c r="W23" i="34"/>
  <c r="AC23" i="34"/>
  <c r="AC35" i="34"/>
  <c r="W35" i="34"/>
  <c r="AB28" i="33"/>
  <c r="AC37" i="33"/>
  <c r="U39" i="33"/>
  <c r="U38" i="33"/>
  <c r="AB34" i="33"/>
  <c r="U44" i="33"/>
  <c r="AB44" i="33"/>
  <c r="S30" i="33"/>
  <c r="AA30" i="33"/>
  <c r="AC30" i="33"/>
  <c r="W30" i="33"/>
  <c r="S31" i="33"/>
  <c r="AA31" i="33"/>
  <c r="U15" i="33"/>
  <c r="S11" i="33"/>
  <c r="U37" i="33"/>
  <c r="AC28" i="33"/>
  <c r="S28" i="33"/>
  <c r="W9" i="33"/>
  <c r="W8" i="33"/>
  <c r="S44" i="21"/>
  <c r="I101" i="21"/>
  <c r="J101" i="21" s="1"/>
  <c r="K101" i="21" s="1"/>
  <c r="L101" i="21" s="1"/>
  <c r="M101" i="21" s="1"/>
  <c r="F33" i="21"/>
  <c r="AA33" i="21" s="1"/>
  <c r="J33" i="21"/>
  <c r="AC33" i="21" s="1"/>
  <c r="H33" i="21"/>
  <c r="AB33" i="21" s="1"/>
  <c r="F37" i="21"/>
  <c r="AA37" i="21" s="1"/>
  <c r="AA26" i="21"/>
  <c r="AB14" i="21"/>
  <c r="AB46"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U32" i="21" s="1"/>
  <c r="H9" i="21"/>
  <c r="J9" i="21"/>
  <c r="AC9" i="21" s="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C27" i="21"/>
  <c r="AC26" i="21"/>
  <c r="AB29" i="21"/>
  <c r="S28" i="21"/>
  <c r="AC34" i="21"/>
  <c r="AB36" i="21"/>
  <c r="W30" i="40"/>
  <c r="C19" i="39"/>
  <c r="C15" i="40"/>
  <c r="C17" i="40"/>
  <c r="C23" i="40"/>
  <c r="C21" i="40"/>
  <c r="B56" i="43"/>
  <c r="B67" i="43"/>
  <c r="B51" i="43"/>
  <c r="B54" i="43"/>
  <c r="B58" i="43"/>
  <c r="B62" i="43"/>
  <c r="B65" i="43"/>
  <c r="B69" i="43"/>
  <c r="E4" i="4"/>
  <c r="B5" i="62" s="1"/>
  <c r="B73" i="72" s="1"/>
  <c r="C4" i="4"/>
  <c r="S12" i="33"/>
  <c r="AA12" i="33"/>
  <c r="J32" i="39"/>
  <c r="W32" i="39" s="1"/>
  <c r="H32" i="39"/>
  <c r="AB32" i="39" s="1"/>
  <c r="AA32" i="39"/>
  <c r="AA21" i="39"/>
  <c r="S21" i="39"/>
  <c r="J19" i="37"/>
  <c r="W19" i="37" s="1"/>
  <c r="G75" i="37"/>
  <c r="J23" i="37"/>
  <c r="G79" i="37"/>
  <c r="J10" i="37"/>
  <c r="W10" i="37" s="1"/>
  <c r="H11" i="37"/>
  <c r="AB11" i="37" s="1"/>
  <c r="H11" i="34"/>
  <c r="U11" i="34" s="1"/>
  <c r="J10" i="34"/>
  <c r="AC10" i="34" s="1"/>
  <c r="AB41" i="33"/>
  <c r="U41" i="33"/>
  <c r="J36" i="33"/>
  <c r="W36" i="33" s="1"/>
  <c r="H36" i="33"/>
  <c r="U36" i="33" s="1"/>
  <c r="S36" i="33"/>
  <c r="U27" i="33"/>
  <c r="J27" i="33"/>
  <c r="W27" i="33" s="1"/>
  <c r="G87" i="33"/>
  <c r="H87" i="33"/>
  <c r="I87" i="33"/>
  <c r="J87" i="33" s="1"/>
  <c r="K87" i="33" s="1"/>
  <c r="L87" i="33" s="1"/>
  <c r="M87" i="33" s="1"/>
  <c r="J25" i="33"/>
  <c r="W25" i="33" s="1"/>
  <c r="AB23" i="33"/>
  <c r="F23" i="33"/>
  <c r="AA19" i="33"/>
  <c r="H19" i="33"/>
  <c r="G81" i="33"/>
  <c r="H17" i="33"/>
  <c r="U17" i="33" s="1"/>
  <c r="F17" i="33"/>
  <c r="S17" i="33" s="1"/>
  <c r="AA23" i="21"/>
  <c r="AB15" i="21"/>
  <c r="J23" i="21"/>
  <c r="W23" i="21" s="1"/>
  <c r="F85" i="21"/>
  <c r="G85" i="21" s="1"/>
  <c r="H23" i="21"/>
  <c r="U23" i="21" s="1"/>
  <c r="AP7" i="1"/>
  <c r="AB9" i="21"/>
  <c r="U9" i="21"/>
  <c r="AA32" i="21"/>
  <c r="S32" i="21"/>
  <c r="W9" i="21"/>
  <c r="AB32" i="21"/>
  <c r="U32" i="39"/>
  <c r="W23" i="37"/>
  <c r="AC23" i="37"/>
  <c r="J11" i="37"/>
  <c r="AC11" i="37" s="1"/>
  <c r="J11" i="34"/>
  <c r="W11" i="34" s="1"/>
  <c r="AC25" i="33"/>
  <c r="AB19" i="33"/>
  <c r="U19" i="33"/>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E7" i="76"/>
  <c r="B10" i="76"/>
  <c r="F9" i="15"/>
  <c r="M28" i="67"/>
  <c r="M22" i="67"/>
  <c r="M9" i="15"/>
  <c r="B9" i="76"/>
  <c r="F20" i="31"/>
  <c r="B8" i="76"/>
  <c r="F38" i="67"/>
  <c r="E9" i="76"/>
  <c r="M6" i="67"/>
  <c r="L48" i="15"/>
  <c r="M8" i="67"/>
  <c r="F40" i="67"/>
  <c r="F36" i="67"/>
  <c r="F6" i="73"/>
  <c r="E8" i="76"/>
  <c r="B11" i="76"/>
  <c r="E13" i="76"/>
  <c r="M26" i="67"/>
  <c r="AO13" i="1"/>
  <c r="F9" i="67"/>
  <c r="F8" i="67"/>
  <c r="F13" i="67"/>
  <c r="M23" i="67"/>
  <c r="B12" i="76"/>
  <c r="F26" i="67"/>
  <c r="F3" i="73"/>
  <c r="F43" i="67"/>
  <c r="F37" i="67"/>
  <c r="E12" i="76"/>
  <c r="F16" i="67"/>
  <c r="E2" i="69"/>
  <c r="E11" i="76"/>
  <c r="C76" i="67"/>
  <c r="F5" i="73"/>
  <c r="B7" i="76"/>
  <c r="L47" i="67"/>
  <c r="E10" i="76"/>
  <c r="F7" i="73"/>
  <c r="F26" i="15"/>
  <c r="F7" i="67"/>
  <c r="M9" i="67"/>
  <c r="F4" i="73"/>
  <c r="F42" i="67"/>
  <c r="M24" i="67"/>
  <c r="F8" i="15"/>
  <c r="E2" i="68"/>
  <c r="L48" i="67"/>
  <c r="B13" i="76"/>
  <c r="BT5" i="3" l="1"/>
  <c r="BD5" i="3"/>
  <c r="BF5" i="3"/>
  <c r="BI5" i="3"/>
  <c r="AZ532" i="3"/>
  <c r="AZ516" i="3"/>
  <c r="AZ512" i="3"/>
  <c r="AZ498" i="3"/>
  <c r="AZ558" i="3"/>
  <c r="AZ536" i="3"/>
  <c r="AZ557" i="3"/>
  <c r="AA34" i="33"/>
  <c r="U17" i="37"/>
  <c r="AB17" i="37"/>
  <c r="AB32" i="35"/>
  <c r="U32" i="35"/>
  <c r="AC31" i="34"/>
  <c r="W31" i="34"/>
  <c r="W14" i="34"/>
  <c r="AC14" i="34"/>
  <c r="AZ329" i="3"/>
  <c r="C21" i="71"/>
  <c r="D21" i="71" s="1"/>
  <c r="AB23" i="21"/>
  <c r="AB36" i="33"/>
  <c r="AC32" i="39"/>
  <c r="AA25" i="33"/>
  <c r="U26" i="36"/>
  <c r="AA17" i="33"/>
  <c r="W17" i="33"/>
  <c r="U25" i="33"/>
  <c r="AC32" i="33"/>
  <c r="AA19" i="37"/>
  <c r="AB42" i="21"/>
  <c r="W46" i="33"/>
  <c r="AA40" i="34"/>
  <c r="W17" i="39"/>
  <c r="W19" i="40"/>
  <c r="AA43" i="21"/>
  <c r="AA17" i="37"/>
  <c r="S17" i="37"/>
  <c r="W38" i="37"/>
  <c r="AZ379" i="3"/>
  <c r="AZ341" i="3"/>
  <c r="AA37" i="37"/>
  <c r="H24" i="35"/>
  <c r="BL503" i="3"/>
  <c r="BL527" i="3"/>
  <c r="AZ539" i="3"/>
  <c r="BL577" i="3"/>
  <c r="AB30" i="40"/>
  <c r="S13" i="37"/>
  <c r="AC40" i="37"/>
  <c r="W11" i="35"/>
  <c r="AC11" i="35"/>
  <c r="AC38" i="34"/>
  <c r="AC11" i="40"/>
  <c r="W11" i="40"/>
  <c r="F31" i="21"/>
  <c r="J31" i="21"/>
  <c r="U12" i="36"/>
  <c r="AB12" i="36"/>
  <c r="AC17" i="37"/>
  <c r="D8" i="53"/>
  <c r="D120" i="9"/>
  <c r="W17" i="34"/>
  <c r="AC17" i="34"/>
  <c r="W43" i="34"/>
  <c r="U12" i="39"/>
  <c r="S26" i="36"/>
  <c r="AA26" i="36"/>
  <c r="AZ541" i="3"/>
  <c r="AZ514" i="3"/>
  <c r="AB13" i="37"/>
  <c r="U13" i="37"/>
  <c r="AB28" i="21"/>
  <c r="U28" i="21"/>
  <c r="BR5" i="3"/>
  <c r="BL144" i="3"/>
  <c r="BA146" i="3"/>
  <c r="BB5" i="3"/>
  <c r="E8" i="6" s="1"/>
  <c r="F27" i="6" s="1"/>
  <c r="BJ5" i="3"/>
  <c r="BS5" i="3"/>
  <c r="BP5" i="3"/>
  <c r="AC5" i="3"/>
  <c r="AZ544" i="3"/>
  <c r="AZ574" i="3"/>
  <c r="S13" i="21"/>
  <c r="AB20" i="36"/>
  <c r="BM5" i="3"/>
  <c r="AZ192" i="3"/>
  <c r="BL521" i="3"/>
  <c r="AZ521" i="3" s="1"/>
  <c r="AC37" i="40"/>
  <c r="S25" i="35"/>
  <c r="AA25" i="35"/>
  <c r="AB30" i="36"/>
  <c r="W20" i="35"/>
  <c r="AB20" i="35"/>
  <c r="AC32" i="37"/>
  <c r="W32" i="37"/>
  <c r="AA16" i="36"/>
  <c r="S16" i="36"/>
  <c r="BA571" i="3"/>
  <c r="AZ571" i="3" s="1"/>
  <c r="AZ525" i="3"/>
  <c r="AC27" i="33"/>
  <c r="AZ349" i="3"/>
  <c r="AZ314" i="3"/>
  <c r="BA553" i="3"/>
  <c r="AZ553" i="3" s="1"/>
  <c r="S23" i="39"/>
  <c r="AB41" i="39"/>
  <c r="U41" i="39"/>
  <c r="S12" i="39"/>
  <c r="AA12" i="39"/>
  <c r="BL547" i="3"/>
  <c r="AZ547" i="3" s="1"/>
  <c r="BL571" i="3"/>
  <c r="U33" i="40"/>
  <c r="AB33" i="40"/>
  <c r="AC13" i="35"/>
  <c r="W13" i="35"/>
  <c r="AB29" i="34"/>
  <c r="U29" i="34"/>
  <c r="AC44" i="33"/>
  <c r="W44" i="33"/>
  <c r="BL585" i="3"/>
  <c r="AZ585" i="3" s="1"/>
  <c r="AC24" i="36"/>
  <c r="W24" i="36"/>
  <c r="AC30" i="36"/>
  <c r="W30" i="36"/>
  <c r="BL581" i="3"/>
  <c r="AZ581" i="3" s="1"/>
  <c r="BL576" i="3"/>
  <c r="BL574" i="3"/>
  <c r="BA573" i="3"/>
  <c r="BA572" i="3"/>
  <c r="AZ572" i="3" s="1"/>
  <c r="BA570" i="3"/>
  <c r="BA567" i="3"/>
  <c r="G567" i="3"/>
  <c r="BL564" i="3"/>
  <c r="BA564" i="3"/>
  <c r="BA554" i="3"/>
  <c r="AZ554" i="3" s="1"/>
  <c r="G551" i="3"/>
  <c r="BL550" i="3"/>
  <c r="BA549" i="3"/>
  <c r="AZ549" i="3" s="1"/>
  <c r="BA548" i="3"/>
  <c r="BL546" i="3"/>
  <c r="AZ546" i="3" s="1"/>
  <c r="BL545" i="3"/>
  <c r="AZ545" i="3" s="1"/>
  <c r="BA545" i="3"/>
  <c r="BL544" i="3"/>
  <c r="BL542" i="3"/>
  <c r="AZ542" i="3" s="1"/>
  <c r="G542" i="3"/>
  <c r="BA541" i="3"/>
  <c r="BL540" i="3"/>
  <c r="BA540" i="3"/>
  <c r="BL538" i="3"/>
  <c r="BA538" i="3"/>
  <c r="BL536" i="3"/>
  <c r="G535" i="3"/>
  <c r="BA534" i="3"/>
  <c r="AZ534" i="3" s="1"/>
  <c r="BA533" i="3"/>
  <c r="BA531" i="3"/>
  <c r="BL530" i="3"/>
  <c r="AZ530" i="3" s="1"/>
  <c r="BA527" i="3"/>
  <c r="AZ527" i="3" s="1"/>
  <c r="BL526" i="3"/>
  <c r="BA526" i="3"/>
  <c r="BA525" i="3"/>
  <c r="BL524" i="3"/>
  <c r="BA524" i="3"/>
  <c r="AZ524" i="3" s="1"/>
  <c r="BA522" i="3"/>
  <c r="AZ522" i="3" s="1"/>
  <c r="BA518" i="3"/>
  <c r="AZ518" i="3" s="1"/>
  <c r="BA513" i="3"/>
  <c r="AZ513" i="3" s="1"/>
  <c r="BL512" i="3"/>
  <c r="BA511" i="3"/>
  <c r="BL510" i="3"/>
  <c r="BA510" i="3"/>
  <c r="BL508" i="3"/>
  <c r="BA508" i="3"/>
  <c r="BL505" i="3"/>
  <c r="BA505" i="3"/>
  <c r="BA504" i="3"/>
  <c r="AZ504" i="3" s="1"/>
  <c r="BA503" i="3"/>
  <c r="BL500" i="3"/>
  <c r="AZ500" i="3" s="1"/>
  <c r="BL499" i="3"/>
  <c r="AZ499" i="3" s="1"/>
  <c r="BL498" i="3"/>
  <c r="BA496" i="3"/>
  <c r="AZ496" i="3" s="1"/>
  <c r="BL494" i="3"/>
  <c r="BA494" i="3"/>
  <c r="AZ494" i="3" s="1"/>
  <c r="BA578" i="3"/>
  <c r="U40" i="21"/>
  <c r="U19" i="34"/>
  <c r="AB37" i="37"/>
  <c r="W25" i="39"/>
  <c r="U42" i="33"/>
  <c r="AA35" i="33"/>
  <c r="AB35" i="40"/>
  <c r="U35" i="40"/>
  <c r="AZ345" i="3"/>
  <c r="AZ376" i="3"/>
  <c r="W44" i="21"/>
  <c r="AB19" i="37"/>
  <c r="U19" i="37"/>
  <c r="F13" i="33"/>
  <c r="H13" i="33"/>
  <c r="U13" i="33" s="1"/>
  <c r="J13" i="33"/>
  <c r="J12" i="34"/>
  <c r="F12" i="34"/>
  <c r="S12" i="34" s="1"/>
  <c r="H12" i="34"/>
  <c r="F46" i="34"/>
  <c r="H46" i="34"/>
  <c r="AC20" i="36"/>
  <c r="AB31" i="36"/>
  <c r="U31" i="36"/>
  <c r="AZ533" i="3"/>
  <c r="AZ528" i="3"/>
  <c r="AZ576" i="3"/>
  <c r="C15" i="39"/>
  <c r="AZ493" i="3"/>
  <c r="AC23" i="21"/>
  <c r="W35" i="33"/>
  <c r="S33" i="33"/>
  <c r="AB14" i="33"/>
  <c r="U21" i="39"/>
  <c r="S39" i="40"/>
  <c r="AA15" i="21"/>
  <c r="AB45" i="21"/>
  <c r="S37" i="21"/>
  <c r="AA23" i="37"/>
  <c r="S45" i="21"/>
  <c r="AC14" i="33"/>
  <c r="U25" i="34"/>
  <c r="W35" i="35"/>
  <c r="W27" i="37"/>
  <c r="AC30" i="35"/>
  <c r="AA27" i="40"/>
  <c r="W39" i="34"/>
  <c r="AC39" i="34"/>
  <c r="AA20" i="35"/>
  <c r="AZ364" i="3"/>
  <c r="AZ360" i="3"/>
  <c r="U31" i="37"/>
  <c r="BL537" i="3"/>
  <c r="AZ537" i="3" s="1"/>
  <c r="J13" i="37"/>
  <c r="AA44" i="34"/>
  <c r="H31" i="21"/>
  <c r="AZ387" i="3"/>
  <c r="AZ338" i="3"/>
  <c r="AZ311" i="3"/>
  <c r="AZ304" i="3"/>
  <c r="AZ203" i="3"/>
  <c r="AZ306" i="3"/>
  <c r="BL515" i="3"/>
  <c r="AZ515" i="3" s="1"/>
  <c r="BL535" i="3"/>
  <c r="AZ535" i="3" s="1"/>
  <c r="BL557" i="3"/>
  <c r="H46" i="33"/>
  <c r="F46" i="33"/>
  <c r="J45" i="34"/>
  <c r="H45" i="34"/>
  <c r="H14" i="40"/>
  <c r="F14" i="40"/>
  <c r="S26" i="33"/>
  <c r="AA26" i="33"/>
  <c r="AZ458" i="3"/>
  <c r="AZ394" i="3"/>
  <c r="BL495" i="3"/>
  <c r="BL511" i="3"/>
  <c r="AZ511" i="3" s="1"/>
  <c r="BL531" i="3"/>
  <c r="AZ531" i="3" s="1"/>
  <c r="S44" i="33"/>
  <c r="AA44" i="33"/>
  <c r="F9" i="34"/>
  <c r="AA9" i="34" s="1"/>
  <c r="H9" i="34"/>
  <c r="J9" i="34"/>
  <c r="J39" i="37"/>
  <c r="H39" i="37"/>
  <c r="J43" i="39"/>
  <c r="H43" i="39"/>
  <c r="F43" i="39"/>
  <c r="AA38" i="39"/>
  <c r="S38" i="39"/>
  <c r="AB9" i="40"/>
  <c r="U9" i="40"/>
  <c r="AB36" i="39"/>
  <c r="U36" i="39"/>
  <c r="BA584" i="3"/>
  <c r="AZ584" i="3" s="1"/>
  <c r="BL582" i="3"/>
  <c r="AZ582" i="3" s="1"/>
  <c r="BA577" i="3"/>
  <c r="BL570" i="3"/>
  <c r="BA568" i="3"/>
  <c r="AZ568" i="3" s="1"/>
  <c r="BA562" i="3"/>
  <c r="BA561" i="3"/>
  <c r="AZ561" i="3" s="1"/>
  <c r="G558" i="3"/>
  <c r="G553" i="3"/>
  <c r="BA552" i="3"/>
  <c r="AZ552" i="3" s="1"/>
  <c r="B101" i="43"/>
  <c r="C25" i="39"/>
  <c r="B79" i="43"/>
  <c r="H9" i="36"/>
  <c r="AB9" i="36" s="1"/>
  <c r="J9" i="36"/>
  <c r="AB30" i="37"/>
  <c r="U30" i="37"/>
  <c r="AZ371" i="3"/>
  <c r="AZ305" i="3"/>
  <c r="AZ155" i="3"/>
  <c r="BL523" i="3"/>
  <c r="AZ523" i="3" s="1"/>
  <c r="F13" i="34"/>
  <c r="AA27" i="35"/>
  <c r="S27" i="35"/>
  <c r="E19" i="6"/>
  <c r="K6" i="1" s="1"/>
  <c r="BA551" i="3"/>
  <c r="AZ551" i="3" s="1"/>
  <c r="BL548" i="3"/>
  <c r="G411" i="3"/>
  <c r="BL433" i="3"/>
  <c r="BA448" i="3"/>
  <c r="BA451" i="3"/>
  <c r="AZ451" i="3" s="1"/>
  <c r="BL458" i="3"/>
  <c r="BA466" i="3"/>
  <c r="BL484" i="3"/>
  <c r="BA319" i="3"/>
  <c r="AZ319" i="3" s="1"/>
  <c r="AZ228" i="3"/>
  <c r="AZ413" i="3"/>
  <c r="BA444" i="3"/>
  <c r="AZ444" i="3" s="1"/>
  <c r="J36" i="35"/>
  <c r="AC36" i="35" s="1"/>
  <c r="H44" i="39"/>
  <c r="F44" i="39"/>
  <c r="AZ400" i="3"/>
  <c r="AZ402" i="3"/>
  <c r="AZ443" i="3"/>
  <c r="BL462" i="3"/>
  <c r="AZ462" i="3" s="1"/>
  <c r="BL488" i="3"/>
  <c r="BL587" i="3"/>
  <c r="AZ587" i="3" s="1"/>
  <c r="BL586" i="3"/>
  <c r="AZ586" i="3" s="1"/>
  <c r="BA452" i="3"/>
  <c r="AZ452" i="3" s="1"/>
  <c r="BA485" i="3"/>
  <c r="BA331" i="3"/>
  <c r="AZ331" i="3" s="1"/>
  <c r="G587" i="3"/>
  <c r="BL406" i="3"/>
  <c r="AZ406" i="3" s="1"/>
  <c r="BL412" i="3"/>
  <c r="G413" i="3"/>
  <c r="G421" i="3"/>
  <c r="BL519" i="3"/>
  <c r="AZ519" i="3" s="1"/>
  <c r="BL573" i="3"/>
  <c r="AZ573" i="3" s="1"/>
  <c r="BL583" i="3"/>
  <c r="AZ583" i="3" s="1"/>
  <c r="F38" i="40"/>
  <c r="H38" i="40"/>
  <c r="BL419" i="3"/>
  <c r="AZ419" i="3" s="1"/>
  <c r="B3" i="82"/>
  <c r="I3" i="82"/>
  <c r="BL408" i="3"/>
  <c r="BL411" i="3"/>
  <c r="BL413" i="3"/>
  <c r="G415" i="3"/>
  <c r="BL417" i="3"/>
  <c r="BL418" i="3"/>
  <c r="BL421" i="3"/>
  <c r="BL422" i="3"/>
  <c r="BA442" i="3"/>
  <c r="G448" i="3"/>
  <c r="BL448" i="3"/>
  <c r="G450" i="3"/>
  <c r="BL452" i="3"/>
  <c r="G454" i="3"/>
  <c r="BL459" i="3"/>
  <c r="G461" i="3"/>
  <c r="BA465" i="3"/>
  <c r="AZ465" i="3" s="1"/>
  <c r="BA467" i="3"/>
  <c r="BA468" i="3"/>
  <c r="BA477" i="3"/>
  <c r="BA478" i="3"/>
  <c r="BA481" i="3"/>
  <c r="G484" i="3"/>
  <c r="G488" i="3"/>
  <c r="G349" i="3"/>
  <c r="BA367" i="3"/>
  <c r="AZ367" i="3" s="1"/>
  <c r="BA384" i="3"/>
  <c r="AZ384" i="3" s="1"/>
  <c r="BA386" i="3"/>
  <c r="AZ386" i="3" s="1"/>
  <c r="BA396" i="3"/>
  <c r="BA208" i="3"/>
  <c r="AZ208" i="3" s="1"/>
  <c r="BL227" i="3"/>
  <c r="BL272" i="3"/>
  <c r="BL205" i="3"/>
  <c r="G14" i="3"/>
  <c r="B2" i="82"/>
  <c r="BA398" i="3"/>
  <c r="AZ398" i="3" s="1"/>
  <c r="BA399" i="3"/>
  <c r="AZ399" i="3" s="1"/>
  <c r="BL445" i="3"/>
  <c r="AZ445" i="3" s="1"/>
  <c r="BL446" i="3"/>
  <c r="BL464" i="3"/>
  <c r="BL466" i="3"/>
  <c r="G469" i="3"/>
  <c r="BL476" i="3"/>
  <c r="AZ476" i="3" s="1"/>
  <c r="BL477" i="3"/>
  <c r="BL478" i="3"/>
  <c r="BL480" i="3"/>
  <c r="AZ480" i="3" s="1"/>
  <c r="BL483" i="3"/>
  <c r="BA307" i="3"/>
  <c r="AZ307" i="3" s="1"/>
  <c r="BL328" i="3"/>
  <c r="AZ328" i="3" s="1"/>
  <c r="BA335" i="3"/>
  <c r="AZ335" i="3" s="1"/>
  <c r="BL245" i="3"/>
  <c r="AZ245" i="3" s="1"/>
  <c r="AZ201" i="3"/>
  <c r="BA401" i="3"/>
  <c r="AZ401" i="3" s="1"/>
  <c r="BA403" i="3"/>
  <c r="BA404" i="3"/>
  <c r="BA405" i="3"/>
  <c r="BL430" i="3"/>
  <c r="BA433" i="3"/>
  <c r="AZ433" i="3" s="1"/>
  <c r="BA435" i="3"/>
  <c r="BL437" i="3"/>
  <c r="AZ437" i="3" s="1"/>
  <c r="BL467" i="3"/>
  <c r="BL468" i="3"/>
  <c r="BL470" i="3"/>
  <c r="BL473" i="3"/>
  <c r="AZ473" i="3" s="1"/>
  <c r="BL474" i="3"/>
  <c r="G384" i="3"/>
  <c r="BL397" i="3"/>
  <c r="BA220" i="3"/>
  <c r="BA240" i="3"/>
  <c r="AZ240" i="3" s="1"/>
  <c r="BA242" i="3"/>
  <c r="AZ242" i="3" s="1"/>
  <c r="BA275" i="3"/>
  <c r="AZ275" i="3" s="1"/>
  <c r="BA283" i="3"/>
  <c r="AZ125" i="3"/>
  <c r="BA550" i="3"/>
  <c r="AZ550" i="3" s="1"/>
  <c r="A15" i="62"/>
  <c r="B61" i="72" s="1"/>
  <c r="BL400" i="3"/>
  <c r="BA424" i="3"/>
  <c r="AZ424" i="3" s="1"/>
  <c r="BA425" i="3"/>
  <c r="BA426" i="3"/>
  <c r="BA427" i="3"/>
  <c r="AZ427" i="3" s="1"/>
  <c r="BL431" i="3"/>
  <c r="BL434" i="3"/>
  <c r="G437" i="3"/>
  <c r="BL438" i="3"/>
  <c r="BL439" i="3"/>
  <c r="AZ439" i="3" s="1"/>
  <c r="BL471" i="3"/>
  <c r="AZ471" i="3" s="1"/>
  <c r="BL475" i="3"/>
  <c r="BL316" i="3"/>
  <c r="BA333" i="3"/>
  <c r="BL346" i="3"/>
  <c r="AZ346" i="3" s="1"/>
  <c r="BA370" i="3"/>
  <c r="AZ370" i="3" s="1"/>
  <c r="BL219" i="3"/>
  <c r="BA235" i="3"/>
  <c r="AZ235" i="3" s="1"/>
  <c r="BA236" i="3"/>
  <c r="BA238" i="3"/>
  <c r="BL240" i="3"/>
  <c r="BA260" i="3"/>
  <c r="BA274" i="3"/>
  <c r="BL286" i="3"/>
  <c r="AZ286" i="3" s="1"/>
  <c r="BL289" i="3"/>
  <c r="AZ294" i="3"/>
  <c r="BL398" i="3"/>
  <c r="G402" i="3"/>
  <c r="BL403" i="3"/>
  <c r="G405" i="3"/>
  <c r="G406" i="3"/>
  <c r="BA408" i="3"/>
  <c r="AZ408" i="3" s="1"/>
  <c r="BA409" i="3"/>
  <c r="AZ409" i="3" s="1"/>
  <c r="BA411" i="3"/>
  <c r="BA420" i="3"/>
  <c r="BA421" i="3"/>
  <c r="BA423" i="3"/>
  <c r="AZ423" i="3" s="1"/>
  <c r="G430" i="3"/>
  <c r="BL432" i="3"/>
  <c r="BL435" i="3"/>
  <c r="BL436" i="3"/>
  <c r="BA487" i="3"/>
  <c r="AZ487" i="3" s="1"/>
  <c r="BA315" i="3"/>
  <c r="AZ315" i="3" s="1"/>
  <c r="BA332" i="3"/>
  <c r="AZ332" i="3" s="1"/>
  <c r="G380" i="3"/>
  <c r="BA233" i="3"/>
  <c r="BA237" i="3"/>
  <c r="AZ237" i="3" s="1"/>
  <c r="BA257" i="3"/>
  <c r="AZ257" i="3" s="1"/>
  <c r="BA259" i="3"/>
  <c r="AZ259" i="3" s="1"/>
  <c r="BL278" i="3"/>
  <c r="BA281" i="3"/>
  <c r="BL401" i="3"/>
  <c r="BL404" i="3"/>
  <c r="BL405" i="3"/>
  <c r="BL407" i="3"/>
  <c r="AZ407" i="3" s="1"/>
  <c r="BA412" i="3"/>
  <c r="AZ412" i="3" s="1"/>
  <c r="BA414" i="3"/>
  <c r="AZ414" i="3" s="1"/>
  <c r="BA415" i="3"/>
  <c r="AZ415" i="3" s="1"/>
  <c r="BA416" i="3"/>
  <c r="AZ416" i="3" s="1"/>
  <c r="BA418" i="3"/>
  <c r="BA422" i="3"/>
  <c r="AZ422" i="3" s="1"/>
  <c r="BL424" i="3"/>
  <c r="G426" i="3"/>
  <c r="G427" i="3"/>
  <c r="BL428" i="3"/>
  <c r="BL429" i="3"/>
  <c r="BA449" i="3"/>
  <c r="BL455" i="3"/>
  <c r="BA457" i="3"/>
  <c r="AZ457" i="3" s="1"/>
  <c r="BA459" i="3"/>
  <c r="BA460" i="3"/>
  <c r="AZ460" i="3" s="1"/>
  <c r="BA461" i="3"/>
  <c r="AZ461" i="3" s="1"/>
  <c r="BA483" i="3"/>
  <c r="BA486" i="3"/>
  <c r="BA303" i="3"/>
  <c r="AZ303" i="3" s="1"/>
  <c r="BL314" i="3"/>
  <c r="G315" i="3"/>
  <c r="BL350" i="3"/>
  <c r="BL353" i="3"/>
  <c r="BA358" i="3"/>
  <c r="AZ358" i="3" s="1"/>
  <c r="G362" i="3"/>
  <c r="BA368" i="3"/>
  <c r="BA209" i="3"/>
  <c r="BA211" i="3"/>
  <c r="AZ211" i="3" s="1"/>
  <c r="BA226" i="3"/>
  <c r="BA231" i="3"/>
  <c r="AZ231" i="3" s="1"/>
  <c r="BA255" i="3"/>
  <c r="AZ255" i="3" s="1"/>
  <c r="BL35" i="3"/>
  <c r="BA43" i="3"/>
  <c r="BL410" i="3"/>
  <c r="G412" i="3"/>
  <c r="G418" i="3"/>
  <c r="BL420" i="3"/>
  <c r="G422" i="3"/>
  <c r="BL425" i="3"/>
  <c r="BL426" i="3"/>
  <c r="AZ426" i="3" s="1"/>
  <c r="BA441" i="3"/>
  <c r="AZ441" i="3" s="1"/>
  <c r="BA445" i="3"/>
  <c r="BA447" i="3"/>
  <c r="AZ447" i="3" s="1"/>
  <c r="BL451" i="3"/>
  <c r="BA454" i="3"/>
  <c r="AZ454" i="3" s="1"/>
  <c r="BL456" i="3"/>
  <c r="BA464" i="3"/>
  <c r="AZ464" i="3" s="1"/>
  <c r="BA482" i="3"/>
  <c r="BA484" i="3"/>
  <c r="BA488" i="3"/>
  <c r="AZ488" i="3" s="1"/>
  <c r="BA491" i="3"/>
  <c r="AZ491" i="3" s="1"/>
  <c r="BA349" i="3"/>
  <c r="BA385" i="3"/>
  <c r="BL216" i="3"/>
  <c r="BA225" i="3"/>
  <c r="AZ225" i="3" s="1"/>
  <c r="G228" i="3"/>
  <c r="BL228" i="3"/>
  <c r="BA230" i="3"/>
  <c r="AZ230" i="3" s="1"/>
  <c r="BL254" i="3"/>
  <c r="BL262" i="3"/>
  <c r="BA271" i="3"/>
  <c r="BA279" i="3"/>
  <c r="BA301" i="3"/>
  <c r="AZ301" i="3" s="1"/>
  <c r="BA40" i="3"/>
  <c r="AZ40" i="3" s="1"/>
  <c r="BA417" i="3"/>
  <c r="BA428" i="3"/>
  <c r="AZ428" i="3" s="1"/>
  <c r="BA429" i="3"/>
  <c r="AZ429" i="3" s="1"/>
  <c r="BA430" i="3"/>
  <c r="AZ430" i="3" s="1"/>
  <c r="BA432" i="3"/>
  <c r="BA434" i="3"/>
  <c r="AZ434" i="3" s="1"/>
  <c r="BA436" i="3"/>
  <c r="AZ436" i="3" s="1"/>
  <c r="BA438" i="3"/>
  <c r="AZ438" i="3" s="1"/>
  <c r="G442" i="3"/>
  <c r="G443" i="3"/>
  <c r="BA446" i="3"/>
  <c r="BA450" i="3"/>
  <c r="BA453" i="3"/>
  <c r="AZ453" i="3" s="1"/>
  <c r="BA455" i="3"/>
  <c r="AZ455" i="3" s="1"/>
  <c r="BL317" i="3"/>
  <c r="G318" i="3"/>
  <c r="BA353" i="3"/>
  <c r="BL365" i="3"/>
  <c r="AZ365" i="3" s="1"/>
  <c r="G366" i="3"/>
  <c r="BL368" i="3"/>
  <c r="BA374" i="3"/>
  <c r="AZ374" i="3" s="1"/>
  <c r="BA388" i="3"/>
  <c r="AZ388" i="3" s="1"/>
  <c r="BL217" i="3"/>
  <c r="AZ217" i="3" s="1"/>
  <c r="BA219" i="3"/>
  <c r="AZ219" i="3" s="1"/>
  <c r="BA221" i="3"/>
  <c r="BA223" i="3"/>
  <c r="BL232" i="3"/>
  <c r="BL234" i="3"/>
  <c r="BL261" i="3"/>
  <c r="BL271" i="3"/>
  <c r="BL274" i="3"/>
  <c r="BA296" i="3"/>
  <c r="BA121" i="3"/>
  <c r="BA124" i="3"/>
  <c r="AZ124" i="3" s="1"/>
  <c r="BA126" i="3"/>
  <c r="AZ126" i="3" s="1"/>
  <c r="BA129" i="3"/>
  <c r="BL133" i="3"/>
  <c r="AZ133" i="3" s="1"/>
  <c r="BL139" i="3"/>
  <c r="AZ139" i="3" s="1"/>
  <c r="G140" i="3"/>
  <c r="BL141" i="3"/>
  <c r="BL155" i="3"/>
  <c r="BA176" i="3"/>
  <c r="AZ176" i="3" s="1"/>
  <c r="BA178" i="3"/>
  <c r="AZ178" i="3" s="1"/>
  <c r="BA189" i="3"/>
  <c r="AZ189" i="3" s="1"/>
  <c r="BA190" i="3"/>
  <c r="AZ190" i="3" s="1"/>
  <c r="BA200" i="3"/>
  <c r="AZ200" i="3" s="1"/>
  <c r="BA202" i="3"/>
  <c r="G29" i="3"/>
  <c r="BL29" i="3"/>
  <c r="BA38" i="3"/>
  <c r="BA41" i="3"/>
  <c r="AZ41" i="3" s="1"/>
  <c r="BA42" i="3"/>
  <c r="G46" i="3"/>
  <c r="BA73" i="3"/>
  <c r="AZ73" i="3" s="1"/>
  <c r="BL77" i="3"/>
  <c r="BA86" i="3"/>
  <c r="AZ86" i="3" s="1"/>
  <c r="BL99" i="3"/>
  <c r="C78" i="71"/>
  <c r="D78" i="71" s="1"/>
  <c r="P65" i="71"/>
  <c r="P66" i="71"/>
  <c r="X34" i="71"/>
  <c r="D42" i="71"/>
  <c r="C43" i="71"/>
  <c r="B56" i="71"/>
  <c r="S56" i="71" s="1"/>
  <c r="BL218" i="3"/>
  <c r="BL220" i="3"/>
  <c r="BL221" i="3"/>
  <c r="BL223" i="3"/>
  <c r="BA227" i="3"/>
  <c r="BA229" i="3"/>
  <c r="AZ229" i="3" s="1"/>
  <c r="BA247" i="3"/>
  <c r="AZ247" i="3" s="1"/>
  <c r="BA249" i="3"/>
  <c r="AZ249" i="3" s="1"/>
  <c r="BA251" i="3"/>
  <c r="BA253" i="3"/>
  <c r="BA290" i="3"/>
  <c r="AZ290" i="3" s="1"/>
  <c r="BL299" i="3"/>
  <c r="G300" i="3"/>
  <c r="BL113" i="3"/>
  <c r="BA118" i="3"/>
  <c r="AZ118" i="3" s="1"/>
  <c r="BA122" i="3"/>
  <c r="AZ122" i="3" s="1"/>
  <c r="BL125" i="3"/>
  <c r="BL126" i="3"/>
  <c r="G130" i="3"/>
  <c r="BA144" i="3"/>
  <c r="G150" i="3"/>
  <c r="BL177" i="3"/>
  <c r="AZ177" i="3" s="1"/>
  <c r="G179" i="3"/>
  <c r="BA186" i="3"/>
  <c r="AZ186" i="3" s="1"/>
  <c r="BL189" i="3"/>
  <c r="BL190" i="3"/>
  <c r="G191" i="3"/>
  <c r="BA197" i="3"/>
  <c r="BL201" i="3"/>
  <c r="BL203" i="3"/>
  <c r="BA20" i="3"/>
  <c r="AZ20" i="3" s="1"/>
  <c r="BL25" i="3"/>
  <c r="AZ25" i="3" s="1"/>
  <c r="BL27" i="3"/>
  <c r="BA50" i="3"/>
  <c r="AZ50" i="3" s="1"/>
  <c r="G56" i="3"/>
  <c r="BL56" i="3"/>
  <c r="BA61" i="3"/>
  <c r="AZ61" i="3" s="1"/>
  <c r="BL86" i="3"/>
  <c r="G98" i="3"/>
  <c r="D34" i="71"/>
  <c r="C35" i="71"/>
  <c r="B32" i="71"/>
  <c r="S32" i="71" s="1"/>
  <c r="B38" i="71"/>
  <c r="B39" i="71" s="1"/>
  <c r="B40" i="71" s="1"/>
  <c r="S40" i="71" s="1"/>
  <c r="X35" i="71"/>
  <c r="AB38" i="71"/>
  <c r="AB33" i="71"/>
  <c r="C47" i="71"/>
  <c r="D47" i="71" s="1"/>
  <c r="D46" i="71"/>
  <c r="BL324" i="3"/>
  <c r="AZ324" i="3" s="1"/>
  <c r="BA339" i="3"/>
  <c r="AZ339" i="3" s="1"/>
  <c r="G343" i="3"/>
  <c r="BA348" i="3"/>
  <c r="BA350" i="3"/>
  <c r="BL385" i="3"/>
  <c r="BA397" i="3"/>
  <c r="AZ397" i="3" s="1"/>
  <c r="BA210" i="3"/>
  <c r="AZ210" i="3" s="1"/>
  <c r="BL225" i="3"/>
  <c r="BL226" i="3"/>
  <c r="G227" i="3"/>
  <c r="BA239" i="3"/>
  <c r="BA241" i="3"/>
  <c r="BA244" i="3"/>
  <c r="BA246" i="3"/>
  <c r="BA252" i="3"/>
  <c r="AZ252" i="3" s="1"/>
  <c r="BA254" i="3"/>
  <c r="BA256" i="3"/>
  <c r="AZ256" i="3" s="1"/>
  <c r="BA258" i="3"/>
  <c r="BA268" i="3"/>
  <c r="BA277" i="3"/>
  <c r="BA282" i="3"/>
  <c r="BA284" i="3"/>
  <c r="AZ284" i="3" s="1"/>
  <c r="BL290" i="3"/>
  <c r="BL291" i="3"/>
  <c r="AZ291" i="3" s="1"/>
  <c r="BL293" i="3"/>
  <c r="BL294" i="3"/>
  <c r="BL297" i="3"/>
  <c r="BL300" i="3"/>
  <c r="BA117" i="3"/>
  <c r="BL130" i="3"/>
  <c r="BL146" i="3"/>
  <c r="BL178" i="3"/>
  <c r="BA185" i="3"/>
  <c r="BA196" i="3"/>
  <c r="AZ196" i="3" s="1"/>
  <c r="BA33" i="3"/>
  <c r="BA36" i="3"/>
  <c r="BL38" i="3"/>
  <c r="AZ38" i="3" s="1"/>
  <c r="BA51" i="3"/>
  <c r="AZ51" i="3" s="1"/>
  <c r="BA60" i="3"/>
  <c r="AZ60" i="3" s="1"/>
  <c r="BA71" i="3"/>
  <c r="BL73" i="3"/>
  <c r="B13" i="1"/>
  <c r="E13" i="1" s="1"/>
  <c r="K13" i="1"/>
  <c r="M13" i="1" s="1"/>
  <c r="O13" i="1" s="1"/>
  <c r="P13" i="1" s="1"/>
  <c r="C40" i="71"/>
  <c r="D39" i="71"/>
  <c r="X26" i="71"/>
  <c r="P68" i="71"/>
  <c r="U68" i="71"/>
  <c r="G290" i="3"/>
  <c r="G291" i="3"/>
  <c r="BA116" i="3"/>
  <c r="AZ116" i="3" s="1"/>
  <c r="BL121" i="3"/>
  <c r="BL143" i="3"/>
  <c r="AZ143" i="3" s="1"/>
  <c r="G146" i="3"/>
  <c r="BA153" i="3"/>
  <c r="BA164" i="3"/>
  <c r="AZ164" i="3" s="1"/>
  <c r="BA166" i="3"/>
  <c r="AZ166" i="3" s="1"/>
  <c r="BA169" i="3"/>
  <c r="AZ169" i="3" s="1"/>
  <c r="BL171" i="3"/>
  <c r="AZ171" i="3" s="1"/>
  <c r="G174" i="3"/>
  <c r="BA184" i="3"/>
  <c r="AZ184" i="3" s="1"/>
  <c r="BL187" i="3"/>
  <c r="AZ187" i="3" s="1"/>
  <c r="G188" i="3"/>
  <c r="BL197" i="3"/>
  <c r="BL199" i="3"/>
  <c r="AZ199" i="3" s="1"/>
  <c r="BA30" i="3"/>
  <c r="G38" i="3"/>
  <c r="BA47" i="3"/>
  <c r="AZ47" i="3" s="1"/>
  <c r="BA48" i="3"/>
  <c r="BA49" i="3"/>
  <c r="AZ49" i="3" s="1"/>
  <c r="BL50" i="3"/>
  <c r="BL51" i="3"/>
  <c r="G53" i="3"/>
  <c r="BL53" i="3"/>
  <c r="BA68" i="3"/>
  <c r="AZ68" i="3" s="1"/>
  <c r="BA92" i="3"/>
  <c r="AZ92" i="3" s="1"/>
  <c r="BL96" i="3"/>
  <c r="AB21" i="37"/>
  <c r="U21" i="37"/>
  <c r="D71" i="71"/>
  <c r="C70" i="71"/>
  <c r="D70" i="71" s="1"/>
  <c r="Y26" i="71"/>
  <c r="Z26" i="71" s="1"/>
  <c r="BL255" i="3"/>
  <c r="BL257" i="3"/>
  <c r="BL258" i="3"/>
  <c r="BA262" i="3"/>
  <c r="AZ262" i="3" s="1"/>
  <c r="BL265" i="3"/>
  <c r="AZ265" i="3" s="1"/>
  <c r="BA273" i="3"/>
  <c r="BA278" i="3"/>
  <c r="AZ278" i="3" s="1"/>
  <c r="BA280" i="3"/>
  <c r="AZ280" i="3" s="1"/>
  <c r="BL283" i="3"/>
  <c r="BL284" i="3"/>
  <c r="G288" i="3"/>
  <c r="BL292" i="3"/>
  <c r="BL295" i="3"/>
  <c r="BA114" i="3"/>
  <c r="BL123" i="3"/>
  <c r="AZ123" i="3" s="1"/>
  <c r="BA193" i="3"/>
  <c r="BA207" i="3"/>
  <c r="BL20" i="3"/>
  <c r="BA29" i="3"/>
  <c r="AZ29" i="3" s="1"/>
  <c r="BA31" i="3"/>
  <c r="AZ31" i="3" s="1"/>
  <c r="BA32" i="3"/>
  <c r="BA67" i="3"/>
  <c r="S18" i="35"/>
  <c r="AA18" i="35"/>
  <c r="AB28" i="71"/>
  <c r="AB32" i="71"/>
  <c r="AB26" i="71"/>
  <c r="AB27" i="71"/>
  <c r="BA216" i="3"/>
  <c r="BA218" i="3"/>
  <c r="AZ218" i="3" s="1"/>
  <c r="BL229" i="3"/>
  <c r="BL231" i="3"/>
  <c r="BL233" i="3"/>
  <c r="BL235" i="3"/>
  <c r="BL236" i="3"/>
  <c r="AZ236" i="3" s="1"/>
  <c r="BL238" i="3"/>
  <c r="BL243" i="3"/>
  <c r="AZ243" i="3" s="1"/>
  <c r="BL247" i="3"/>
  <c r="BL249" i="3"/>
  <c r="BL251" i="3"/>
  <c r="BL260" i="3"/>
  <c r="BL263" i="3"/>
  <c r="AZ263" i="3" s="1"/>
  <c r="BL270" i="3"/>
  <c r="AZ270" i="3" s="1"/>
  <c r="BA272" i="3"/>
  <c r="AZ272" i="3" s="1"/>
  <c r="BL275" i="3"/>
  <c r="BL285" i="3"/>
  <c r="BL287" i="3"/>
  <c r="BL115" i="3"/>
  <c r="AZ115" i="3" s="1"/>
  <c r="BL118" i="3"/>
  <c r="BL157" i="3"/>
  <c r="AZ157" i="3" s="1"/>
  <c r="BL159" i="3"/>
  <c r="AZ159" i="3" s="1"/>
  <c r="BL183" i="3"/>
  <c r="AZ183" i="3" s="1"/>
  <c r="BA192" i="3"/>
  <c r="BL195" i="3"/>
  <c r="AZ195" i="3" s="1"/>
  <c r="BA204" i="3"/>
  <c r="AZ204" i="3" s="1"/>
  <c r="BL19" i="3"/>
  <c r="BA28" i="3"/>
  <c r="AZ28" i="3" s="1"/>
  <c r="BL30" i="3"/>
  <c r="BL31" i="3"/>
  <c r="G34" i="3"/>
  <c r="BA45" i="3"/>
  <c r="AZ45" i="3" s="1"/>
  <c r="BA46" i="3"/>
  <c r="BL47" i="3"/>
  <c r="G50" i="3"/>
  <c r="BA58" i="3"/>
  <c r="BL59" i="3"/>
  <c r="AZ59" i="3" s="1"/>
  <c r="BL60" i="3"/>
  <c r="BA78" i="3"/>
  <c r="AZ78" i="3" s="1"/>
  <c r="BA88" i="3"/>
  <c r="G102" i="3"/>
  <c r="AC25" i="40"/>
  <c r="D56" i="71"/>
  <c r="T56" i="71"/>
  <c r="X28" i="71"/>
  <c r="X31" i="71"/>
  <c r="X25" i="71"/>
  <c r="C63" i="71"/>
  <c r="D62" i="71"/>
  <c r="BL210" i="3"/>
  <c r="BL212" i="3"/>
  <c r="BL214" i="3"/>
  <c r="AZ214" i="3" s="1"/>
  <c r="BL239" i="3"/>
  <c r="BL241" i="3"/>
  <c r="BL244" i="3"/>
  <c r="BL256" i="3"/>
  <c r="BL264" i="3"/>
  <c r="BL266" i="3"/>
  <c r="BL273" i="3"/>
  <c r="BL277" i="3"/>
  <c r="BL282" i="3"/>
  <c r="BA297" i="3"/>
  <c r="AZ297" i="3" s="1"/>
  <c r="BA302" i="3"/>
  <c r="AZ302" i="3" s="1"/>
  <c r="BA130" i="3"/>
  <c r="BA137" i="3"/>
  <c r="AZ137" i="3" s="1"/>
  <c r="BA140" i="3"/>
  <c r="AZ140" i="3" s="1"/>
  <c r="BA150" i="3"/>
  <c r="BL167" i="3"/>
  <c r="AZ167" i="3" s="1"/>
  <c r="BA180" i="3"/>
  <c r="AZ180" i="3" s="1"/>
  <c r="BL182" i="3"/>
  <c r="AZ182" i="3" s="1"/>
  <c r="G183" i="3"/>
  <c r="G195" i="3"/>
  <c r="BA205" i="3"/>
  <c r="BL207" i="3"/>
  <c r="AZ207" i="3" s="1"/>
  <c r="BA27" i="3"/>
  <c r="G33" i="3"/>
  <c r="BA39" i="3"/>
  <c r="AZ39" i="3" s="1"/>
  <c r="BL48" i="3"/>
  <c r="BA65" i="3"/>
  <c r="AZ65" i="3" s="1"/>
  <c r="BA66" i="3"/>
  <c r="BL68" i="3"/>
  <c r="BA77" i="3"/>
  <c r="BA79" i="3"/>
  <c r="AZ79" i="3" s="1"/>
  <c r="BA87" i="3"/>
  <c r="BA98" i="3"/>
  <c r="BL100" i="3"/>
  <c r="BA108" i="3"/>
  <c r="AZ108" i="3" s="1"/>
  <c r="BA110" i="3"/>
  <c r="AZ110" i="3" s="1"/>
  <c r="Y27" i="71"/>
  <c r="Z27" i="71" s="1"/>
  <c r="C30" i="71"/>
  <c r="Y29" i="71"/>
  <c r="Z29" i="71" s="1"/>
  <c r="D50" i="71"/>
  <c r="C51" i="71"/>
  <c r="V72" i="71"/>
  <c r="F71" i="71"/>
  <c r="F70" i="71" s="1"/>
  <c r="BA52" i="3"/>
  <c r="AZ52" i="3" s="1"/>
  <c r="BA53" i="3"/>
  <c r="AZ53" i="3" s="1"/>
  <c r="BA54" i="3"/>
  <c r="BL57" i="3"/>
  <c r="BA82" i="3"/>
  <c r="AZ82" i="3" s="1"/>
  <c r="BL94" i="3"/>
  <c r="AZ94" i="3" s="1"/>
  <c r="BA100" i="3"/>
  <c r="AZ100" i="3" s="1"/>
  <c r="BA102" i="3"/>
  <c r="AZ102" i="3" s="1"/>
  <c r="BL105" i="3"/>
  <c r="AZ105" i="3" s="1"/>
  <c r="BL107" i="3"/>
  <c r="AC21" i="33"/>
  <c r="W18" i="36"/>
  <c r="S18" i="36"/>
  <c r="T60" i="71"/>
  <c r="O66" i="71"/>
  <c r="C87" i="71"/>
  <c r="Y25" i="71"/>
  <c r="Z25" i="71" s="1"/>
  <c r="AB37" i="71"/>
  <c r="B67" i="71"/>
  <c r="S72" i="71"/>
  <c r="V80" i="71"/>
  <c r="BL54" i="3"/>
  <c r="BL55" i="3"/>
  <c r="AZ55" i="3" s="1"/>
  <c r="G57" i="3"/>
  <c r="G58" i="3"/>
  <c r="BA64" i="3"/>
  <c r="AZ64" i="3" s="1"/>
  <c r="BA69" i="3"/>
  <c r="AZ69" i="3" s="1"/>
  <c r="BA74" i="3"/>
  <c r="AZ74" i="3" s="1"/>
  <c r="BA75" i="3"/>
  <c r="G85" i="3"/>
  <c r="BL85" i="3"/>
  <c r="G96" i="3"/>
  <c r="BL97" i="3"/>
  <c r="AZ97" i="3" s="1"/>
  <c r="BL101" i="3"/>
  <c r="BL102" i="3"/>
  <c r="G104" i="3"/>
  <c r="G105" i="3"/>
  <c r="BL106" i="3"/>
  <c r="AZ106" i="3" s="1"/>
  <c r="F3" i="35"/>
  <c r="AC21" i="37"/>
  <c r="W29" i="39"/>
  <c r="X32" i="71"/>
  <c r="F39" i="71"/>
  <c r="F40" i="71" s="1"/>
  <c r="V40" i="71" s="1"/>
  <c r="AA21" i="34"/>
  <c r="S68" i="71"/>
  <c r="S76" i="71"/>
  <c r="AB36" i="71"/>
  <c r="G62" i="3"/>
  <c r="BL62" i="3"/>
  <c r="AZ62" i="3" s="1"/>
  <c r="BL63" i="3"/>
  <c r="AZ63" i="3" s="1"/>
  <c r="G65" i="3"/>
  <c r="BL65" i="3"/>
  <c r="BL66" i="3"/>
  <c r="BL67" i="3"/>
  <c r="G69" i="3"/>
  <c r="G70" i="3"/>
  <c r="BL70" i="3"/>
  <c r="AZ70" i="3" s="1"/>
  <c r="BL71" i="3"/>
  <c r="BL72" i="3"/>
  <c r="AZ72" i="3" s="1"/>
  <c r="G74" i="3"/>
  <c r="G75" i="3"/>
  <c r="BL75" i="3"/>
  <c r="G79" i="3"/>
  <c r="BL81" i="3"/>
  <c r="BL83" i="3"/>
  <c r="BA90" i="3"/>
  <c r="BA111" i="3"/>
  <c r="U21" i="34"/>
  <c r="B57" i="43"/>
  <c r="AA28" i="71"/>
  <c r="AB25" i="71"/>
  <c r="X33" i="71"/>
  <c r="BA89" i="3"/>
  <c r="BA103" i="3"/>
  <c r="AZ103" i="3" s="1"/>
  <c r="BA104" i="3"/>
  <c r="BA106" i="3"/>
  <c r="BL108" i="3"/>
  <c r="BL111" i="3"/>
  <c r="D55" i="71"/>
  <c r="AA3" i="71"/>
  <c r="C27" i="71"/>
  <c r="AA34" i="71"/>
  <c r="AB35" i="71"/>
  <c r="E43" i="71"/>
  <c r="E44" i="71" s="1"/>
  <c r="U44" i="71" s="1"/>
  <c r="B51" i="71"/>
  <c r="B52" i="71" s="1"/>
  <c r="S52" i="71" s="1"/>
  <c r="E23" i="71"/>
  <c r="E22" i="71" s="1"/>
  <c r="E21" i="71" s="1"/>
  <c r="E20" i="71" s="1"/>
  <c r="BL138" i="3"/>
  <c r="BA142" i="3"/>
  <c r="BL149" i="3"/>
  <c r="AZ149" i="3" s="1"/>
  <c r="BL150" i="3"/>
  <c r="G151" i="3"/>
  <c r="BA173" i="3"/>
  <c r="AZ173" i="3" s="1"/>
  <c r="BA174" i="3"/>
  <c r="BL179" i="3"/>
  <c r="AZ179" i="3" s="1"/>
  <c r="G180" i="3"/>
  <c r="BL193" i="3"/>
  <c r="AZ193" i="3" s="1"/>
  <c r="G194" i="3"/>
  <c r="BL194" i="3"/>
  <c r="AZ194" i="3" s="1"/>
  <c r="G199" i="3"/>
  <c r="G21" i="3"/>
  <c r="BL21" i="3"/>
  <c r="AZ21" i="3" s="1"/>
  <c r="G23" i="3"/>
  <c r="BA37" i="3"/>
  <c r="G39" i="3"/>
  <c r="BL39" i="3"/>
  <c r="G43" i="3"/>
  <c r="G44" i="3"/>
  <c r="BA56" i="3"/>
  <c r="AZ56" i="3" s="1"/>
  <c r="BA57" i="3"/>
  <c r="AZ57" i="3" s="1"/>
  <c r="BL58" i="3"/>
  <c r="G60" i="3"/>
  <c r="BA84" i="3"/>
  <c r="AZ84" i="3" s="1"/>
  <c r="BL88" i="3"/>
  <c r="G90" i="3"/>
  <c r="BL90" i="3"/>
  <c r="AZ90" i="3" s="1"/>
  <c r="BL92" i="3"/>
  <c r="BA101" i="3"/>
  <c r="AZ101" i="3" s="1"/>
  <c r="G108" i="3"/>
  <c r="G109" i="3"/>
  <c r="BL112" i="3"/>
  <c r="D66" i="71"/>
  <c r="F31" i="71"/>
  <c r="F32" i="71" s="1"/>
  <c r="V32" i="71" s="1"/>
  <c r="AB31" i="71"/>
  <c r="AA36" i="71"/>
  <c r="B47" i="71"/>
  <c r="B48" i="71" s="1"/>
  <c r="S48" i="71" s="1"/>
  <c r="B88" i="43"/>
  <c r="M85" i="43"/>
  <c r="N85" i="43" s="1"/>
  <c r="J1" i="73"/>
  <c r="BL14" i="3"/>
  <c r="G27" i="6"/>
  <c r="G13" i="3"/>
  <c r="B1" i="82" s="1"/>
  <c r="BA19" i="3"/>
  <c r="AZ19" i="3" s="1"/>
  <c r="BA15" i="3"/>
  <c r="BO5" i="3"/>
  <c r="BL16" i="3"/>
  <c r="AZ16" i="3"/>
  <c r="AP6" i="1"/>
  <c r="C36" i="69" s="1"/>
  <c r="C7" i="36"/>
  <c r="C46" i="36" s="1"/>
  <c r="D46" i="36" s="1"/>
  <c r="E46" i="36" s="1"/>
  <c r="F46" i="36" s="1"/>
  <c r="G46" i="36" s="1"/>
  <c r="H46" i="36" s="1"/>
  <c r="I46" i="36" s="1"/>
  <c r="J51" i="15"/>
  <c r="J53" i="15" s="1"/>
  <c r="L56" i="15" s="1"/>
  <c r="C7" i="40"/>
  <c r="C63" i="40" s="1"/>
  <c r="C7" i="39"/>
  <c r="C67" i="39" s="1"/>
  <c r="C69" i="39" s="1"/>
  <c r="C7" i="34"/>
  <c r="C59" i="34" s="1"/>
  <c r="D59" i="34" s="1"/>
  <c r="E59" i="34" s="1"/>
  <c r="F59" i="34" s="1"/>
  <c r="G59" i="34" s="1"/>
  <c r="H59" i="34" s="1"/>
  <c r="I59" i="34" s="1"/>
  <c r="J59" i="34" s="1"/>
  <c r="K59" i="34" s="1"/>
  <c r="L59" i="34" s="1"/>
  <c r="M59" i="34" s="1"/>
  <c r="N59" i="34" s="1"/>
  <c r="O59" i="34" s="1"/>
  <c r="M47" i="9"/>
  <c r="C7" i="35"/>
  <c r="C48" i="35" s="1"/>
  <c r="D48" i="35" s="1"/>
  <c r="E48" i="35" s="1"/>
  <c r="C7" i="21"/>
  <c r="C58" i="21" s="1"/>
  <c r="D58" i="21" s="1"/>
  <c r="C42" i="1"/>
  <c r="C24" i="12" s="1"/>
  <c r="C18" i="9"/>
  <c r="D18" i="9" s="1"/>
  <c r="B41" i="1"/>
  <c r="F32" i="67" s="1"/>
  <c r="F60" i="67" s="1"/>
  <c r="C40" i="11"/>
  <c r="C21" i="68"/>
  <c r="C40" i="68"/>
  <c r="C40" i="69"/>
  <c r="E19" i="68"/>
  <c r="E19" i="69"/>
  <c r="D22" i="15"/>
  <c r="D23" i="15"/>
  <c r="BA18" i="3"/>
  <c r="AZ18" i="3" s="1"/>
  <c r="BL18" i="3"/>
  <c r="AZ17" i="3"/>
  <c r="H5" i="3"/>
  <c r="BK5" i="3"/>
  <c r="BG5" i="3"/>
  <c r="BE5" i="3"/>
  <c r="BA14" i="3"/>
  <c r="AZ14" i="3" s="1"/>
  <c r="BL15" i="3"/>
  <c r="BN5" i="3"/>
  <c r="G29" i="6" s="1"/>
  <c r="BA13" i="3"/>
  <c r="BC5"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9" i="3"/>
  <c r="AZ456" i="3"/>
  <c r="AZ467" i="3"/>
  <c r="AZ468" i="3"/>
  <c r="AZ470" i="3"/>
  <c r="W35" i="39"/>
  <c r="F27" i="34"/>
  <c r="C21" i="39"/>
  <c r="U9" i="36"/>
  <c r="U14" i="37"/>
  <c r="H12" i="21"/>
  <c r="G526" i="3"/>
  <c r="AZ420"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BA289" i="3"/>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30" i="3"/>
  <c r="BL36" i="3"/>
  <c r="AZ36" i="3" s="1"/>
  <c r="AZ48" i="3"/>
  <c r="G200" i="3"/>
  <c r="G207" i="3"/>
  <c r="BA23" i="3"/>
  <c r="AZ23" i="3" s="1"/>
  <c r="BA24" i="3"/>
  <c r="AZ24" i="3" s="1"/>
  <c r="BL26" i="3"/>
  <c r="AZ26" i="3" s="1"/>
  <c r="BL32" i="3"/>
  <c r="AZ32" i="3" s="1"/>
  <c r="BA34" i="3"/>
  <c r="AZ34" i="3" s="1"/>
  <c r="BA35" i="3"/>
  <c r="BL37" i="3"/>
  <c r="BL42" i="3"/>
  <c r="AZ42" i="3" s="1"/>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O6" i="1"/>
  <c r="T13" i="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I54" i="15"/>
  <c r="I1" i="73"/>
  <c r="B39" i="1" s="1"/>
  <c r="F51" i="67"/>
  <c r="F65" i="67"/>
  <c r="J53" i="67"/>
  <c r="J57" i="67"/>
  <c r="J55" i="67" s="1"/>
  <c r="J58" i="67" s="1"/>
  <c r="Q50" i="67" s="1"/>
  <c r="L56" i="67"/>
  <c r="I54" i="67"/>
  <c r="F51" i="15"/>
  <c r="F66" i="67"/>
  <c r="Q71" i="67"/>
  <c r="C27" i="67"/>
  <c r="F71" i="67"/>
  <c r="C27" i="15"/>
  <c r="N59" i="67"/>
  <c r="L59" i="67"/>
  <c r="L58" i="67"/>
  <c r="M59" i="67"/>
  <c r="B13" i="70"/>
  <c r="M7" i="67"/>
  <c r="J6" i="67" s="1"/>
  <c r="F50" i="67"/>
  <c r="F68" i="67"/>
  <c r="F64" i="67"/>
  <c r="C36" i="68"/>
  <c r="D9" i="69"/>
  <c r="D9" i="68"/>
  <c r="C16" i="67"/>
  <c r="M23" i="15"/>
  <c r="F42" i="15"/>
  <c r="F43" i="15"/>
  <c r="F6" i="15"/>
  <c r="M22" i="15"/>
  <c r="D4" i="73"/>
  <c r="F16" i="15"/>
  <c r="C76" i="15"/>
  <c r="F36" i="15"/>
  <c r="F37" i="15"/>
  <c r="M6" i="15"/>
  <c r="M8" i="15"/>
  <c r="L47" i="15"/>
  <c r="F6" i="67"/>
  <c r="M29" i="15"/>
  <c r="M28" i="15"/>
  <c r="M26" i="15"/>
  <c r="M24" i="15"/>
  <c r="F38" i="15"/>
  <c r="J15" i="15"/>
  <c r="F40" i="15"/>
  <c r="F7" i="15"/>
  <c r="M29" i="67"/>
  <c r="F28" i="67" l="1"/>
  <c r="C28" i="67" s="1"/>
  <c r="F28" i="15"/>
  <c r="C28" i="15" s="1"/>
  <c r="F29" i="6"/>
  <c r="F30" i="6" s="1"/>
  <c r="F71" i="15"/>
  <c r="M7" i="15"/>
  <c r="J6" i="15" s="1"/>
  <c r="F50" i="15"/>
  <c r="C49" i="15" s="1"/>
  <c r="F64" i="15"/>
  <c r="F66" i="15"/>
  <c r="F68" i="15"/>
  <c r="C6" i="67"/>
  <c r="C32" i="67" s="1"/>
  <c r="Q71" i="15"/>
  <c r="C6" i="15"/>
  <c r="F65" i="15"/>
  <c r="N59" i="15"/>
  <c r="L58" i="15"/>
  <c r="Q60" i="15" s="1"/>
  <c r="M6" i="1"/>
  <c r="Q16" i="1"/>
  <c r="F27" i="69" s="1"/>
  <c r="F45" i="69" s="1"/>
  <c r="H16" i="1"/>
  <c r="E29" i="6"/>
  <c r="K15" i="1" s="1"/>
  <c r="S13" i="33"/>
  <c r="AA13" i="33"/>
  <c r="AZ146" i="3"/>
  <c r="C44" i="71"/>
  <c r="D43" i="71"/>
  <c r="W43" i="39"/>
  <c r="AC43" i="39"/>
  <c r="AZ505" i="3"/>
  <c r="AZ266" i="3"/>
  <c r="C26" i="71"/>
  <c r="D26" i="71" s="1"/>
  <c r="D27" i="71"/>
  <c r="AZ66" i="3"/>
  <c r="AZ130" i="3"/>
  <c r="C64" i="71"/>
  <c r="D63" i="71"/>
  <c r="AZ88" i="3"/>
  <c r="AZ216" i="3"/>
  <c r="AZ254" i="3"/>
  <c r="C36" i="71"/>
  <c r="D35" i="71"/>
  <c r="AZ27" i="3"/>
  <c r="AZ251" i="3"/>
  <c r="AZ121" i="3"/>
  <c r="AZ353" i="3"/>
  <c r="AZ417" i="3"/>
  <c r="AZ484" i="3"/>
  <c r="AZ411" i="3"/>
  <c r="AZ425" i="3"/>
  <c r="AZ403" i="3"/>
  <c r="AZ483" i="3"/>
  <c r="AA13" i="34"/>
  <c r="S13" i="34"/>
  <c r="AA43" i="39"/>
  <c r="S43" i="39"/>
  <c r="AB14" i="40"/>
  <c r="U14" i="40"/>
  <c r="AB31" i="21"/>
  <c r="U31" i="21"/>
  <c r="AZ538" i="3"/>
  <c r="AZ564" i="3"/>
  <c r="G16" i="1"/>
  <c r="F10" i="39" s="1"/>
  <c r="AA10" i="39" s="1"/>
  <c r="AZ96" i="3"/>
  <c r="AZ112" i="3"/>
  <c r="AZ142" i="3"/>
  <c r="AZ482" i="3"/>
  <c r="AZ317" i="3"/>
  <c r="C52" i="71"/>
  <c r="D51" i="71"/>
  <c r="T40" i="71"/>
  <c r="D40" i="71"/>
  <c r="AZ282" i="3"/>
  <c r="AZ244" i="3"/>
  <c r="AZ459" i="3"/>
  <c r="AZ435" i="3"/>
  <c r="AB38" i="40"/>
  <c r="U38" i="40"/>
  <c r="AB44" i="39"/>
  <c r="U44" i="39"/>
  <c r="AC9" i="36"/>
  <c r="W9" i="36"/>
  <c r="AB39" i="37"/>
  <c r="U39" i="37"/>
  <c r="AA46" i="33"/>
  <c r="S46" i="33"/>
  <c r="S46" i="34"/>
  <c r="AA46" i="34"/>
  <c r="AZ508" i="3"/>
  <c r="AZ540" i="3"/>
  <c r="AZ548" i="3"/>
  <c r="AA44" i="39"/>
  <c r="S44" i="39"/>
  <c r="W13" i="37"/>
  <c r="AC13" i="37"/>
  <c r="U24" i="35"/>
  <c r="AB24" i="35"/>
  <c r="AZ37" i="3"/>
  <c r="AZ292" i="3"/>
  <c r="AZ289" i="3"/>
  <c r="AZ246" i="3"/>
  <c r="AZ481" i="3"/>
  <c r="AZ75" i="3"/>
  <c r="AZ58" i="3"/>
  <c r="AZ277" i="3"/>
  <c r="AZ241" i="3"/>
  <c r="AZ350" i="3"/>
  <c r="AZ227" i="3"/>
  <c r="AZ432" i="3"/>
  <c r="AZ271" i="3"/>
  <c r="AZ233" i="3"/>
  <c r="AZ274" i="3"/>
  <c r="D2" i="82"/>
  <c r="G2" i="82"/>
  <c r="AA38" i="40"/>
  <c r="S38" i="40"/>
  <c r="AZ466" i="3"/>
  <c r="AC39" i="37"/>
  <c r="W39" i="37"/>
  <c r="U46" i="33"/>
  <c r="AB46" i="33"/>
  <c r="AB12" i="34"/>
  <c r="U12" i="34"/>
  <c r="AZ570" i="3"/>
  <c r="AC31" i="21"/>
  <c r="W31" i="21"/>
  <c r="AB43" i="39"/>
  <c r="U43" i="39"/>
  <c r="F15" i="71"/>
  <c r="F14" i="71" s="1"/>
  <c r="F13" i="71" s="1"/>
  <c r="F12" i="71" s="1"/>
  <c r="F11" i="71" s="1"/>
  <c r="F10" i="71" s="1"/>
  <c r="F9" i="71" s="1"/>
  <c r="F8" i="71" s="1"/>
  <c r="F7" i="71" s="1"/>
  <c r="F6" i="71" s="1"/>
  <c r="F5" i="71" s="1"/>
  <c r="M23" i="43"/>
  <c r="AZ35" i="3"/>
  <c r="AZ202" i="3"/>
  <c r="AZ117" i="3"/>
  <c r="AZ150" i="3"/>
  <c r="AZ239" i="3"/>
  <c r="AZ197" i="3"/>
  <c r="AZ144" i="3"/>
  <c r="AZ418" i="3"/>
  <c r="AC9" i="34"/>
  <c r="W9" i="34"/>
  <c r="AZ510" i="3"/>
  <c r="AA31" i="21"/>
  <c r="S31" i="21"/>
  <c r="D3" i="82"/>
  <c r="G3" i="82"/>
  <c r="AB46" i="34"/>
  <c r="U46" i="34"/>
  <c r="D1" i="82"/>
  <c r="B4" i="82"/>
  <c r="AZ111" i="3"/>
  <c r="B66" i="71"/>
  <c r="N67" i="71"/>
  <c r="C31" i="71"/>
  <c r="D30" i="71"/>
  <c r="AZ77" i="3"/>
  <c r="AZ421" i="3"/>
  <c r="AZ283" i="3"/>
  <c r="AZ405" i="3"/>
  <c r="AB9" i="34"/>
  <c r="U9" i="34"/>
  <c r="W12" i="34"/>
  <c r="AC12" i="34"/>
  <c r="AZ577" i="3"/>
  <c r="C86" i="71"/>
  <c r="D86" i="71" s="1"/>
  <c r="D87" i="71"/>
  <c r="U45" i="34"/>
  <c r="AB45" i="34"/>
  <c r="AZ81" i="3"/>
  <c r="W45" i="34"/>
  <c r="AC45" i="34"/>
  <c r="B20" i="31"/>
  <c r="B21" i="31" s="1"/>
  <c r="AZ113" i="3"/>
  <c r="E11" i="6"/>
  <c r="E60" i="39" s="1"/>
  <c r="AZ205" i="3"/>
  <c r="AZ67" i="3"/>
  <c r="AZ273" i="3"/>
  <c r="AZ71" i="3"/>
  <c r="AZ223" i="3"/>
  <c r="AZ368" i="3"/>
  <c r="AZ238" i="3"/>
  <c r="AZ404" i="3"/>
  <c r="AZ448" i="3"/>
  <c r="AA14" i="40"/>
  <c r="S14" i="40"/>
  <c r="W13" i="33"/>
  <c r="AC13" i="33"/>
  <c r="AZ503" i="3"/>
  <c r="AZ526" i="3"/>
  <c r="D121" i="9"/>
  <c r="D7" i="52" s="1"/>
  <c r="D6" i="52"/>
  <c r="E13" i="6"/>
  <c r="AZ15" i="3"/>
  <c r="AZ5" i="3" s="1"/>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AC7" i="37" s="1"/>
  <c r="L59" i="15"/>
  <c r="Q74" i="15" s="1"/>
  <c r="J57" i="15"/>
  <c r="J55" i="15" s="1"/>
  <c r="J58" i="15" s="1"/>
  <c r="Q50" i="15" s="1"/>
  <c r="M59" i="15"/>
  <c r="D67" i="39"/>
  <c r="D69" i="39" s="1"/>
  <c r="F48" i="9"/>
  <c r="O52" i="9" s="1"/>
  <c r="F30" i="11"/>
  <c r="F30" i="69"/>
  <c r="F54" i="9"/>
  <c r="F31" i="12"/>
  <c r="C31" i="12" s="1"/>
  <c r="F32" i="15"/>
  <c r="F60" i="15" s="1"/>
  <c r="F30" i="68"/>
  <c r="M18" i="67"/>
  <c r="J18" i="67" s="1"/>
  <c r="D68" i="9"/>
  <c r="F52" i="9"/>
  <c r="M18" i="15"/>
  <c r="G30" i="6"/>
  <c r="G31" i="6" s="1"/>
  <c r="E14" i="6"/>
  <c r="E59" i="40" s="1"/>
  <c r="P6" i="1"/>
  <c r="C13" i="12" s="1"/>
  <c r="E28" i="6"/>
  <c r="K14" i="1" s="1"/>
  <c r="K16" i="1" s="1"/>
  <c r="E12" i="6"/>
  <c r="E57" i="40" s="1"/>
  <c r="K1" i="73"/>
  <c r="E86" i="3"/>
  <c r="E543" i="3"/>
  <c r="AH6" i="3"/>
  <c r="E209" i="3"/>
  <c r="E374" i="3"/>
  <c r="E259" i="3"/>
  <c r="E537" i="3"/>
  <c r="E145" i="3"/>
  <c r="E546" i="3"/>
  <c r="E321" i="3"/>
  <c r="E254" i="3"/>
  <c r="E353" i="3"/>
  <c r="E32" i="3"/>
  <c r="AG6" i="3"/>
  <c r="E88" i="3"/>
  <c r="E553" i="3"/>
  <c r="E358" i="3"/>
  <c r="E550" i="3"/>
  <c r="E61" i="3"/>
  <c r="E253" i="3"/>
  <c r="E562" i="3"/>
  <c r="E31" i="3"/>
  <c r="E567" i="3"/>
  <c r="E414" i="3"/>
  <c r="E162" i="3"/>
  <c r="E186" i="3"/>
  <c r="E441" i="3"/>
  <c r="E305" i="3"/>
  <c r="E143" i="3"/>
  <c r="AR6" i="3"/>
  <c r="E231" i="3"/>
  <c r="E261" i="3"/>
  <c r="E180" i="3"/>
  <c r="E301" i="3"/>
  <c r="E347" i="3"/>
  <c r="E77" i="3"/>
  <c r="E277" i="3"/>
  <c r="E133" i="3"/>
  <c r="E406" i="3"/>
  <c r="E468" i="3"/>
  <c r="E454" i="3"/>
  <c r="E171" i="3"/>
  <c r="E362" i="3"/>
  <c r="E368" i="3"/>
  <c r="E327" i="3"/>
  <c r="AO6" i="3"/>
  <c r="E345" i="3"/>
  <c r="E489" i="3"/>
  <c r="E182" i="3"/>
  <c r="E377" i="3"/>
  <c r="E572" i="3"/>
  <c r="E268" i="3"/>
  <c r="E322" i="3"/>
  <c r="E579" i="3"/>
  <c r="E311" i="3"/>
  <c r="E514" i="3"/>
  <c r="M6" i="3"/>
  <c r="E387" i="3"/>
  <c r="E69" i="3"/>
  <c r="E563" i="3"/>
  <c r="E172" i="3"/>
  <c r="E135" i="3"/>
  <c r="E263" i="3"/>
  <c r="AI6" i="3"/>
  <c r="E100" i="3"/>
  <c r="E200" i="3"/>
  <c r="E132" i="3"/>
  <c r="E296" i="3"/>
  <c r="AA26" i="37"/>
  <c r="S26" i="37"/>
  <c r="BA5" i="3"/>
  <c r="E27" i="6" s="1"/>
  <c r="K26" i="6" s="1"/>
  <c r="M26" i="6" s="1"/>
  <c r="I26" i="6" s="1"/>
  <c r="S26" i="6" s="1"/>
  <c r="C19" i="71"/>
  <c r="T20" i="71"/>
  <c r="D20" i="71"/>
  <c r="U20" i="71" s="1"/>
  <c r="E240" i="3"/>
  <c r="E219" i="3"/>
  <c r="W40" i="40"/>
  <c r="AC40" i="40"/>
  <c r="AC12" i="21"/>
  <c r="W12" i="21"/>
  <c r="AB12" i="21"/>
  <c r="U12" i="21"/>
  <c r="AA27" i="34"/>
  <c r="S27" i="34"/>
  <c r="AC26" i="37"/>
  <c r="W26" i="37"/>
  <c r="BL5" i="3"/>
  <c r="B15" i="71"/>
  <c r="B14" i="71" s="1"/>
  <c r="B13" i="71" s="1"/>
  <c r="B12" i="71" s="1"/>
  <c r="S16" i="71"/>
  <c r="F7" i="36"/>
  <c r="S7" i="36" s="1"/>
  <c r="H7" i="36"/>
  <c r="U7" i="36" s="1"/>
  <c r="E94" i="3"/>
  <c r="E131" i="3"/>
  <c r="E118" i="3"/>
  <c r="E369" i="3"/>
  <c r="AA9" i="36"/>
  <c r="S9" i="36"/>
  <c r="AA34" i="35"/>
  <c r="S34" i="35"/>
  <c r="E15" i="71"/>
  <c r="E14" i="71" s="1"/>
  <c r="E13" i="71" s="1"/>
  <c r="E12" i="71" s="1"/>
  <c r="V16" i="71"/>
  <c r="E139"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D5" i="43"/>
  <c r="F10" i="40"/>
  <c r="S10" i="40" s="1"/>
  <c r="J10" i="39"/>
  <c r="W10" i="39" s="1"/>
  <c r="C7" i="43"/>
  <c r="C5" i="43" s="1"/>
  <c r="D10" i="52"/>
  <c r="D125" i="9"/>
  <c r="D11" i="52" s="1"/>
  <c r="B7" i="74"/>
  <c r="C7" i="74" s="1"/>
  <c r="F59" i="67"/>
  <c r="H7" i="37"/>
  <c r="AB7" i="37" s="1"/>
  <c r="T42" i="37" s="1"/>
  <c r="G42" i="37" s="1"/>
  <c r="S10" i="39"/>
  <c r="H7" i="33"/>
  <c r="J7" i="33"/>
  <c r="D65" i="40"/>
  <c r="E63" i="40"/>
  <c r="F48" i="35"/>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1" i="67"/>
  <c r="Q74" i="67"/>
  <c r="AE11" i="1"/>
  <c r="AE9" i="1"/>
  <c r="AE7" i="1"/>
  <c r="AE8" i="1"/>
  <c r="AE12" i="1"/>
  <c r="AE10" i="1"/>
  <c r="F41" i="67"/>
  <c r="AE6" i="1"/>
  <c r="D7" i="73"/>
  <c r="D3" i="73"/>
  <c r="D6" i="73"/>
  <c r="D5" i="73"/>
  <c r="G1" i="73" s="1"/>
  <c r="W7" i="37" l="1"/>
  <c r="AB7" i="36"/>
  <c r="T36" i="36" s="1"/>
  <c r="G36" i="36" s="1"/>
  <c r="C32" i="15"/>
  <c r="H10" i="39"/>
  <c r="U10" i="39" s="1"/>
  <c r="J10" i="40"/>
  <c r="AC10" i="40" s="1"/>
  <c r="H10" i="40"/>
  <c r="AB10" i="40" s="1"/>
  <c r="J5" i="15"/>
  <c r="J24" i="15" s="1"/>
  <c r="J18" i="15"/>
  <c r="Q73" i="15"/>
  <c r="F27" i="68"/>
  <c r="C47" i="68" s="1"/>
  <c r="D45" i="68" s="1"/>
  <c r="M14" i="1"/>
  <c r="M16" i="1" s="1"/>
  <c r="E119" i="3"/>
  <c r="E161" i="3"/>
  <c r="E570" i="3"/>
  <c r="E526" i="3"/>
  <c r="E400" i="3"/>
  <c r="E106" i="3"/>
  <c r="AK6" i="3"/>
  <c r="E185" i="3"/>
  <c r="E210" i="3"/>
  <c r="E111" i="3"/>
  <c r="E130" i="3"/>
  <c r="I6" i="3"/>
  <c r="E17" i="3"/>
  <c r="E475" i="3"/>
  <c r="E297" i="3"/>
  <c r="E13" i="3"/>
  <c r="E458" i="3"/>
  <c r="E396" i="3"/>
  <c r="E55" i="3"/>
  <c r="E418" i="3"/>
  <c r="E532" i="3"/>
  <c r="E552" i="3"/>
  <c r="E18" i="3"/>
  <c r="F27" i="11"/>
  <c r="C29" i="11" s="1"/>
  <c r="D27" i="11" s="1"/>
  <c r="E142" i="3"/>
  <c r="E385" i="3"/>
  <c r="E278" i="3"/>
  <c r="E431" i="3"/>
  <c r="E211" i="3"/>
  <c r="E204" i="3"/>
  <c r="E465" i="3"/>
  <c r="E586" i="3"/>
  <c r="E533" i="3"/>
  <c r="E477" i="3"/>
  <c r="E193" i="3"/>
  <c r="E282" i="3"/>
  <c r="Q6" i="3"/>
  <c r="O6" i="3"/>
  <c r="E157" i="3"/>
  <c r="E218" i="3"/>
  <c r="E330" i="3"/>
  <c r="E29" i="3"/>
  <c r="E98" i="3"/>
  <c r="E392" i="3"/>
  <c r="C47" i="69"/>
  <c r="D45" i="69" s="1"/>
  <c r="E242" i="3"/>
  <c r="E423" i="3"/>
  <c r="E215" i="3"/>
  <c r="AJ6" i="3"/>
  <c r="E70" i="3"/>
  <c r="E74" i="3"/>
  <c r="K6" i="3"/>
  <c r="E134" i="3"/>
  <c r="E508" i="3"/>
  <c r="E269" i="3"/>
  <c r="E583" i="3"/>
  <c r="E166" i="3"/>
  <c r="E156" i="3"/>
  <c r="E317" i="3"/>
  <c r="E459" i="3"/>
  <c r="E498" i="3"/>
  <c r="E148" i="3"/>
  <c r="E191" i="3"/>
  <c r="E189" i="3"/>
  <c r="E201" i="3"/>
  <c r="E109" i="3"/>
  <c r="E531" i="3"/>
  <c r="E227" i="3"/>
  <c r="E577" i="3"/>
  <c r="E545" i="3"/>
  <c r="E361" i="3"/>
  <c r="E410" i="3"/>
  <c r="E447" i="3"/>
  <c r="E433" i="3"/>
  <c r="E290" i="3"/>
  <c r="E125" i="3"/>
  <c r="E496" i="3"/>
  <c r="E298" i="3"/>
  <c r="E403" i="3"/>
  <c r="E82" i="3"/>
  <c r="E464" i="3"/>
  <c r="E50" i="3"/>
  <c r="E427" i="3"/>
  <c r="E174" i="3"/>
  <c r="E207" i="3"/>
  <c r="E87" i="3"/>
  <c r="E138" i="3"/>
  <c r="E170" i="3"/>
  <c r="E83" i="3"/>
  <c r="E249" i="3"/>
  <c r="E487" i="3"/>
  <c r="E483" i="3"/>
  <c r="X6" i="3"/>
  <c r="E445" i="3"/>
  <c r="AB6" i="3"/>
  <c r="E509" i="3"/>
  <c r="E273" i="3"/>
  <c r="E485" i="3"/>
  <c r="E214" i="3"/>
  <c r="E560" i="3"/>
  <c r="E495" i="3"/>
  <c r="E216" i="3"/>
  <c r="E530" i="3"/>
  <c r="E585" i="3"/>
  <c r="E519" i="3"/>
  <c r="E320" i="3"/>
  <c r="P6" i="3"/>
  <c r="E120" i="3"/>
  <c r="E359" i="3"/>
  <c r="E168" i="3"/>
  <c r="E195" i="3"/>
  <c r="E244" i="3"/>
  <c r="E38" i="3"/>
  <c r="E78" i="3"/>
  <c r="E90" i="3"/>
  <c r="E15" i="3"/>
  <c r="E428" i="3"/>
  <c r="E460" i="3"/>
  <c r="E346" i="3"/>
  <c r="E26" i="3"/>
  <c r="E568" i="3"/>
  <c r="E91" i="3"/>
  <c r="E439" i="3"/>
  <c r="E343" i="3"/>
  <c r="E505" i="3"/>
  <c r="E351" i="3"/>
  <c r="E99" i="3"/>
  <c r="E230" i="3"/>
  <c r="E295" i="3"/>
  <c r="E394" i="3"/>
  <c r="AA6" i="3"/>
  <c r="E285" i="3"/>
  <c r="E432" i="3"/>
  <c r="E313" i="3"/>
  <c r="E462" i="3"/>
  <c r="E57" i="3"/>
  <c r="E176" i="3"/>
  <c r="E333" i="3"/>
  <c r="E393" i="3"/>
  <c r="E420" i="3"/>
  <c r="E310" i="3"/>
  <c r="E51" i="3"/>
  <c r="E112" i="3"/>
  <c r="E202" i="3"/>
  <c r="E326" i="3"/>
  <c r="E405" i="3"/>
  <c r="E539" i="3"/>
  <c r="E399" i="3"/>
  <c r="E183" i="3"/>
  <c r="E270" i="3"/>
  <c r="E331" i="3"/>
  <c r="E478" i="3"/>
  <c r="E450" i="3"/>
  <c r="E293" i="3"/>
  <c r="E151" i="3"/>
  <c r="E443" i="3"/>
  <c r="AE6" i="3"/>
  <c r="E221" i="3"/>
  <c r="E53" i="3"/>
  <c r="E93" i="3"/>
  <c r="E127" i="3"/>
  <c r="E375" i="3"/>
  <c r="E24" i="3"/>
  <c r="E52" i="3"/>
  <c r="E401" i="3"/>
  <c r="E370" i="3"/>
  <c r="T6" i="3"/>
  <c r="E220" i="3"/>
  <c r="E140" i="3"/>
  <c r="E378" i="3"/>
  <c r="E248"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38" i="3"/>
  <c r="E574" i="3"/>
  <c r="AM6" i="3"/>
  <c r="E547" i="3"/>
  <c r="E397" i="3"/>
  <c r="E471" i="3"/>
  <c r="E224" i="3"/>
  <c r="E307" i="3"/>
  <c r="E488" i="3"/>
  <c r="E39" i="3"/>
  <c r="E582" i="3"/>
  <c r="E446" i="3"/>
  <c r="E250" i="3"/>
  <c r="E398" i="3"/>
  <c r="E62" i="3"/>
  <c r="AQ6" i="3"/>
  <c r="E455" i="3"/>
  <c r="E276" i="3"/>
  <c r="J6" i="3"/>
  <c r="E493" i="3"/>
  <c r="E158" i="3"/>
  <c r="E412" i="3"/>
  <c r="E452" i="3"/>
  <c r="E534" i="3"/>
  <c r="E129" i="3"/>
  <c r="E389" i="3"/>
  <c r="E538" i="3"/>
  <c r="E555" i="3"/>
  <c r="E44" i="3"/>
  <c r="E476" i="3"/>
  <c r="E107" i="3"/>
  <c r="E279" i="3"/>
  <c r="E457" i="3"/>
  <c r="E511" i="3"/>
  <c r="E518" i="3"/>
  <c r="E260" i="3"/>
  <c r="E407" i="3"/>
  <c r="E569" i="3"/>
  <c r="E480" i="3"/>
  <c r="E404" i="3"/>
  <c r="E576" i="3"/>
  <c r="E274" i="3"/>
  <c r="E344" i="3"/>
  <c r="E262" i="3"/>
  <c r="AN6" i="3"/>
  <c r="E213" i="3"/>
  <c r="E506" i="3"/>
  <c r="E328" i="3"/>
  <c r="E272" i="3"/>
  <c r="E548" i="3"/>
  <c r="E14" i="3"/>
  <c r="W6" i="3"/>
  <c r="E306" i="3"/>
  <c r="E504" i="3"/>
  <c r="AD6" i="3"/>
  <c r="E373" i="3"/>
  <c r="E149" i="3"/>
  <c r="E520" i="3"/>
  <c r="E65" i="3"/>
  <c r="E141" i="3"/>
  <c r="E364" i="3"/>
  <c r="E339" i="3"/>
  <c r="E473" i="3"/>
  <c r="E178" i="3"/>
  <c r="E490" i="3"/>
  <c r="E105" i="3"/>
  <c r="E232" i="3"/>
  <c r="E243" i="3"/>
  <c r="E497" i="3"/>
  <c r="E22" i="3"/>
  <c r="AL6" i="3"/>
  <c r="E510" i="3"/>
  <c r="AY6" i="3"/>
  <c r="AY366" i="3" s="1"/>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23" i="3"/>
  <c r="E153" i="3"/>
  <c r="E126" i="3"/>
  <c r="E411" i="3"/>
  <c r="E357" i="3"/>
  <c r="E288" i="3"/>
  <c r="E352" i="3"/>
  <c r="E187" i="3"/>
  <c r="Y6" i="3"/>
  <c r="E341" i="3"/>
  <c r="E19" i="3"/>
  <c r="E500" i="3"/>
  <c r="E521" i="3"/>
  <c r="E101" i="3"/>
  <c r="E340" i="3"/>
  <c r="E299" i="3"/>
  <c r="E43" i="3"/>
  <c r="E108" i="3"/>
  <c r="E440" i="3"/>
  <c r="E223" i="3"/>
  <c r="E49" i="3"/>
  <c r="E225" i="3"/>
  <c r="E360" i="3"/>
  <c r="E287" i="3"/>
  <c r="E391" i="3"/>
  <c r="E85" i="3"/>
  <c r="E382" i="3"/>
  <c r="E415" i="3"/>
  <c r="E551" i="3"/>
  <c r="E239" i="3"/>
  <c r="E334" i="3"/>
  <c r="E581" i="3"/>
  <c r="E252" i="3"/>
  <c r="E203" i="3"/>
  <c r="E481" i="3"/>
  <c r="E434" i="3"/>
  <c r="E303" i="3"/>
  <c r="E304" i="3"/>
  <c r="E390" i="3"/>
  <c r="E501" i="3"/>
  <c r="E92" i="3"/>
  <c r="U6" i="3"/>
  <c r="E257" i="3"/>
  <c r="E438" i="3"/>
  <c r="E136" i="3"/>
  <c r="E167" i="3"/>
  <c r="E66" i="3"/>
  <c r="E584" i="3"/>
  <c r="E284" i="3"/>
  <c r="E421" i="3"/>
  <c r="E58" i="3"/>
  <c r="E524" i="3"/>
  <c r="E147" i="3"/>
  <c r="E234" i="3"/>
  <c r="E60" i="3"/>
  <c r="E40" i="3"/>
  <c r="E422" i="3"/>
  <c r="E188" i="3"/>
  <c r="E342" i="3"/>
  <c r="E115" i="3"/>
  <c r="E408" i="3"/>
  <c r="AF6" i="3"/>
  <c r="E309" i="3"/>
  <c r="E549" i="3"/>
  <c r="E72" i="3"/>
  <c r="E573" i="3"/>
  <c r="E453" i="3"/>
  <c r="E245" i="3"/>
  <c r="E114" i="3"/>
  <c r="E559" i="3"/>
  <c r="N6" i="3"/>
  <c r="E316" i="3"/>
  <c r="E558" i="3"/>
  <c r="E236" i="3"/>
  <c r="E73" i="3"/>
  <c r="E437" i="3"/>
  <c r="E238" i="3"/>
  <c r="E159" i="3"/>
  <c r="E169" i="3"/>
  <c r="E97" i="3"/>
  <c r="E319" i="3"/>
  <c r="E71" i="3"/>
  <c r="E379" i="3"/>
  <c r="E208" i="3"/>
  <c r="E474" i="3"/>
  <c r="E122" i="3"/>
  <c r="E154" i="3"/>
  <c r="E163" i="3"/>
  <c r="E47" i="3"/>
  <c r="E48" i="3"/>
  <c r="E312" i="3"/>
  <c r="E155" i="3"/>
  <c r="E365" i="3"/>
  <c r="E123" i="3"/>
  <c r="E137" i="3"/>
  <c r="L6" i="3"/>
  <c r="E463" i="3"/>
  <c r="E486" i="3"/>
  <c r="E16" i="3"/>
  <c r="E324" i="3"/>
  <c r="E104" i="3"/>
  <c r="E512" i="3"/>
  <c r="E34" i="3"/>
  <c r="E355" i="3"/>
  <c r="C29" i="69"/>
  <c r="D27" i="69" s="1"/>
  <c r="C32" i="71"/>
  <c r="D31" i="71"/>
  <c r="G4" i="82"/>
  <c r="F4" i="82" s="1"/>
  <c r="E266" i="3"/>
  <c r="E323" i="3"/>
  <c r="E110" i="3"/>
  <c r="E222" i="3"/>
  <c r="E348" i="3"/>
  <c r="E165" i="3"/>
  <c r="E20" i="3"/>
  <c r="E36" i="3"/>
  <c r="E194" i="3"/>
  <c r="E540" i="3"/>
  <c r="E226" i="3"/>
  <c r="E419" i="3"/>
  <c r="E507" i="3"/>
  <c r="E116" i="3"/>
  <c r="E80" i="3"/>
  <c r="E190" i="3"/>
  <c r="E41" i="3"/>
  <c r="E556" i="3"/>
  <c r="E197" i="3"/>
  <c r="E522" i="3"/>
  <c r="E283" i="3"/>
  <c r="N65" i="71"/>
  <c r="N66" i="71"/>
  <c r="D36" i="71"/>
  <c r="T36" i="71"/>
  <c r="T44" i="71"/>
  <c r="D44" i="71"/>
  <c r="D4" i="82"/>
  <c r="C4" i="82" s="1"/>
  <c r="F28" i="12"/>
  <c r="C29" i="12" s="1"/>
  <c r="D28" i="12" s="1"/>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469" i="3"/>
  <c r="E102" i="3"/>
  <c r="E75" i="3"/>
  <c r="E484" i="3"/>
  <c r="T52" i="71"/>
  <c r="D52" i="71"/>
  <c r="T64" i="71"/>
  <c r="D64" i="71"/>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AC6" i="3" s="1"/>
  <c r="E430" i="3"/>
  <c r="E575" i="3"/>
  <c r="E192" i="3"/>
  <c r="E56" i="3"/>
  <c r="E435" i="3"/>
  <c r="I3" i="6"/>
  <c r="E541" i="3"/>
  <c r="E286" i="3"/>
  <c r="Q61" i="15"/>
  <c r="R6" i="3"/>
  <c r="E199" i="3"/>
  <c r="E466" i="3"/>
  <c r="E499" i="3"/>
  <c r="E212" i="3"/>
  <c r="F67" i="39"/>
  <c r="G67" i="39" s="1"/>
  <c r="AA7" i="36"/>
  <c r="R36" i="36" s="1"/>
  <c r="R37" i="36" s="1"/>
  <c r="Y6" i="1"/>
  <c r="E63" i="39"/>
  <c r="F48" i="68"/>
  <c r="C48" i="68"/>
  <c r="C30" i="68"/>
  <c r="F48" i="69"/>
  <c r="C48" i="69"/>
  <c r="C30" i="69"/>
  <c r="C48" i="11"/>
  <c r="C30" i="11"/>
  <c r="E16" i="6"/>
  <c r="E3" i="6"/>
  <c r="D3" i="21" s="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K21" i="6"/>
  <c r="S8" i="1" s="1"/>
  <c r="E8" i="70" s="1"/>
  <c r="K25" i="6"/>
  <c r="K20" i="6"/>
  <c r="K23" i="6"/>
  <c r="K22" i="6"/>
  <c r="E31" i="6"/>
  <c r="K24" i="6"/>
  <c r="K19" i="6"/>
  <c r="S6" i="1" s="1"/>
  <c r="O14" i="1"/>
  <c r="O16" i="1" s="1"/>
  <c r="AY236" i="3"/>
  <c r="AY428" i="3"/>
  <c r="AY401" i="3"/>
  <c r="AY76" i="3"/>
  <c r="AY125" i="3"/>
  <c r="AY374" i="3"/>
  <c r="AY145" i="3"/>
  <c r="AY316" i="3"/>
  <c r="AY585" i="3"/>
  <c r="AY75" i="3"/>
  <c r="AY404" i="3"/>
  <c r="AY126" i="3"/>
  <c r="AY150" i="3"/>
  <c r="AY525" i="3"/>
  <c r="AY191" i="3"/>
  <c r="AY343" i="3"/>
  <c r="AY193" i="3"/>
  <c r="AY88" i="3"/>
  <c r="AY483" i="3"/>
  <c r="AY543" i="3"/>
  <c r="AY189" i="3"/>
  <c r="AY345" i="3"/>
  <c r="AY442" i="3"/>
  <c r="AY565" i="3"/>
  <c r="AY46" i="3"/>
  <c r="AY221" i="3"/>
  <c r="AY517" i="3"/>
  <c r="AY179" i="3"/>
  <c r="AY354" i="3"/>
  <c r="AY511" i="3"/>
  <c r="AY321" i="3"/>
  <c r="AY548" i="3"/>
  <c r="AY347" i="3"/>
  <c r="AY136" i="3"/>
  <c r="AY567" i="3"/>
  <c r="AY479" i="3"/>
  <c r="AY79" i="3"/>
  <c r="AY451" i="3"/>
  <c r="AY240" i="3"/>
  <c r="AA10" i="40"/>
  <c r="U10" i="40"/>
  <c r="AC10" i="39"/>
  <c r="U7" i="37"/>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16" i="15"/>
  <c r="M27" i="15"/>
  <c r="F41" i="15"/>
  <c r="M27" i="67"/>
  <c r="F13" i="15"/>
  <c r="W10" i="40" l="1"/>
  <c r="G54" i="34"/>
  <c r="H54" i="34" s="1"/>
  <c r="AB10" i="39"/>
  <c r="F45" i="68"/>
  <c r="C29" i="68"/>
  <c r="D27" i="68" s="1"/>
  <c r="AY521" i="3"/>
  <c r="AY71" i="3"/>
  <c r="AY301" i="3"/>
  <c r="AY538" i="3"/>
  <c r="AY250" i="3"/>
  <c r="AY474" i="3"/>
  <c r="AY528" i="3"/>
  <c r="AY203" i="3"/>
  <c r="AY431" i="3"/>
  <c r="AY122" i="3"/>
  <c r="AY416" i="3"/>
  <c r="AY273" i="3"/>
  <c r="AY91" i="3"/>
  <c r="AY469" i="3"/>
  <c r="AY127" i="3"/>
  <c r="BA6" i="3"/>
  <c r="AY579" i="3"/>
  <c r="AY312" i="3"/>
  <c r="AY251" i="3"/>
  <c r="AY96" i="3"/>
  <c r="AY580" i="3"/>
  <c r="AY275" i="3"/>
  <c r="AY270" i="3"/>
  <c r="AY539" i="3"/>
  <c r="AY455" i="3"/>
  <c r="AY556" i="3"/>
  <c r="AY340" i="3"/>
  <c r="AY389" i="3"/>
  <c r="AY53" i="3"/>
  <c r="AY199" i="3"/>
  <c r="BG6" i="3"/>
  <c r="AY430" i="3"/>
  <c r="AY388" i="3"/>
  <c r="AY73" i="3"/>
  <c r="AY262" i="3"/>
  <c r="AY185" i="3"/>
  <c r="BE6" i="3"/>
  <c r="AY395" i="3"/>
  <c r="AY123" i="3"/>
  <c r="AY124" i="3"/>
  <c r="AY107" i="3"/>
  <c r="AY505" i="3"/>
  <c r="AY375" i="3"/>
  <c r="AY30" i="3"/>
  <c r="AY205" i="3"/>
  <c r="AY277" i="3"/>
  <c r="AY314" i="3"/>
  <c r="AY570" i="3"/>
  <c r="AY328" i="3"/>
  <c r="AY519" i="3"/>
  <c r="AY121" i="3"/>
  <c r="AY557" i="3"/>
  <c r="AY559" i="3"/>
  <c r="AY254" i="3"/>
  <c r="AY444" i="3"/>
  <c r="AY457" i="3"/>
  <c r="AY263" i="3"/>
  <c r="AY139" i="3"/>
  <c r="AY208" i="3"/>
  <c r="AY119" i="3"/>
  <c r="AY156" i="3"/>
  <c r="AY423" i="3"/>
  <c r="AY313" i="3"/>
  <c r="AY137" i="3"/>
  <c r="AY582" i="3"/>
  <c r="AY161" i="3"/>
  <c r="AY134" i="3"/>
  <c r="AY417" i="3"/>
  <c r="AY147" i="3"/>
  <c r="AY518" i="3"/>
  <c r="AY226" i="3"/>
  <c r="AY239" i="3"/>
  <c r="BO6" i="3"/>
  <c r="AY486" i="3"/>
  <c r="AY571" i="3"/>
  <c r="AY472" i="3"/>
  <c r="AY259" i="3"/>
  <c r="BH6" i="3"/>
  <c r="AY278" i="3"/>
  <c r="AY33" i="3"/>
  <c r="AY544" i="3"/>
  <c r="AY300" i="3"/>
  <c r="AY67" i="3"/>
  <c r="AY51" i="3"/>
  <c r="AY477" i="3"/>
  <c r="AY151" i="3"/>
  <c r="AY113" i="3"/>
  <c r="AY13" i="3"/>
  <c r="AY418" i="3"/>
  <c r="AY490" i="3"/>
  <c r="AY587" i="3"/>
  <c r="AY167" i="3"/>
  <c r="AY407" i="3"/>
  <c r="AY282" i="3"/>
  <c r="AY406" i="3"/>
  <c r="AY291" i="3"/>
  <c r="AY220" i="3"/>
  <c r="AY393" i="3"/>
  <c r="AY555" i="3"/>
  <c r="AY546" i="3"/>
  <c r="AY274" i="3"/>
  <c r="BJ6" i="3"/>
  <c r="AY206" i="3"/>
  <c r="AY569" i="3"/>
  <c r="AY245" i="3"/>
  <c r="AY207" i="3"/>
  <c r="AY307" i="3"/>
  <c r="AY568" i="3"/>
  <c r="AY19" i="3"/>
  <c r="AY434" i="3"/>
  <c r="AY153" i="3"/>
  <c r="AY421" i="3"/>
  <c r="AY110" i="3"/>
  <c r="AY492" i="3"/>
  <c r="AY32" i="3"/>
  <c r="AY306" i="3"/>
  <c r="AY512" i="3"/>
  <c r="AY362" i="3"/>
  <c r="BR6" i="3"/>
  <c r="AY438" i="3"/>
  <c r="AY386" i="3"/>
  <c r="AY408" i="3"/>
  <c r="AY62" i="3"/>
  <c r="AY445" i="3"/>
  <c r="AY174" i="3"/>
  <c r="AY288" i="3"/>
  <c r="AY330" i="3"/>
  <c r="AY563" i="3"/>
  <c r="AY304" i="3"/>
  <c r="AY498" i="3"/>
  <c r="AY323" i="3"/>
  <c r="AY148" i="3"/>
  <c r="AY560" i="3"/>
  <c r="AY376" i="3"/>
  <c r="AY187" i="3"/>
  <c r="AY509" i="3"/>
  <c r="AY426" i="3"/>
  <c r="AY329" i="3"/>
  <c r="AY169" i="3"/>
  <c r="AY514" i="3"/>
  <c r="AY480" i="3"/>
  <c r="AY72" i="3"/>
  <c r="AY162" i="3"/>
  <c r="AY326" i="3"/>
  <c r="AY132" i="3"/>
  <c r="AY516" i="3"/>
  <c r="AY130" i="3"/>
  <c r="AY117" i="3"/>
  <c r="AY535" i="3"/>
  <c r="AY237" i="3"/>
  <c r="AY561" i="3"/>
  <c r="AY491" i="3"/>
  <c r="AY114" i="3"/>
  <c r="AY357" i="3"/>
  <c r="AY299" i="3"/>
  <c r="AY60" i="3"/>
  <c r="AY513" i="3"/>
  <c r="AY10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59" i="3"/>
  <c r="AY58" i="3"/>
  <c r="AY371" i="3"/>
  <c r="AY160" i="3"/>
  <c r="AY284"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U20" i="1" s="1"/>
  <c r="W20" i="1"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83" i="3"/>
  <c r="AY155" i="3"/>
  <c r="AY131" i="3"/>
  <c r="AY268" i="3"/>
  <c r="AY103" i="3"/>
  <c r="AY183" i="3"/>
  <c r="AY319" i="3"/>
  <c r="AY529" i="3"/>
  <c r="AY217" i="3"/>
  <c r="AY463" i="3"/>
  <c r="AY315" i="3"/>
  <c r="AY320" i="3"/>
  <c r="AY175" i="3"/>
  <c r="AY216" i="3"/>
  <c r="AY352" i="3"/>
  <c r="AY367" i="3"/>
  <c r="AY437" i="3"/>
  <c r="AY78" i="3"/>
  <c r="AY453" i="3"/>
  <c r="AY194" i="3"/>
  <c r="AY324" i="3"/>
  <c r="AY52" i="3"/>
  <c r="AY81" i="3"/>
  <c r="AY422" i="3"/>
  <c r="AY57" i="3"/>
  <c r="AY311" i="3"/>
  <c r="AY171" i="3"/>
  <c r="AY581" i="3"/>
  <c r="AY317" i="3"/>
  <c r="AY197" i="3"/>
  <c r="AY392" i="3"/>
  <c r="AY149" i="3"/>
  <c r="AY77" i="3"/>
  <c r="AY452" i="3"/>
  <c r="AY168" i="3"/>
  <c r="BT6" i="3"/>
  <c r="AY164" i="3"/>
  <c r="AY359" i="3"/>
  <c r="AY551" i="3"/>
  <c r="AY305" i="3"/>
  <c r="AY413" i="3"/>
  <c r="AY39" i="3"/>
  <c r="AY233" i="3"/>
  <c r="AY564" i="3"/>
  <c r="AY385" i="3"/>
  <c r="AY550" i="3"/>
  <c r="AY224" i="3"/>
  <c r="AY38" i="3"/>
  <c r="AY424" i="3"/>
  <c r="AY264" i="3"/>
  <c r="AY94" i="3"/>
  <c r="AY14" i="3"/>
  <c r="AY468" i="3"/>
  <c r="AY223" i="3"/>
  <c r="AY37" i="3"/>
  <c r="AY536" i="3"/>
  <c r="AY370" i="3"/>
  <c r="AY373" i="3"/>
  <c r="AY84" i="3"/>
  <c r="AY116" i="3"/>
  <c r="AY112" i="3"/>
  <c r="AY454" i="3"/>
  <c r="AY93" i="3"/>
  <c r="AY182" i="3"/>
  <c r="AY355" i="3"/>
  <c r="AY18" i="3"/>
  <c r="AY411" i="3"/>
  <c r="AY333" i="3"/>
  <c r="AY202" i="3"/>
  <c r="AY219" i="3"/>
  <c r="AY165" i="3"/>
  <c r="AY92" i="3"/>
  <c r="AY342" i="3"/>
  <c r="AY318" i="3"/>
  <c r="AY281" i="3"/>
  <c r="AY257" i="3"/>
  <c r="AY545" i="3"/>
  <c r="AY583" i="3"/>
  <c r="AY575" i="3"/>
  <c r="BC6" i="3"/>
  <c r="AY27" i="3"/>
  <c r="AY232" i="3"/>
  <c r="AY502" i="3"/>
  <c r="AY380" i="3"/>
  <c r="AY552" i="3"/>
  <c r="AY368" i="3"/>
  <c r="AY229" i="3"/>
  <c r="AY178" i="3"/>
  <c r="AY460" i="3"/>
  <c r="AY566" i="3"/>
  <c r="AY200" i="3"/>
  <c r="AY394" i="3"/>
  <c r="AY522" i="3"/>
  <c r="AY396" i="3"/>
  <c r="AY432" i="3"/>
  <c r="AY102" i="3"/>
  <c r="AY296" i="3"/>
  <c r="AY399" i="3"/>
  <c r="AY298" i="3"/>
  <c r="AY429" i="3"/>
  <c r="AY256" i="3"/>
  <c r="AY70" i="3"/>
  <c r="AY466" i="3"/>
  <c r="AY285" i="3"/>
  <c r="AY99" i="3"/>
  <c r="AY499" i="3"/>
  <c r="AY484" i="3"/>
  <c r="AY266" i="3"/>
  <c r="AY65" i="3"/>
  <c r="AY572" i="3"/>
  <c r="AY215" i="3"/>
  <c r="AY238" i="3"/>
  <c r="AY105" i="3"/>
  <c r="AY412" i="3"/>
  <c r="AY496" i="3"/>
  <c r="AY308" i="3"/>
  <c r="AY365" i="3"/>
  <c r="AY68" i="3"/>
  <c r="AY269" i="3"/>
  <c r="AY16" i="3"/>
  <c r="AY414" i="3"/>
  <c r="AY377" i="3"/>
  <c r="AY41" i="3"/>
  <c r="AY246" i="3"/>
  <c r="AY170" i="3"/>
  <c r="AY553" i="3"/>
  <c r="AY327" i="3"/>
  <c r="AY252" i="3"/>
  <c r="AY42" i="3"/>
  <c r="H6" i="3"/>
  <c r="E6" i="3" s="1"/>
  <c r="I46" i="37"/>
  <c r="J46" i="37" s="1"/>
  <c r="E36" i="36"/>
  <c r="T32" i="71"/>
  <c r="D32" i="71"/>
  <c r="E65" i="39"/>
  <c r="D14" i="12"/>
  <c r="D17" i="12" s="1"/>
  <c r="C17" i="12" s="1"/>
  <c r="C89" i="9"/>
  <c r="C87" i="9" s="1"/>
  <c r="E83" i="43"/>
  <c r="B81" i="43" s="1"/>
  <c r="C28" i="43" s="1"/>
  <c r="T11" i="43" s="1"/>
  <c r="V11" i="43" s="1"/>
  <c r="D3" i="37"/>
  <c r="D19" i="11"/>
  <c r="C19" i="11" s="1"/>
  <c r="C20" i="11" s="1"/>
  <c r="C28" i="11" s="1"/>
  <c r="C27" i="11" s="1"/>
  <c r="D37" i="11"/>
  <c r="D3" i="34"/>
  <c r="D3" i="33"/>
  <c r="E6" i="6"/>
  <c r="D10" i="11" s="1"/>
  <c r="C10" i="11" s="1"/>
  <c r="C17" i="4"/>
  <c r="B4" i="52" s="1"/>
  <c r="B43" i="72" s="1"/>
  <c r="M18" i="9"/>
  <c r="B118" i="9" s="1"/>
  <c r="B14" i="74" s="1"/>
  <c r="B1" i="74" s="1"/>
  <c r="F25" i="12"/>
  <c r="C26" i="12" s="1"/>
  <c r="D25" i="12" s="1"/>
  <c r="F24" i="15"/>
  <c r="C24" i="15" s="1"/>
  <c r="F22" i="68"/>
  <c r="F41" i="68" s="1"/>
  <c r="F24" i="67"/>
  <c r="C24" i="67" s="1"/>
  <c r="F22" i="69"/>
  <c r="F41" i="69"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26" i="6"/>
  <c r="D8" i="6"/>
  <c r="C18" i="4"/>
  <c r="D23" i="6"/>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C17" i="15"/>
  <c r="C17" i="67"/>
  <c r="C14" i="67"/>
  <c r="I54" i="34" l="1"/>
  <c r="J54" i="34" s="1"/>
  <c r="E61" i="40"/>
  <c r="D19" i="6"/>
  <c r="M19" i="9" s="1"/>
  <c r="C118" i="9" s="1"/>
  <c r="D13" i="6"/>
  <c r="D29" i="6"/>
  <c r="D24" i="6"/>
  <c r="D11" i="6"/>
  <c r="D10" i="6"/>
  <c r="D16" i="6" s="1"/>
  <c r="D21" i="6"/>
  <c r="R21" i="6" s="1"/>
  <c r="R8" i="1" s="1"/>
  <c r="D28" i="6"/>
  <c r="H21" i="6"/>
  <c r="D20" i="6"/>
  <c r="D1" i="43"/>
  <c r="D12" i="6"/>
  <c r="D9" i="6"/>
  <c r="D22" i="6"/>
  <c r="D5" i="6"/>
  <c r="D14" i="6"/>
  <c r="D15" i="6"/>
  <c r="E53" i="34"/>
  <c r="F53" i="34" s="1"/>
  <c r="H24" i="6"/>
  <c r="D20" i="12"/>
  <c r="C20" i="12" s="1"/>
  <c r="D10" i="68"/>
  <c r="D19"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H25" i="6"/>
  <c r="R25" i="6" s="1"/>
  <c r="R12" i="1" s="1"/>
  <c r="C14" i="74"/>
  <c r="B2" i="74" s="1"/>
  <c r="D7" i="74" s="1"/>
  <c r="C24" i="11"/>
  <c r="C44" i="69"/>
  <c r="D41" i="69" s="1"/>
  <c r="C26" i="69"/>
  <c r="D22" i="69" s="1"/>
  <c r="C23" i="11"/>
  <c r="C25" i="11"/>
  <c r="C26" i="68"/>
  <c r="D22" i="68" s="1"/>
  <c r="C44" i="68"/>
  <c r="D41" i="68" s="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R22" i="6"/>
  <c r="R9" i="1" s="1"/>
  <c r="C15" i="12"/>
  <c r="C12" i="12"/>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2" i="70" l="1"/>
  <c r="C10" i="68"/>
  <c r="B29" i="1" s="1"/>
  <c r="C8" i="68" s="1"/>
  <c r="R24" i="6"/>
  <c r="R11" i="1" s="1"/>
  <c r="D27" i="6"/>
  <c r="D31" i="6"/>
  <c r="E42" i="43"/>
  <c r="G42" i="43"/>
  <c r="I42" i="43" s="1"/>
  <c r="E39" i="43"/>
  <c r="G39" i="43"/>
  <c r="I39" i="43" s="1"/>
  <c r="E38" i="43"/>
  <c r="G38" i="43"/>
  <c r="I38" i="43" s="1"/>
  <c r="E40" i="43"/>
  <c r="G40" i="43"/>
  <c r="I40" i="43" s="1"/>
  <c r="G41" i="43"/>
  <c r="I41" i="43" s="1"/>
  <c r="E41" i="43"/>
  <c r="E37" i="43"/>
  <c r="G37" i="43"/>
  <c r="I37" i="43"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18" i="12" l="1"/>
  <c r="C21" i="12" s="1"/>
  <c r="C22" i="12" s="1"/>
  <c r="C30" i="12" s="1"/>
  <c r="C28" i="12" s="1"/>
  <c r="H26" i="43"/>
  <c r="J26" i="43"/>
  <c r="N94" i="46"/>
  <c r="G26" i="43"/>
  <c r="F26" i="43"/>
  <c r="B116" i="43"/>
  <c r="E26" i="43"/>
  <c r="Z7" i="43"/>
  <c r="N370" i="46"/>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67"/>
  <c r="F35" i="15"/>
  <c r="E48" i="21" l="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6" i="76"/>
  <c r="B2" i="76" l="1"/>
  <c r="B3" i="76" s="1"/>
  <c r="B3" i="43"/>
  <c r="C6" i="68"/>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11" i="1"/>
  <c r="AO7"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D59" i="9"/>
  <c r="M55" i="9" s="1"/>
  <c r="C93" i="9" l="1"/>
  <c r="C86" i="9" s="1"/>
  <c r="D55" i="9"/>
  <c r="M53" i="9" s="1"/>
  <c r="C72" i="9"/>
  <c r="D53" i="9"/>
  <c r="D48" i="9" s="1"/>
  <c r="M52" i="9" s="1"/>
  <c r="C85" i="9"/>
  <c r="C78" i="9"/>
  <c r="C73" i="9" s="1"/>
  <c r="C64" i="9"/>
  <c r="C63" i="9" s="1"/>
  <c r="C67" i="9" s="1"/>
  <c r="C68" i="9" s="1"/>
  <c r="D54" i="9" s="1"/>
  <c r="C5" i="74"/>
  <c r="D122" i="9"/>
  <c r="G14" i="74" s="1"/>
  <c r="B6" i="74" s="1"/>
  <c r="D6" i="74" s="1"/>
  <c r="H108" i="9"/>
  <c r="D15" i="53" s="1"/>
  <c r="B31" i="72" s="1"/>
  <c r="M49" i="9"/>
  <c r="Q54"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C97" i="9" l="1"/>
  <c r="D58" i="9" s="1"/>
  <c r="D56" i="9" s="1"/>
  <c r="M54" i="9" s="1"/>
  <c r="N57" i="9" s="1"/>
  <c r="P57" i="9" s="1"/>
  <c r="C81" i="9"/>
  <c r="M69" i="9"/>
  <c r="N69" i="9" s="1"/>
  <c r="Q61" i="9"/>
  <c r="I14" i="74"/>
  <c r="Q60" i="9"/>
  <c r="N59" i="9" l="1"/>
  <c r="N58" i="9"/>
  <c r="D126" i="9" l="1"/>
  <c r="H111" i="9" s="1"/>
  <c r="D19" i="53" s="1"/>
  <c r="J19" i="9"/>
  <c r="N60" i="9"/>
  <c r="N61" i="9"/>
  <c r="H112" i="9" s="1"/>
  <c r="D21" i="53" s="1"/>
  <c r="B39" i="72" s="1"/>
  <c r="B8" i="74"/>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<sst xmlns="http://schemas.openxmlformats.org/spreadsheetml/2006/main" count="7877" uniqueCount="3468">
  <si>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</si>
  <si>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</si>
  <si>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</si>
  <si>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</si>
  <si>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</si>
  <si>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</si>
  <si>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</si>
  <si>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</si>
  <si>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</si>
  <si>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</si>
  <si>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</si>
  <si>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</si>
  <si>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</si>
  <si>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</si>
  <si>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</si>
  <si>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</si>
  <si>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</si>
  <si>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</si>
  <si>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</si>
  <si>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</si>
  <si>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</si>
  <si>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</si>
  <si>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</si>
  <si>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</si>
  <si>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</si>
  <si>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</si>
  <si>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</si>
  <si>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</si>
  <si>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</si>
  <si>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</si>
  <si>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</si>
  <si>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</si>
  <si>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</si>
  <si>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</si>
  <si>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</si>
  <si>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</si>
  <si>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</si>
  <si>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</si>
  <si>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</si>
  <si>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</si>
  <si>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</si>
  <si>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</si>
  <si>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</si>
  <si>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</si>
  <si>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</si>
  <si>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</si>
  <si>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</si>
  <si>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</si>
  <si>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</si>
  <si>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</si>
  <si>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</si>
  <si>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</si>
  <si>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</si>
  <si>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</si>
  <si>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</si>
  <si>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</si>
  <si>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</si>
  <si>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</si>
  <si>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</si>
  <si>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</si>
  <si>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</si>
  <si>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</si>
  <si>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</si>
  <si>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</si>
  <si>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</si>
  <si>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</si>
  <si>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</si>
  <si>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</si>
  <si>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</si>
  <si>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</si>
  <si>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</si>
  <si>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</si>
  <si>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</si>
  <si>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</si>
  <si>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</si>
  <si>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</si>
  <si>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</si>
  <si>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</si>
  <si>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</si>
  <si>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</si>
  <si>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</si>
  <si>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</si>
  <si>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</si>
  <si>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</si>
  <si>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</si>
  <si>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</si>
  <si>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</si>
  <si>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</si>
  <si>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</si>
  <si>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</si>
  <si>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</si>
  <si>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</si>
  <si>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</si>
  <si>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</si>
  <si>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</si>
  <si>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</si>
  <si>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</si>
  <si>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</si>
  <si>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</si>
  <si>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</si>
  <si>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</si>
  <si>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</si>
  <si>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</si>
  <si>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</si>
  <si>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</si>
  <si>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</si>
  <si>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</si>
  <si>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</si>
  <si>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</si>
  <si>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</si>
  <si>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</si>
  <si>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</si>
  <si>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</si>
  <si>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</si>
  <si>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</si>
  <si>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</si>
  <si>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</si>
  <si>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</si>
  <si>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</si>
  <si>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</si>
  <si>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</si>
  <si>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</si>
  <si>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</si>
  <si>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</si>
  <si>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</si>
  <si>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</si>
  <si>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</si>
  <si>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</si>
  <si>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</si>
  <si>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</si>
  <si>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</si>
  <si>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</si>
  <si>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</si>
  <si>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</si>
  <si>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</si>
  <si>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</si>
  <si>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</si>
  <si>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</si>
  <si>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</si>
  <si>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</si>
  <si>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</si>
  <si>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</si>
  <si>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</si>
  <si>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</si>
  <si>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</si>
  <si>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</si>
  <si>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</si>
  <si>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</si>
  <si>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</si>
  <si>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</si>
  <si>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</si>
  <si>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</si>
  <si>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</si>
  <si>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</si>
  <si>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</si>
  <si>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</si>
  <si>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</si>
  <si>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</si>
  <si>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</si>
  <si>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</si>
  <si>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</si>
  <si>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</si>
  <si>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</si>
  <si>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</si>
  <si>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</si>
  <si>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</si>
  <si>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</si>
  <si>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</si>
  <si>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</si>
  <si>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</si>
  <si>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</si>
  <si>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</si>
  <si>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</si>
  <si>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</si>
  <si>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</si>
  <si>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</si>
  <si>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</si>
  <si>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</si>
  <si>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</si>
  <si>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</si>
  <si>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</si>
  <si>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</si>
  <si>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</si>
  <si>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</si>
  <si>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</si>
  <si>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</si>
  <si>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</si>
  <si>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</si>
  <si>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</si>
  <si>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</si>
  <si>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</si>
  <si>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</si>
  <si>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</si>
  <si>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</si>
  <si>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</si>
  <si>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</si>
  <si>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</si>
  <si>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</si>
  <si>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</si>
  <si>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</si>
  <si>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</si>
  <si>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</si>
  <si>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</si>
  <si>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</si>
  <si>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</si>
  <si>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</si>
  <si>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</si>
  <si>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</si>
  <si>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</si>
  <si>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</si>
  <si>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</si>
  <si>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</si>
  <si>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</si>
  <si>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</si>
  <si>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</si>
  <si>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</si>
  <si>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</si>
  <si>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</si>
  <si>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</si>
  <si>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</si>
  <si>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</si>
  <si>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</si>
  <si>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</si>
  <si>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</si>
  <si>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</si>
  <si>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</si>
  <si>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</si>
  <si>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</si>
  <si>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</si>
  <si>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</si>
  <si>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</si>
  <si>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</si>
  <si>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</si>
  <si>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</si>
  <si>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</si>
  <si>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</si>
  <si>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</si>
  <si>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</si>
  <si>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</si>
  <si>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</si>
  <si>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</si>
  <si>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</si>
  <si>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</si>
  <si>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</si>
  <si>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</si>
  <si>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</si>
  <si>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</si>
  <si>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</si>
  <si>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</si>
  <si>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</si>
  <si>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</si>
  <si>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</si>
  <si>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</si>
  <si>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</si>
  <si>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</si>
  <si>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</si>
  <si>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</si>
  <si>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</si>
  <si>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</si>
  <si>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</si>
  <si>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</si>
  <si>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</si>
  <si>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</si>
  <si>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</si>
  <si>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</si>
  <si>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</si>
  <si>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</si>
  <si>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</si>
  <si>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</si>
  <si>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</si>
  <si>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</si>
  <si>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</si>
  <si>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</si>
  <si>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</si>
  <si>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</si>
  <si>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</si>
  <si>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</si>
  <si>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</si>
  <si>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</si>
  <si>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</si>
  <si>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</si>
  <si>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</si>
  <si>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</si>
  <si>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</si>
  <si>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</si>
  <si>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</si>
  <si>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</si>
  <si>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</si>
  <si>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</si>
  <si>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</si>
  <si>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</si>
  <si>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</si>
  <si>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</si>
  <si>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</si>
  <si>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</si>
  <si>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</si>
  <si>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</si>
  <si>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</si>
  <si>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</si>
  <si>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</si>
  <si>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</si>
  <si>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</si>
  <si>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</si>
  <si>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</si>
  <si>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</si>
  <si>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</si>
  <si>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</si>
  <si>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</si>
  <si>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</si>
  <si>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</si>
  <si>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</si>
  <si>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</si>
  <si>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</si>
  <si>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</si>
  <si>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</si>
  <si>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</si>
  <si>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</si>
  <si>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</si>
  <si>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</si>
  <si>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</si>
  <si>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</si>
  <si>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</si>
  <si>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</si>
  <si>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</si>
  <si>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</si>
  <si>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</si>
  <si>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</si>
  <si>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</si>
  <si>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</si>
  <si>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</si>
  <si>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</si>
  <si>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</si>
  <si>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</si>
  <si>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</si>
  <si>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</si>
  <si>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</si>
  <si>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</si>
  <si>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</si>
  <si>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</si>
  <si>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</si>
  <si>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</si>
  <si>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</si>
  <si>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</si>
  <si>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</si>
  <si>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</si>
  <si>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</si>
  <si>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</si>
  <si>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</si>
  <si>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</si>
  <si>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</si>
  <si>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</si>
  <si>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</si>
  <si>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</si>
  <si>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</si>
  <si>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</si>
  <si>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</si>
  <si>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</si>
  <si>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</si>
  <si>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</si>
  <si>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</si>
  <si>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</si>
  <si>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</si>
  <si>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</si>
  <si>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</si>
  <si>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</si>
  <si>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</si>
  <si>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</si>
  <si>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</si>
  <si>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</si>
  <si>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</si>
  <si>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</si>
  <si>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</si>
  <si>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</si>
  <si>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</si>
  <si>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</si>
  <si>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</si>
  <si>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</si>
  <si>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</si>
  <si>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</si>
  <si>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</si>
  <si>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</si>
  <si>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</si>
  <si>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</si>
  <si>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</si>
  <si>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</si>
  <si>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</si>
  <si>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</si>
  <si>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</si>
  <si>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</si>
  <si>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</si>
  <si>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</si>
  <si>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</si>
  <si>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</si>
  <si>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</si>
  <si>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</si>
  <si>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</si>
  <si>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</si>
  <si>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</si>
  <si>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</si>
  <si>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</si>
  <si>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</si>
  <si>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</si>
  <si>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</si>
  <si>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</si>
  <si>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</si>
  <si>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</si>
  <si>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</si>
  <si>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</si>
  <si>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</si>
  <si>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</si>
  <si>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</si>
  <si>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</si>
  <si>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</si>
  <si>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</si>
  <si>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</si>
  <si>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</si>
  <si>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</si>
  <si>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</si>
  <si>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</si>
  <si>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</si>
  <si>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</si>
  <si>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</si>
  <si>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</si>
  <si>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</si>
  <si>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</si>
  <si>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</si>
  <si>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</si>
  <si>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</si>
  <si>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</si>
  <si>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</si>
  <si>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</si>
  <si>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</si>
  <si>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</si>
  <si>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</si>
  <si>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</si>
  <si>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</si>
  <si>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</si>
  <si>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</si>
  <si>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</si>
  <si>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</si>
  <si>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</si>
  <si>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</si>
  <si>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</si>
  <si>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</si>
  <si>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</si>
  <si>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</si>
  <si>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</si>
  <si>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</si>
  <si>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</si>
  <si>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</si>
  <si>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</si>
  <si>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</si>
  <si>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</si>
  <si>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</si>
  <si>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</si>
  <si>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</si>
  <si>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</si>
  <si>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</si>
  <si>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</si>
  <si>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</si>
  <si>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</si>
  <si>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</si>
  <si>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</si>
  <si>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</si>
  <si>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</si>
  <si>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</si>
  <si>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</si>
  <si>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</si>
  <si>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</si>
  <si>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</si>
  <si>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</si>
  <si>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</si>
  <si>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</si>
  <si>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</si>
  <si>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</si>
  <si>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</si>
  <si>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</si>
  <si>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</si>
  <si>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</si>
  <si>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</si>
  <si>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</si>
  <si>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</si>
  <si>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</si>
  <si>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</si>
  <si>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</si>
  <si>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</si>
  <si>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</si>
  <si>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</si>
  <si>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</si>
  <si>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</si>
  <si>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</si>
  <si>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</si>
  <si>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</si>
  <si>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</si>
  <si>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</si>
  <si>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</si>
  <si>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</si>
  <si>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</si>
  <si>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</si>
  <si>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</si>
  <si>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</si>
  <si>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</si>
  <si>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</si>
  <si>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</si>
  <si>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</si>
  <si>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</si>
  <si>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</si>
  <si>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</si>
  <si>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</si>
  <si>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</si>
  <si>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</si>
  <si>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</si>
  <si>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</si>
  <si>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</si>
  <si>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</si>
  <si>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</si>
  <si>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</si>
  <si>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</si>
  <si>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</si>
  <si>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</si>
  <si>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</si>
  <si>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</si>
  <si>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</si>
  <si>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</si>
  <si>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</si>
  <si>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</si>
  <si>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</si>
  <si>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</si>
  <si>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</si>
  <si>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</si>
  <si>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</si>
  <si>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</si>
  <si>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</si>
  <si>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</si>
  <si>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</si>
  <si>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</si>
  <si>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</si>
  <si>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</si>
  <si>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</si>
  <si>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</si>
  <si>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</si>
  <si>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</si>
  <si>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</si>
  <si>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</si>
  <si>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</si>
  <si>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</si>
  <si>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</si>
  <si>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</si>
  <si>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</si>
  <si>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</si>
  <si>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</si>
  <si>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</si>
  <si>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</si>
  <si>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</si>
  <si>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</si>
  <si>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</si>
  <si>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</si>
  <si>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</si>
  <si>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</si>
  <si>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</si>
  <si>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</si>
  <si>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</si>
  <si>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</si>
  <si>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</si>
  <si>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</si>
  <si>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</si>
  <si>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</si>
  <si>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</si>
  <si>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</si>
  <si>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</si>
  <si>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</si>
  <si>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</si>
  <si>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</si>
  <si>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</si>
  <si>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</si>
  <si>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</si>
  <si>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</si>
  <si>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</si>
  <si>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</si>
  <si>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</si>
  <si>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</si>
  <si>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</si>
  <si>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</si>
  <si>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</si>
  <si>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</si>
  <si>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</si>
  <si>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</si>
  <si>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</si>
  <si>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</si>
  <si>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</si>
  <si>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</si>
  <si>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</si>
  <si>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</si>
  <si>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</si>
  <si>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</si>
  <si>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</si>
  <si>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</si>
  <si>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</si>
  <si>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</si>
  <si>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</si>
  <si>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</si>
  <si>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</si>
  <si>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</si>
  <si>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</si>
  <si>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</si>
  <si>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</si>
  <si>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</si>
  <si>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</si>
  <si>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</si>
  <si>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</si>
  <si>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</si>
  <si>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</si>
  <si>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</si>
  <si>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</si>
  <si>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</si>
  <si>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</si>
  <si>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</si>
  <si>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</si>
  <si>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</si>
  <si>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</si>
  <si>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</si>
  <si>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</si>
  <si>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</si>
  <si>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</si>
  <si>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</si>
  <si>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</si>
  <si>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</si>
  <si>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</si>
  <si>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</si>
  <si>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</si>
  <si>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</si>
  <si>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</si>
  <si>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</si>
  <si>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</si>
  <si>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</si>
  <si>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</si>
  <si>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</si>
  <si>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</si>
  <si>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</si>
  <si>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</si>
  <si>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</si>
  <si>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</si>
  <si>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</si>
  <si>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</si>
  <si>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</si>
  <si>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</si>
  <si>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</si>
  <si>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</si>
  <si>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</si>
  <si>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</si>
  <si>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</si>
  <si>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</si>
  <si>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</si>
  <si>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</si>
  <si>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</si>
  <si>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</si>
  <si>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</si>
  <si>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</si>
  <si>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</si>
  <si>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</si>
  <si>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</si>
  <si>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</si>
  <si>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</si>
  <si>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</si>
  <si>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</si>
  <si>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</si>
  <si>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</si>
  <si>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</si>
  <si>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</si>
  <si>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</si>
  <si>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</si>
  <si>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</si>
  <si>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</si>
  <si>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</si>
  <si>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</si>
  <si>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</si>
  <si>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</si>
  <si>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</si>
  <si>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</si>
  <si>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</si>
  <si>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</si>
  <si>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</si>
  <si>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</si>
  <si>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</si>
  <si>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</si>
  <si>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</si>
  <si>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</si>
  <si>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</si>
  <si>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</si>
  <si>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</si>
  <si>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</si>
  <si>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</si>
  <si>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</si>
  <si>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</si>
  <si>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</si>
  <si>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</si>
  <si>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</si>
  <si>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</si>
  <si>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</si>
  <si>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</si>
  <si>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</si>
  <si>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</si>
  <si>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</si>
  <si>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</si>
  <si>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</si>
  <si>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</si>
  <si>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</si>
  <si>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</si>
  <si>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</si>
  <si>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</si>
  <si>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</si>
  <si>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</si>
  <si>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</si>
  <si>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</si>
  <si>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</si>
  <si>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</si>
  <si>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</si>
  <si>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</si>
  <si>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</si>
  <si>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</si>
  <si>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</si>
  <si>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</si>
  <si>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</si>
  <si>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</si>
  <si>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</si>
  <si>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</si>
  <si>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</si>
  <si>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</si>
  <si>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</si>
  <si>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</si>
  <si>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</si>
  <si>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</si>
  <si>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</si>
  <si>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</si>
  <si>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</si>
  <si>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</si>
  <si>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</si>
  <si>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</si>
  <si>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</si>
  <si>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</si>
  <si>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</si>
  <si>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</si>
  <si>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</si>
  <si>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</si>
  <si>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</si>
  <si>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</si>
  <si>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</si>
  <si>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</si>
  <si>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</si>
  <si>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</si>
  <si>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</si>
  <si>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</si>
  <si>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</si>
  <si>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</si>
  <si>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</si>
  <si>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</si>
  <si>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</si>
  <si>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</si>
  <si>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</si>
  <si>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</si>
  <si>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</si>
  <si>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</si>
  <si>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</si>
  <si>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</si>
  <si>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</si>
  <si>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</si>
  <si>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</si>
  <si>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</si>
  <si>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</si>
  <si>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</si>
  <si>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</si>
  <si>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</si>
  <si>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</si>
  <si>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</si>
  <si>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</si>
  <si>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</si>
  <si>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</si>
  <si>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</si>
  <si>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</si>
  <si>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</si>
  <si>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</si>
  <si>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</si>
  <si>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</si>
  <si>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</si>
  <si>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</si>
  <si>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</si>
  <si>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</si>
  <si>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</si>
  <si>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</si>
  <si>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</si>
  <si>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</si>
  <si>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</si>
  <si>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</si>
  <si>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</si>
  <si>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</si>
  <si>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</si>
  <si>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</si>
  <si>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</si>
  <si>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</si>
  <si>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</si>
  <si>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</si>
  <si>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</si>
  <si>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</si>
  <si>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</si>
  <si>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</si>
  <si>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</si>
  <si>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</si>
  <si>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</si>
  <si>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</si>
  <si>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</si>
  <si>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</si>
  <si>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</si>
  <si>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</si>
  <si>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</si>
  <si>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</si>
  <si>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</si>
  <si>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</si>
  <si>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</si>
  <si>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</si>
  <si>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</si>
  <si>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</si>
  <si>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</si>
  <si>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</si>
  <si>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</si>
  <si>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</si>
  <si>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</si>
  <si>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</si>
  <si>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</si>
  <si>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</si>
  <si>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</si>
  <si>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</si>
  <si>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</si>
  <si>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</si>
  <si>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</si>
  <si>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</si>
  <si>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</si>
  <si>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</si>
  <si>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</si>
  <si>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</si>
  <si>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</si>
  <si>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</si>
  <si>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</si>
  <si>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</si>
  <si>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</si>
  <si>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</si>
  <si>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</si>
  <si>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</si>
  <si>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</si>
  <si>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</si>
  <si>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</si>
  <si>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</si>
  <si>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</si>
  <si>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</si>
  <si>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</si>
  <si>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</si>
  <si>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</si>
  <si>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</si>
  <si>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</si>
  <si>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</si>
  <si>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</si>
  <si>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</si>
  <si>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</si>
  <si>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</si>
  <si>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</si>
  <si>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</si>
  <si>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</si>
  <si>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</si>
  <si>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</si>
  <si>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</si>
  <si>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</si>
  <si>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</si>
  <si>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</si>
  <si>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</si>
  <si>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</si>
  <si>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</si>
  <si>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</si>
  <si>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</si>
  <si>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</si>
  <si>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</si>
  <si>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</si>
  <si>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</si>
  <si>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</si>
  <si>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</si>
  <si>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</si>
  <si>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</si>
  <si>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</si>
  <si>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</si>
  <si>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</si>
  <si>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</si>
  <si>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</si>
  <si>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</si>
  <si>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</si>
  <si>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</si>
  <si>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</si>
  <si>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</si>
  <si>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</si>
  <si>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</si>
  <si>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</si>
  <si>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</si>
  <si>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</si>
  <si>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</si>
  <si>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</si>
  <si>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</si>
  <si>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</si>
  <si>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</si>
  <si>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</si>
  <si>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</si>
  <si>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</si>
  <si>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</si>
  <si>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</si>
  <si>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</si>
  <si>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</si>
  <si>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</si>
  <si>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</si>
  <si>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</si>
  <si>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</si>
  <si>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</si>
  <si>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</si>
  <si>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</si>
  <si>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</si>
  <si>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</si>
  <si>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</si>
  <si>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</si>
  <si>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</si>
  <si>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</si>
  <si>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</si>
  <si>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</si>
  <si>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</si>
  <si>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</si>
  <si>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</si>
  <si>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</si>
  <si>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</si>
  <si>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</si>
  <si>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</si>
  <si>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</si>
  <si>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</si>
  <si>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</si>
  <si>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</si>
  <si>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</si>
  <si>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</si>
  <si>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</si>
  <si>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</si>
  <si>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</si>
  <si>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</si>
  <si>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</si>
  <si>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</si>
  <si>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</si>
  <si>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</si>
  <si>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</si>
  <si>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</si>
  <si>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</si>
  <si>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</si>
  <si>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</si>
  <si>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</si>
  <si>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</si>
  <si>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</si>
  <si>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</si>
  <si>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</si>
  <si>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</si>
  <si>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</si>
  <si>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</si>
  <si>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</si>
  <si>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</si>
  <si>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</si>
  <si>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</si>
  <si>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</si>
  <si>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</si>
  <si>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</si>
  <si>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</si>
  <si>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</si>
  <si>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</si>
  <si>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</si>
  <si>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</si>
  <si>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</si>
  <si>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</si>
  <si>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</si>
  <si>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</si>
  <si>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</si>
  <si>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</si>
  <si>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</si>
  <si>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</si>
  <si>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</si>
  <si>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</si>
  <si>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</si>
  <si>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</si>
  <si>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</si>
  <si>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</si>
  <si>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</si>
  <si>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</si>
  <si>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</si>
  <si>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</si>
  <si>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</si>
  <si>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</si>
  <si>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</si>
  <si>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</si>
  <si>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</si>
  <si>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</si>
  <si>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</si>
  <si>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</si>
  <si>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</si>
  <si>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</si>
  <si>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</si>
  <si>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</si>
  <si>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</si>
  <si>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</si>
  <si>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</si>
  <si>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</si>
  <si>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</si>
  <si>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</si>
  <si>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</si>
  <si>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</si>
  <si>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</si>
  <si>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</si>
  <si>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</si>
  <si>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</si>
  <si>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</si>
  <si>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</si>
  <si>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</si>
  <si>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</si>
  <si>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</si>
  <si>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</si>
  <si>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</si>
  <si>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</si>
  <si>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</si>
  <si>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</si>
  <si>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</si>
  <si>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</si>
  <si>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</si>
  <si>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</si>
  <si>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</si>
  <si>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</si>
  <si>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</si>
  <si>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</si>
  <si>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</si>
  <si>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</si>
  <si>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</si>
  <si>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</si>
  <si>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</si>
  <si>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</si>
  <si>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</si>
  <si>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</si>
  <si>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</si>
  <si>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</si>
  <si>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</si>
  <si>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</si>
  <si>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</si>
  <si>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</si>
  <si>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</si>
  <si>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</si>
  <si>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</si>
  <si>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</si>
  <si>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</si>
  <si>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</si>
  <si>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</si>
  <si>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</si>
  <si>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</si>
  <si>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</si>
  <si>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</si>
  <si>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</si>
  <si>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</si>
  <si>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</si>
  <si>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</si>
  <si>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</si>
  <si>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</si>
  <si>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</si>
  <si>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</si>
  <si>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</si>
  <si>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</si>
  <si>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</si>
  <si>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</si>
  <si>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</si>
  <si>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</si>
  <si>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</si>
  <si>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</si>
  <si>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</si>
  <si>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</si>
  <si>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</si>
  <si>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</si>
  <si>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</si>
  <si>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</si>
  <si>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</si>
  <si>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</si>
  <si>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</si>
  <si>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</si>
  <si>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</si>
  <si>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</si>
  <si>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</si>
  <si>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</si>
  <si>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</si>
  <si>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</si>
  <si>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</si>
  <si>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</si>
  <si>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</si>
  <si>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</si>
  <si>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</si>
  <si>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</si>
  <si>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</si>
  <si>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</si>
  <si>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</si>
  <si>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</si>
  <si>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</si>
  <si>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</si>
  <si>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</si>
  <si>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</si>
  <si>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</si>
  <si>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</si>
  <si>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</si>
  <si>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</si>
  <si>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</si>
  <si>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</si>
  <si>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</si>
  <si>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</si>
  <si>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</si>
  <si>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</si>
  <si>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</si>
  <si>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</si>
  <si>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</si>
  <si>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</si>
  <si>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</si>
  <si>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</si>
  <si>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</si>
  <si>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</si>
  <si>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</si>
  <si>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</si>
  <si>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</si>
  <si>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</si>
  <si>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</si>
  <si>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</si>
  <si>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</si>
  <si>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</si>
  <si>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</si>
  <si>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</si>
  <si>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</si>
  <si>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</si>
  <si>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</si>
  <si>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</si>
  <si>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</si>
  <si>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</si>
  <si>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</si>
  <si>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</si>
  <si>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</si>
  <si>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</si>
  <si>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</si>
  <si>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</si>
  <si>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</si>
  <si>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</si>
  <si>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</si>
  <si>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</si>
  <si>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</si>
  <si>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</si>
  <si>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</si>
  <si>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</si>
  <si>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</si>
  <si>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</si>
  <si>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</si>
  <si>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</si>
  <si>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</si>
  <si>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</si>
  <si>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</si>
  <si>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</si>
  <si>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</si>
  <si>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</si>
  <si>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</si>
  <si>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</si>
  <si>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</si>
  <si>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</si>
  <si>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</si>
  <si>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</si>
  <si>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</si>
  <si>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</si>
  <si>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</si>
  <si>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</si>
  <si>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</si>
  <si>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</si>
  <si>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</si>
  <si>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</si>
  <si>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</si>
  <si>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</si>
  <si>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</si>
  <si>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</si>
  <si>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</si>
  <si>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</si>
  <si>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</si>
  <si>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</si>
  <si>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</si>
  <si>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</si>
  <si>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</si>
  <si>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</si>
  <si>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</si>
  <si>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</si>
  <si>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</si>
  <si>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</si>
  <si>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</si>
  <si>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</si>
  <si>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</si>
  <si>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</si>
  <si>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</si>
  <si>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</si>
  <si>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</si>
  <si>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</si>
  <si>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</si>
  <si>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</si>
  <si>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</si>
  <si>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</si>
  <si>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</si>
  <si>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</si>
  <si>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</si>
  <si>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</si>
  <si>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</si>
  <si>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</si>
  <si>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</si>
  <si>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</si>
  <si>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</si>
  <si>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</si>
  <si>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</si>
  <si>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</si>
  <si>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</si>
  <si>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</si>
  <si>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</si>
  <si>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</si>
  <si>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</si>
  <si>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</si>
  <si>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</si>
  <si>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</si>
  <si>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</si>
  <si>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</si>
  <si>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</si>
  <si>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</si>
  <si>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</si>
  <si>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</si>
  <si>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</si>
  <si>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</si>
  <si>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</si>
  <si>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</si>
  <si>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</si>
  <si>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</si>
  <si>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</si>
  <si>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</si>
  <si>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</si>
  <si>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</si>
  <si>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</si>
  <si>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</si>
  <si>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</si>
  <si>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</si>
  <si>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</si>
  <si>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</si>
  <si>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</si>
  <si>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</si>
  <si>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</si>
  <si>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</si>
  <si>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</si>
  <si>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</si>
  <si>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</si>
  <si>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</si>
  <si>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</si>
  <si>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</si>
  <si>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</si>
  <si>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</si>
  <si>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</si>
  <si>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</si>
  <si>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</si>
  <si>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</si>
  <si>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</si>
  <si>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</si>
  <si>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</si>
  <si>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</si>
  <si>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</si>
  <si>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</si>
  <si>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</si>
  <si>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</si>
  <si>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</si>
  <si>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</si>
  <si>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</si>
  <si>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</si>
  <si>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</si>
  <si>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</si>
  <si>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</si>
  <si>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</si>
  <si>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</si>
  <si>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</si>
  <si>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</si>
  <si>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</si>
  <si>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</si>
  <si>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</si>
  <si>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</si>
  <si>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</si>
  <si>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</si>
  <si>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</si>
  <si>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</si>
  <si>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</si>
  <si>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</si>
  <si>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</si>
  <si>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</si>
  <si>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</si>
  <si>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</si>
  <si>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</si>
  <si>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</si>
  <si>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</si>
  <si>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</si>
  <si>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</si>
  <si>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</si>
  <si>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</si>
  <si>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</si>
  <si>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</si>
  <si>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</si>
  <si>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</si>
  <si>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</si>
  <si>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</si>
  <si>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</si>
  <si>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</si>
  <si>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</si>
  <si>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</si>
  <si>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</si>
  <si>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</si>
  <si>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</si>
  <si>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</si>
  <si>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</si>
  <si>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</si>
  <si>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</si>
  <si>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</si>
  <si>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</si>
  <si>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</si>
  <si>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</si>
  <si>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</si>
  <si>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</si>
  <si>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</si>
  <si>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</si>
  <si>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</si>
  <si>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</si>
  <si>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</si>
  <si>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</si>
  <si>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</si>
  <si>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</si>
  <si>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</si>
  <si>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</si>
  <si>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</si>
  <si>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</si>
  <si>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</si>
  <si>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</si>
  <si>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</si>
  <si>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</si>
  <si>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</si>
  <si>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</si>
  <si>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</si>
  <si>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</si>
  <si>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</si>
  <si>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</si>
  <si>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</si>
  <si>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</si>
  <si>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</si>
  <si>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</si>
  <si>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</si>
  <si>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</si>
  <si>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</si>
  <si>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</si>
  <si>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</si>
  <si>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</si>
  <si>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</si>
  <si>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</si>
  <si>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</si>
  <si>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</si>
  <si>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</si>
  <si>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</si>
  <si>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</si>
  <si>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</si>
  <si>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</si>
  <si>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</si>
  <si>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</si>
  <si>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</si>
  <si>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</si>
  <si>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</si>
  <si>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</si>
  <si>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</si>
  <si>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</si>
  <si>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</si>
  <si>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</si>
  <si>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</si>
  <si>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</si>
  <si>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</si>
  <si>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</si>
  <si>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</si>
  <si>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</si>
  <si>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</si>
  <si>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</si>
  <si>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</si>
  <si>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</si>
  <si>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</si>
  <si>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</si>
  <si>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</si>
  <si>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</si>
  <si>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</si>
  <si>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</si>
  <si>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</si>
  <si>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</si>
  <si>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</si>
  <si>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</si>
  <si>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</si>
  <si>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</si>
  <si>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</si>
  <si>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</si>
  <si>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</si>
  <si>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</si>
  <si>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</si>
  <si>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</si>
  <si>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</si>
  <si>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</si>
  <si>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</si>
  <si>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</si>
  <si>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</si>
  <si>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</si>
  <si>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</si>
  <si>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</si>
  <si>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</si>
  <si>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</si>
  <si>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</si>
  <si>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</si>
  <si>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</si>
  <si>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</si>
  <si>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</si>
  <si>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</si>
  <si>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</si>
  <si>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</si>
  <si>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</si>
  <si>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</si>
  <si>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</si>
  <si>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</si>
  <si>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</si>
  <si>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</si>
  <si>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</si>
  <si>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</si>
  <si>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</si>
  <si>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</si>
  <si>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</si>
  <si>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</si>
  <si>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</si>
  <si>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</si>
  <si>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</si>
  <si>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</si>
  <si>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</si>
  <si>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</si>
  <si>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</si>
  <si>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</si>
  <si>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</si>
  <si>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</si>
  <si>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</si>
  <si>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</si>
  <si>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</si>
  <si>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</si>
  <si>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</si>
  <si>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</si>
  <si>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</si>
  <si>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</si>
  <si>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</si>
  <si>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</si>
  <si>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</si>
  <si>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</si>
  <si>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</si>
  <si>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</si>
  <si>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</si>
  <si>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</si>
  <si>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</si>
  <si>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</si>
  <si>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</si>
  <si>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</si>
  <si>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</si>
  <si>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</si>
  <si>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</si>
  <si>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</si>
  <si>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</si>
  <si>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</si>
  <si>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</si>
  <si>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</si>
  <si>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</si>
  <si>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</si>
  <si>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</si>
  <si>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</si>
  <si>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</si>
  <si>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</si>
  <si>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</si>
  <si>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</si>
  <si>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</si>
  <si>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</si>
  <si>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</si>
  <si>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</si>
  <si>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</si>
  <si>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</si>
  <si>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</si>
  <si>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</si>
  <si>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</si>
  <si>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</si>
  <si>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</si>
  <si>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</si>
  <si>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</si>
  <si>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</si>
  <si>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</si>
  <si>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</si>
  <si>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</si>
  <si>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</si>
  <si>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</si>
  <si>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</si>
  <si>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</si>
  <si>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</si>
  <si>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</si>
  <si>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</si>
  <si>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</si>
  <si>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</si>
  <si>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</si>
  <si>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</si>
  <si>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</si>
  <si>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</si>
  <si>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</si>
  <si>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</si>
  <si>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</si>
  <si>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</si>
  <si>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</si>
  <si>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</si>
  <si>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</si>
  <si>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</si>
  <si>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</si>
  <si>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</si>
  <si>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</si>
  <si>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</si>
  <si>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</si>
  <si>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</si>
  <si>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</si>
  <si>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</si>
  <si>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</si>
  <si>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</si>
  <si>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</si>
  <si>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</si>
  <si>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</si>
  <si>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</si>
  <si>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</si>
  <si>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</si>
  <si>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</si>
  <si>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</si>
  <si>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</si>
  <si>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</si>
  <si>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</si>
  <si>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</si>
  <si>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</si>
  <si>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</si>
  <si>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</si>
  <si>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</si>
  <si>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</si>
  <si>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</si>
  <si>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</si>
  <si>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</si>
  <si>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</si>
  <si>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</si>
  <si>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</si>
  <si>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</si>
  <si>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</si>
  <si>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</si>
  <si>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</si>
  <si>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</si>
  <si>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</si>
  <si>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</si>
  <si>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</si>
  <si>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</si>
  <si>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</si>
  <si>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</si>
  <si>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</si>
  <si>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</si>
  <si>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</si>
  <si>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</si>
  <si>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</si>
  <si>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</si>
  <si>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</si>
  <si>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</si>
  <si>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</si>
  <si>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</si>
  <si>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</si>
  <si>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</si>
  <si>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</si>
  <si>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</si>
  <si>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</si>
  <si>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</si>
  <si>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</si>
  <si>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</si>
  <si>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</si>
  <si>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</si>
  <si>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</si>
  <si>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</si>
  <si>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</si>
  <si>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</si>
  <si>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</si>
  <si>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</si>
  <si>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</si>
  <si>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</si>
  <si>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</si>
  <si>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</si>
  <si>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</si>
  <si>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</si>
  <si>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</si>
  <si>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</si>
  <si>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</si>
  <si>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</si>
  <si>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</si>
  <si>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</si>
  <si>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</si>
  <si>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</si>
  <si>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</si>
  <si>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</si>
  <si>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</si>
  <si>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</si>
  <si>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</si>
  <si>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</si>
  <si>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</si>
  <si>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</si>
  <si>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</si>
  <si>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</si>
  <si>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</si>
  <si>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</si>
  <si>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</si>
  <si>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</si>
  <si>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</si>
  <si>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</si>
  <si>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</si>
  <si>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</si>
  <si>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</si>
  <si>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</si>
  <si>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</si>
  <si>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</si>
  <si>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</si>
  <si>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</si>
  <si>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</si>
  <si>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</si>
  <si>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</si>
  <si>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</si>
  <si>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</si>
  <si>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</si>
  <si>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</si>
  <si>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</si>
  <si>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</si>
  <si>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</si>
  <si>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</si>
  <si>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</si>
  <si>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</si>
  <si>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</si>
  <si>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</si>
  <si>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</si>
  <si>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</si>
  <si>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</si>
  <si>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</si>
  <si>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</si>
  <si>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</si>
  <si>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</si>
  <si>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</si>
  <si>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</si>
  <si>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</si>
  <si>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</si>
  <si>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</si>
  <si>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</si>
  <si>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</si>
  <si>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</si>
  <si>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</si>
  <si>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</si>
  <si>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</si>
  <si>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</si>
  <si>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</si>
  <si>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</si>
  <si>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</si>
  <si>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</si>
  <si>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</si>
  <si>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</si>
  <si>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</si>
  <si>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</si>
  <si>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</si>
  <si>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</si>
  <si>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</si>
  <si>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</si>
  <si>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</si>
  <si>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</si>
  <si>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</si>
  <si>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</si>
  <si>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</si>
  <si>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</si>
  <si>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</si>
  <si>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</si>
  <si>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</si>
  <si>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</si>
  <si>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</si>
  <si>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</si>
  <si>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</si>
  <si>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</si>
  <si>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</si>
  <si>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</si>
  <si>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</si>
  <si>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</si>
  <si>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</si>
  <si>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</si>
  <si>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</si>
  <si>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</si>
  <si>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</si>
  <si>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</si>
  <si>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</si>
  <si>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</si>
  <si>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</si>
  <si>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</si>
  <si>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</si>
  <si>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</si>
  <si>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</si>
  <si>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</si>
  <si>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</si>
  <si>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</si>
  <si>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</si>
  <si>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</si>
  <si>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</si>
  <si>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</si>
  <si>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</si>
  <si>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</si>
  <si>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</si>
  <si>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</si>
  <si>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</si>
  <si>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</si>
  <si>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</si>
  <si>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</si>
  <si>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</si>
  <si>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</si>
  <si>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</si>
  <si>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</si>
  <si>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</si>
  <si>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</si>
  <si>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</si>
  <si>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</si>
  <si>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</si>
  <si>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</si>
  <si>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</si>
  <si>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</si>
  <si>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</si>
  <si>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</si>
  <si>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</si>
  <si>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</si>
  <si>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</si>
  <si>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</si>
  <si>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</si>
  <si>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</si>
  <si>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</si>
  <si>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</si>
  <si>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</si>
  <si>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</si>
  <si>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</si>
  <si>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</si>
  <si>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</si>
  <si>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</si>
  <si>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</si>
  <si>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</si>
  <si>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</si>
  <si>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</si>
  <si>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</si>
  <si>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</si>
  <si>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</si>
  <si>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</si>
  <si>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</si>
  <si>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</si>
  <si>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</si>
  <si>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</si>
  <si>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</si>
  <si>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</si>
  <si>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</si>
  <si>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</si>
  <si>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</si>
  <si>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</si>
  <si>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</si>
  <si>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</si>
  <si>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</si>
  <si>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</si>
  <si>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</si>
  <si>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</si>
  <si>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</si>
  <si>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</si>
  <si>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</si>
  <si>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</si>
  <si>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</si>
  <si>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</si>
  <si>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</si>
  <si>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</si>
  <si>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</si>
  <si>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</si>
  <si>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</si>
  <si>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</si>
  <si>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</si>
  <si>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</si>
  <si>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</si>
  <si>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</si>
  <si>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</si>
  <si>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</si>
  <si>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</si>
  <si>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</si>
  <si>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</si>
  <si>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</si>
  <si>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</si>
  <si>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</si>
  <si>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</si>
  <si>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</si>
  <si>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</si>
  <si>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</si>
  <si>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</si>
  <si>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</si>
  <si>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</si>
  <si>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</si>
  <si>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</si>
  <si>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</si>
  <si>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</si>
  <si>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</si>
  <si>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</si>
  <si>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</si>
  <si>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</si>
  <si>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</si>
  <si>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</si>
  <si>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</si>
  <si>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</si>
  <si>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</si>
  <si>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</si>
  <si>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</si>
  <si>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</si>
  <si>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</si>
  <si>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</si>
  <si>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</si>
  <si>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</si>
  <si>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</si>
  <si>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</si>
  <si>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</si>
  <si>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</si>
  <si>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</si>
  <si>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</si>
  <si>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</si>
  <si>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</si>
  <si>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</si>
  <si>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</si>
  <si>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</si>
  <si>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</si>
  <si>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</si>
  <si>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</si>
  <si>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</si>
  <si>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</si>
  <si>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</si>
  <si>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</si>
  <si>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</si>
  <si>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</si>
  <si>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</si>
  <si>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</si>
  <si>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</si>
  <si>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</si>
  <si>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</si>
  <si>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</si>
  <si>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</si>
  <si>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</si>
  <si>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</si>
  <si>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</si>
  <si>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</si>
  <si>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</si>
  <si>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</si>
  <si>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</si>
  <si>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</si>
  <si>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</si>
  <si>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</si>
  <si>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</si>
  <si>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</si>
  <si>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</si>
  <si>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</si>
  <si>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</si>
  <si>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</si>
  <si>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</si>
  <si>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</si>
  <si>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</si>
  <si>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</si>
  <si>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</si>
  <si>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</si>
  <si>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</si>
  <si>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</si>
  <si>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</si>
  <si>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</si>
  <si>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</si>
  <si>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</si>
  <si>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</si>
  <si>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</si>
  <si>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</si>
  <si>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</si>
  <si>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</si>
  <si>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</si>
  <si>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</si>
  <si>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</si>
  <si>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</si>
  <si>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</si>
  <si>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</si>
  <si>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</si>
  <si>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</si>
  <si>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</si>
  <si>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</si>
  <si>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</si>
  <si>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</si>
  <si>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</si>
  <si>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</si>
  <si>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</si>
  <si>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</si>
  <si>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</si>
  <si>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</si>
  <si>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</si>
  <si>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</si>
  <si>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</si>
  <si>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</si>
  <si>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</si>
  <si>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</si>
  <si>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</si>
  <si>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</si>
  <si>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</si>
  <si>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</si>
  <si>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</si>
  <si>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</si>
  <si>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</si>
  <si>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</si>
  <si>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</si>
  <si>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</si>
  <si>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</si>
  <si>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</si>
  <si>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</si>
  <si>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</si>
  <si>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</si>
  <si>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</si>
  <si>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</si>
  <si>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</si>
  <si>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</si>
  <si>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</si>
  <si>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</si>
  <si>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</si>
  <si>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</si>
  <si>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</si>
  <si>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</si>
  <si>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</si>
  <si>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</si>
  <si>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</si>
  <si>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</si>
  <si>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</si>
  <si>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</si>
  <si>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</si>
  <si>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</si>
  <si>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</si>
  <si>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</si>
  <si>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</si>
  <si>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</si>
  <si>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</si>
  <si>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</si>
  <si>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</si>
  <si>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</si>
  <si>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</si>
  <si>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</si>
  <si>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</si>
  <si>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</si>
  <si>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</si>
  <si>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</si>
  <si>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</si>
  <si>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</si>
  <si>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</si>
  <si>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</si>
  <si>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</si>
  <si>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</si>
  <si>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</si>
  <si>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</si>
  <si>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</si>
  <si>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</si>
  <si>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</si>
  <si>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</si>
  <si>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</si>
  <si>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</si>
  <si>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</si>
  <si>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</si>
  <si>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</si>
  <si>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</si>
  <si>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</si>
  <si>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</si>
  <si>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</si>
  <si>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</si>
  <si>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</si>
  <si>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</si>
  <si>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</si>
  <si>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</si>
  <si>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</si>
  <si>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</si>
  <si>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</si>
  <si>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</si>
  <si>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</si>
  <si>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</si>
  <si>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</si>
  <si>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</si>
  <si>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</si>
  <si>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</si>
  <si>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</si>
  <si>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</si>
  <si>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</si>
  <si>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</si>
  <si>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</si>
  <si>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</si>
  <si>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</si>
  <si>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</si>
  <si>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</si>
  <si>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</si>
  <si>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</si>
  <si>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</si>
  <si>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</si>
  <si>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</si>
  <si>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</si>
  <si>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</si>
  <si>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</si>
  <si>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</si>
  <si>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</si>
  <si>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</si>
  <si>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</si>
  <si>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</si>
  <si>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</si>
  <si>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</si>
  <si>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</si>
  <si>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</si>
  <si>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</si>
  <si>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</si>
  <si>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</si>
  <si>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</si>
  <si>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</si>
  <si>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</si>
  <si>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</si>
  <si>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</si>
  <si>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</si>
  <si>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</si>
  <si>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</si>
  <si>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</si>
  <si>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</si>
  <si>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</si>
  <si>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</si>
  <si>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</si>
  <si>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</si>
  <si>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</si>
  <si>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</si>
  <si>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</si>
  <si>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</si>
  <si>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</si>
  <si>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</si>
  <si>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</si>
  <si>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</si>
  <si>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</si>
  <si>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</si>
  <si>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</si>
  <si>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</si>
  <si>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</si>
  <si>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</si>
  <si>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</si>
  <si>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</si>
  <si>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</si>
  <si>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</si>
  <si>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</si>
  <si>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</si>
  <si>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</si>
  <si>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</si>
  <si>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</si>
  <si>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</si>
  <si>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</si>
  <si>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</si>
  <si>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</si>
  <si>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</si>
  <si>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</si>
  <si>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</si>
  <si>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</si>
  <si>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</si>
  <si>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</si>
  <si>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</si>
  <si>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</si>
  <si>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</si>
  <si>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</si>
  <si>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</si>
  <si>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</si>
  <si>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</si>
  <si>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</si>
  <si>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</si>
  <si>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</si>
  <si>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</si>
  <si>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</si>
  <si>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</si>
  <si>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</si>
  <si>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</si>
  <si>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</si>
  <si>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</si>
  <si>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</si>
  <si>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</si>
  <si>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</si>
  <si>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</si>
  <si>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</si>
  <si>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</si>
  <si>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</si>
  <si>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</si>
  <si>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</si>
  <si>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</si>
  <si>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</si>
  <si>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</si>
  <si>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</si>
  <si>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</si>
  <si>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</si>
  <si>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</si>
  <si>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</si>
  <si>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</si>
  <si>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</si>
  <si>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</si>
  <si>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</si>
  <si>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</si>
  <si>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</si>
  <si>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</si>
  <si>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</si>
  <si>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</si>
  <si>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</si>
  <si>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</si>
  <si>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</si>
  <si>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</si>
  <si>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</si>
  <si>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</si>
  <si>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</si>
  <si>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</si>
  <si>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</si>
  <si>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</si>
  <si>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</si>
  <si>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</si>
  <si>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</si>
  <si>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</si>
  <si>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</si>
  <si>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</si>
  <si>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</si>
  <si>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</si>
  <si>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</si>
  <si>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</si>
  <si>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</si>
  <si>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</si>
  <si>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</si>
  <si>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</si>
  <si>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</si>
  <si>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</si>
  <si>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</si>
  <si>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</si>
  <si>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</si>
  <si>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</si>
  <si>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</si>
  <si>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</si>
  <si>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</si>
  <si>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</si>
  <si>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</si>
  <si>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</si>
  <si>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</si>
  <si>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</si>
  <si>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</si>
  <si>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</si>
  <si>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</si>
  <si>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</si>
  <si>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</si>
  <si>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</si>
  <si>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</si>
  <si>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</si>
  <si>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</si>
  <si>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</si>
  <si>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</si>
  <si>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</si>
  <si>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</si>
  <si>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</si>
  <si>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</si>
  <si>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</si>
  <si>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</si>
  <si>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</si>
  <si>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</si>
  <si>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</si>
  <si>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</si>
  <si>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</si>
  <si>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</si>
  <si>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</si>
  <si>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</si>
  <si>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</si>
  <si>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</si>
  <si>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</si>
  <si>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</si>
  <si>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</si>
  <si>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</si>
  <si>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</si>
  <si>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</si>
  <si>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</si>
  <si>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</si>
  <si>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</si>
  <si>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</si>
  <si>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</si>
  <si>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</si>
  <si>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</si>
  <si>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</si>
  <si>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</si>
  <si>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</si>
  <si>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</si>
  <si>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</si>
  <si>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</si>
  <si>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</si>
  <si>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</si>
  <si>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</si>
  <si>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</si>
  <si>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</si>
  <si>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</si>
  <si>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</si>
  <si>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</si>
  <si>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</si>
  <si>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</si>
  <si>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</si>
  <si>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</si>
  <si>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</si>
  <si>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</si>
  <si>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</si>
  <si>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</si>
  <si>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</si>
  <si>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</si>
  <si>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</si>
  <si>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</si>
  <si>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</si>
  <si>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</si>
  <si>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</si>
  <si>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</si>
  <si>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</si>
  <si>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</si>
  <si>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</si>
  <si>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</si>
  <si>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</si>
  <si>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</si>
  <si>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</si>
  <si>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</si>
  <si>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</si>
  <si>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</si>
  <si>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</si>
  <si>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</si>
  <si>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</si>
  <si>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</si>
  <si>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</si>
  <si>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</si>
  <si>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</si>
  <si>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</si>
  <si>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</si>
  <si>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</si>
  <si>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</si>
  <si>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</si>
  <si>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</si>
  <si>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</si>
  <si>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</si>
  <si>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</si>
  <si>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</si>
  <si>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</si>
  <si>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</si>
  <si>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</si>
  <si>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</si>
  <si>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</si>
  <si>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</si>
  <si>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</si>
  <si>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</si>
  <si>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</si>
  <si>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</si>
  <si>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</si>
  <si>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</si>
  <si>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</si>
  <si>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</si>
  <si>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</si>
  <si>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</si>
  <si>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</si>
  <si>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</si>
  <si>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</si>
  <si>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</si>
  <si>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</si>
  <si>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</si>
  <si>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</si>
  <si>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</si>
  <si>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</si>
  <si>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</si>
  <si>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</si>
  <si>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</si>
  <si>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</si>
  <si>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</si>
  <si>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</si>
  <si>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</si>
  <si>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</si>
  <si>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</si>
  <si>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</si>
  <si>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</si>
  <si>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</si>
  <si>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</si>
  <si>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</si>
  <si>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</si>
  <si>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</si>
  <si>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</si>
  <si>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</si>
  <si>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</si>
  <si>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</si>
  <si>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</si>
  <si>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</si>
  <si>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</si>
  <si>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</si>
  <si>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</si>
  <si>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</si>
  <si>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</si>
  <si>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</si>
  <si>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</si>
  <si>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</si>
  <si>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</si>
  <si>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</si>
  <si>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</si>
  <si>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</si>
  <si>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</si>
  <si>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</si>
  <si>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</si>
  <si>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</si>
  <si>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</si>
  <si>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</si>
  <si>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</si>
  <si>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</si>
  <si>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</si>
  <si>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</si>
  <si>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</si>
  <si>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</si>
  <si>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</si>
  <si>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</si>
  <si>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</si>
  <si>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</si>
  <si>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</si>
  <si>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</si>
  <si>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</si>
  <si>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</si>
  <si>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</si>
  <si>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</si>
  <si>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</si>
  <si>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</si>
  <si>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</si>
  <si>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</si>
  <si>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</si>
  <si>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</si>
  <si>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</si>
  <si>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</si>
  <si>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</si>
  <si>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</si>
  <si>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</si>
  <si>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</si>
  <si>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</si>
  <si>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</si>
  <si>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</si>
  <si>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</si>
  <si>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</si>
  <si>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</si>
  <si>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</si>
  <si>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</si>
  <si>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</si>
  <si>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</si>
  <si>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</si>
  <si>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</si>
  <si>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</si>
  <si>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</si>
  <si>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</si>
  <si>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</si>
  <si>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</si>
  <si>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</si>
  <si>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</si>
  <si>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</si>
  <si>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</si>
  <si>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</si>
  <si>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</si>
  <si>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</si>
  <si>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</si>
  <si>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</si>
  <si>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</si>
  <si>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</si>
  <si>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</si>
  <si>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</si>
  <si>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</si>
  <si>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</si>
  <si>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</si>
  <si>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</si>
  <si>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</si>
  <si>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</si>
  <si>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</si>
  <si>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</si>
  <si>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</si>
  <si>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</si>
  <si>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</si>
  <si>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</si>
  <si>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</si>
  <si>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</si>
  <si>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</si>
  <si>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</si>
  <si>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</si>
  <si>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</si>
  <si>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</si>
  <si>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</si>
  <si>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</si>
  <si>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</si>
  <si>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</si>
  <si>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</si>
  <si>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</si>
  <si>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</si>
  <si>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</si>
  <si>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</si>
  <si>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</si>
  <si>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</si>
  <si>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</si>
  <si>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</si>
  <si>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</si>
  <si>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</si>
  <si>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</si>
  <si>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</si>
  <si>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</si>
  <si>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</si>
  <si>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</si>
  <si>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</si>
  <si>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</si>
  <si>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</si>
  <si>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</si>
  <si>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</si>
  <si>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</si>
  <si>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</si>
  <si>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</si>
  <si>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</si>
  <si>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</si>
  <si>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</si>
  <si>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</si>
  <si>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</si>
  <si>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</si>
  <si>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</si>
  <si>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</si>
  <si>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</si>
  <si>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</si>
  <si>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</si>
  <si>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</si>
  <si>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</si>
  <si>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</si>
  <si>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</si>
  <si>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</si>
  <si>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</si>
  <si>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</si>
  <si>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</si>
  <si>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</si>
  <si>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</si>
  <si>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</si>
  <si>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</si>
  <si>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</si>
  <si>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</si>
  <si>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</si>
  <si>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</si>
  <si>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</si>
  <si>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</si>
  <si>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</si>
  <si>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</si>
  <si>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</si>
  <si>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</si>
  <si>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</si>
  <si>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</si>
  <si>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</si>
  <si>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</si>
  <si>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</si>
  <si>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</si>
  <si>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</si>
  <si>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</si>
  <si>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</si>
  <si>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</si>
  <si>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</si>
  <si>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</si>
  <si>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</si>
  <si>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</si>
  <si>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</si>
  <si>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</si>
  <si>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</si>
  <si>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</si>
  <si>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</si>
  <si>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</si>
  <si>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</si>
  <si>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</si>
  <si>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</si>
  <si>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</si>
  <si>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</si>
  <si>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</si>
  <si>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</si>
  <si>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</si>
  <si>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</si>
  <si>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</si>
  <si>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</si>
  <si>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</si>
  <si>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</si>
  <si>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</si>
  <si>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</si>
  <si>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</si>
  <si>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</si>
  <si>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</si>
  <si>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</si>
  <si>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</si>
  <si>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</si>
  <si>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</si>
  <si>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</si>
  <si>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</si>
  <si>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</si>
  <si>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</si>
  <si>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</si>
  <si>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</si>
  <si>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</si>
  <si>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</si>
  <si>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</si>
  <si>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</si>
  <si>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</si>
  <si>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</si>
  <si>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</si>
  <si>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</si>
  <si>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</si>
  <si>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</si>
  <si>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</si>
  <si>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</si>
  <si>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</si>
  <si>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</si>
  <si>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</si>
  <si>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</si>
  <si>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</si>
  <si>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</si>
  <si>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</si>
  <si>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</si>
  <si>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</si>
  <si>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</si>
  <si>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</si>
  <si>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</si>
  <si>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</si>
  <si>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</si>
  <si>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</si>
  <si>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</si>
  <si>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</si>
  <si>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</si>
  <si>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</si>
  <si>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</si>
  <si>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</si>
  <si>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</si>
  <si>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</si>
  <si>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</si>
  <si>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</si>
  <si>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</si>
  <si>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</si>
  <si>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</si>
  <si>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</si>
  <si>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</si>
  <si>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</si>
  <si>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</si>
  <si>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</si>
  <si>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</si>
  <si>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</si>
  <si>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</si>
  <si>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</si>
  <si>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</si>
  <si>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</si>
  <si>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</si>
  <si>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</si>
  <si>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</si>
  <si>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</si>
  <si>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</si>
  <si>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</si>
  <si>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</si>
  <si>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</si>
  <si>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</si>
  <si>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</si>
  <si>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</si>
  <si>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</si>
  <si>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</si>
  <si>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</si>
  <si>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</si>
  <si>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</si>
  <si>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</si>
  <si>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</si>
  <si>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</si>
  <si>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</si>
  <si>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</si>
  <si>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</si>
  <si>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</si>
  <si>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</si>
  <si>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</si>
  <si>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</si>
  <si>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</si>
  <si>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</si>
  <si>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</si>
  <si>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</si>
  <si>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</si>
  <si>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</si>
  <si>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</si>
  <si>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</si>
  <si>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</si>
  <si>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</si>
  <si>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</si>
  <si>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</si>
  <si>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</si>
  <si>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</si>
  <si>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</si>
  <si>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</si>
  <si>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</si>
  <si>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</si>
  <si>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</si>
  <si>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</si>
  <si>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</si>
  <si>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</si>
  <si>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</si>
  <si>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</si>
  <si>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</si>
  <si>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</si>
  <si>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</si>
  <si>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</si>
  <si>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</si>
  <si>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</si>
  <si>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</si>
  <si>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</si>
  <si>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</si>
  <si>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</si>
  <si>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</si>
  <si>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</si>
  <si>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</si>
  <si>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</si>
  <si>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</si>
  <si>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</si>
  <si>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</si>
  <si>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</si>
  <si>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</si>
  <si>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</si>
  <si>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</si>
  <si>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</si>
  <si>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</si>
  <si>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</si>
  <si>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</si>
  <si>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</si>
  <si>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</si>
  <si>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</si>
  <si>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</si>
  <si>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</si>
  <si>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</si>
  <si>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</si>
  <si>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</si>
  <si>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</si>
  <si>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</si>
  <si>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</si>
  <si>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</si>
  <si>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</si>
  <si>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</si>
  <si>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</si>
  <si>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</si>
  <si>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</si>
  <si>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</si>
  <si>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</si>
  <si>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</si>
  <si>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</si>
  <si>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</si>
  <si>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</si>
  <si>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</si>
  <si>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</si>
  <si>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</si>
  <si>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</si>
  <si>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</si>
  <si>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</si>
  <si>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</si>
  <si>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</si>
  <si>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</si>
  <si>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</si>
  <si>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</si>
  <si>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</si>
  <si>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</si>
  <si>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</si>
  <si>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</si>
  <si>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</si>
  <si>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</si>
  <si>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</si>
  <si>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</si>
  <si>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</si>
  <si>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</si>
  <si>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</si>
  <si>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</si>
  <si>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</si>
  <si>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</si>
  <si>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</si>
  <si>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</si>
  <si>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</si>
  <si>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</si>
  <si>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</si>
  <si>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</si>
  <si>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</si>
  <si>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</si>
  <si>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</si>
  <si>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</si>
  <si>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</si>
  <si>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</si>
  <si>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</si>
  <si>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</si>
  <si>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</si>
  <si>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</si>
  <si>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</si>
  <si>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</si>
  <si>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</si>
  <si>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</si>
  <si>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</si>
  <si>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</si>
  <si>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</si>
  <si>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</si>
  <si>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</si>
  <si>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</si>
  <si>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</si>
  <si>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</si>
  <si>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</si>
  <si>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</si>
  <si>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</si>
  <si>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</si>
  <si>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</si>
  <si>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</si>
  <si>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</si>
  <si>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</si>
  <si>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</si>
  <si>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</si>
  <si>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</si>
  <si>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</si>
  <si>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</si>
  <si>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</si>
  <si>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</si>
  <si>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</si>
  <si>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</si>
  <si>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</si>
  <si>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</si>
  <si>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</si>
  <si>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</si>
  <si>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</si>
  <si>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</si>
  <si>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</si>
  <si>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</si>
  <si>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</si>
  <si>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</si>
  <si>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</si>
  <si>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</si>
  <si>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</si>
  <si>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</si>
  <si>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</si>
  <si>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</si>
  <si>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</si>
  <si>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</si>
  <si>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</si>
  <si>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</si>
  <si>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</si>
  <si>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</si>
  <si>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</si>
  <si>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</si>
  <si>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</si>
  <si>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</si>
  <si>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</si>
  <si>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</si>
  <si>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</si>
  <si>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</si>
  <si>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</si>
  <si>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</si>
  <si>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</si>
  <si>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</si>
  <si>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</si>
  <si>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</si>
  <si>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</si>
  <si>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</si>
  <si>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</si>
  <si>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</si>
  <si>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</si>
  <si>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</si>
  <si>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</si>
  <si>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</si>
  <si>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</si>
  <si>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</si>
  <si>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</si>
  <si>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</si>
  <si>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</si>
  <si>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</si>
  <si>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</si>
  <si>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</si>
  <si>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</si>
  <si>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</si>
  <si>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</si>
  <si>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</si>
  <si>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</si>
  <si>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</si>
  <si>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</si>
  <si>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</si>
  <si>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</si>
  <si>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</si>
  <si>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</si>
  <si>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</si>
  <si>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</si>
  <si>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</si>
  <si>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</si>
  <si>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</si>
  <si>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</si>
  <si>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</si>
  <si>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</si>
  <si>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</si>
  <si>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</si>
  <si>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</si>
  <si>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</si>
  <si>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</si>
  <si>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</si>
  <si>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</si>
  <si>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</si>
  <si>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</si>
  <si>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</si>
  <si>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</si>
  <si>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</si>
  <si>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</si>
  <si>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</si>
  <si>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</si>
  <si>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</si>
  <si>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</si>
  <si>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</si>
  <si>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</si>
  <si>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</si>
  <si>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</si>
  <si>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</si>
  <si>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</si>
  <si>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</si>
  <si>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</si>
  <si>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</si>
  <si>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</si>
  <si>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</si>
  <si>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</si>
  <si>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</si>
  <si>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</si>
  <si>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</si>
  <si>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</si>
  <si>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</si>
  <si>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</si>
  <si>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</si>
  <si>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</si>
  <si>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</si>
  <si>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</si>
  <si>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</si>
  <si>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</si>
  <si>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</si>
  <si>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</si>
  <si>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</si>
  <si>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</si>
  <si>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</si>
  <si>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</si>
  <si>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</si>
  <si>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</si>
  <si>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</si>
  <si>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</si>
  <si>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</si>
  <si>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</si>
  <si>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</si>
  <si>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</si>
  <si>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</si>
  <si>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</si>
  <si>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</si>
  <si>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</si>
  <si>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</si>
  <si>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</si>
  <si>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</si>
  <si>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</si>
  <si>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</si>
  <si>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</si>
  <si>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</si>
  <si>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</si>
  <si>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</si>
  <si>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</si>
  <si>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</si>
  <si>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</si>
  <si>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</si>
  <si>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</si>
  <si>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</si>
  <si>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</si>
  <si>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</si>
  <si>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</si>
  <si>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</si>
  <si>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</si>
  <si>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</si>
  <si>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</si>
  <si>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</si>
  <si>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</si>
  <si>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</si>
  <si>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</si>
  <si>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</si>
  <si>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</si>
  <si>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</si>
  <si>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</si>
  <si>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</si>
  <si>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</si>
  <si>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</si>
  <si>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</si>
  <si>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</si>
  <si>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</si>
  <si>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</si>
  <si>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</si>
  <si>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</si>
  <si>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</si>
  <si>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</si>
  <si>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</si>
  <si>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</si>
  <si>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</si>
  <si>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</si>
  <si>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</si>
  <si>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</si>
  <si>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</si>
  <si>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</si>
  <si>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</si>
  <si>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</si>
  <si>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</si>
  <si>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</si>
  <si>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</si>
  <si>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</si>
  <si>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</si>
  <si>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</si>
  <si>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</si>
  <si>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</si>
  <si>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</si>
  <si>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</si>
  <si>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</si>
  <si>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</si>
  <si>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</si>
  <si>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</si>
  <si>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</si>
  <si>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</si>
  <si>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</si>
  <si>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</si>
  <si>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</si>
  <si>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</si>
  <si>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</si>
  <si>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</si>
  <si>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</si>
  <si>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</si>
  <si>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</si>
  <si>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</si>
  <si>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</si>
  <si>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</si>
  <si>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</si>
  <si>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</si>
  <si>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</si>
  <si>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</si>
  <si>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</si>
  <si>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</si>
  <si>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</si>
  <si>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</si>
  <si>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</si>
  <si>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</si>
  <si>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</si>
  <si>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</si>
  <si>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</si>
  <si>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</si>
  <si>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</si>
  <si>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</si>
  <si>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</si>
  <si>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</si>
  <si>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</si>
  <si>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</si>
  <si>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</si>
  <si>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</si>
  <si>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</si>
  <si>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</si>
  <si>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</si>
  <si>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</si>
  <si>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</si>
  <si>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</si>
  <si>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</si>
  <si>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</si>
  <si>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</si>
  <si>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</si>
  <si>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</si>
  <si>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</si>
  <si>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</si>
  <si>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</si>
  <si>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</si>
  <si>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</si>
  <si>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</si>
  <si>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</si>
  <si>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</si>
  <si>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</si>
  <si>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</si>
  <si>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</si>
  <si>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</si>
  <si>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</si>
  <si>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</si>
  <si>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</si>
  <si>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</si>
  <si>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</si>
  <si>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</si>
  <si>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</si>
  <si>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</si>
  <si>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</si>
  <si>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</si>
  <si>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</si>
  <si>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</si>
  <si>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</si>
  <si>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</si>
  <si>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</si>
  <si>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</si>
  <si>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</si>
  <si>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</si>
  <si>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</si>
  <si>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</si>
  <si>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</si>
  <si>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</si>
  <si>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</si>
  <si>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</si>
  <si>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</si>
  <si>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</si>
  <si>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</si>
  <si>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</si>
  <si>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</si>
  <si>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</si>
  <si>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</si>
  <si>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</si>
  <si>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</si>
  <si>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</si>
  <si>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</si>
  <si>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</si>
  <si>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</si>
  <si>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</si>
  <si>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</si>
  <si>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</si>
  <si>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</si>
  <si>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</si>
  <si>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</si>
  <si>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</si>
  <si>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</si>
  <si>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</si>
  <si>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</si>
  <si>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</si>
  <si>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</si>
  <si>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</si>
  <si>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</si>
  <si>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</si>
  <si>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</si>
  <si>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</si>
  <si>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</si>
  <si>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</si>
  <si>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</si>
  <si>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</si>
  <si>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</si>
  <si>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</si>
  <si>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</si>
  <si>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</si>
  <si>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</si>
  <si>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</si>
  <si>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</si>
  <si>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</si>
  <si>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</si>
  <si>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</si>
  <si>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</si>
  <si>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</si>
  <si>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</si>
  <si>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</si>
  <si>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</si>
  <si>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</si>
  <si>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</si>
  <si>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</si>
  <si>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</si>
  <si>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</si>
  <si>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</si>
  <si>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</si>
  <si>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</si>
  <si>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</si>
  <si>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</si>
  <si>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</si>
  <si>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</si>
  <si>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</si>
  <si>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</si>
  <si>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</si>
  <si>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</si>
  <si>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</si>
  <si>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</si>
  <si>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</si>
  <si>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</si>
  <si>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</si>
  <si>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</si>
  <si>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</si>
  <si>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</si>
  <si>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</si>
  <si>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</si>
  <si>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</si>
  <si>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</si>
  <si>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</si>
  <si>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</si>
  <si>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</si>
  <si>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</si>
  <si>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</si>
  <si>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</si>
  <si>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</si>
  <si>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</si>
  <si>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</si>
  <si>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</si>
  <si>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</si>
  <si>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</si>
  <si>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</si>
  <si>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</si>
  <si>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</si>
  <si>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</si>
  <si>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</si>
  <si>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</si>
  <si>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</si>
  <si>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</si>
  <si>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</si>
  <si>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</si>
  <si>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</si>
  <si>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</si>
  <si>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</si>
  <si>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</si>
  <si>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</si>
  <si>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</si>
  <si>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</si>
  <si>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</si>
  <si>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</si>
  <si>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</si>
  <si>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</si>
  <si>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</si>
  <si>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</si>
  <si>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</si>
  <si>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</si>
  <si>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</si>
  <si>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</si>
  <si>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</si>
  <si>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</si>
  <si>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</si>
  <si>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</si>
  <si>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</si>
  <si>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</si>
  <si>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</si>
  <si>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</si>
  <si>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</si>
  <si>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</si>
  <si>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</si>
  <si>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</si>
  <si>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</si>
  <si>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</si>
  <si>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</si>
  <si>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</si>
  <si>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</si>
  <si>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</si>
  <si>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</si>
  <si>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</si>
  <si>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</si>
  <si>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</si>
  <si>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</si>
  <si>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</si>
  <si>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</si>
  <si>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</si>
  <si>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</si>
  <si>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</si>
  <si>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</si>
  <si>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</si>
  <si>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</si>
  <si>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</si>
  <si>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</si>
  <si>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</si>
  <si>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</si>
  <si>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</si>
  <si>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</si>
  <si>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</si>
  <si>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</si>
  <si>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</si>
  <si>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</si>
  <si>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</si>
  <si>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</si>
  <si>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</si>
  <si>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</si>
  <si>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</si>
  <si>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</si>
  <si>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</si>
  <si>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</si>
  <si>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</si>
  <si>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</si>
  <si>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</si>
  <si>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</si>
  <si>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</si>
  <si>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</si>
  <si>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</si>
  <si>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</si>
  <si>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</si>
  <si>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</si>
  <si>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</si>
  <si>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</si>
  <si>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</si>
  <si>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</si>
  <si>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</si>
  <si>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</si>
  <si>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</si>
  <si>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</si>
  <si>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</si>
  <si>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</si>
  <si>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</si>
  <si>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</si>
  <si>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</si>
  <si>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</si>
  <si>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</si>
  <si>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</si>
  <si>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</si>
  <si>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</si>
  <si>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</si>
  <si>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</si>
  <si>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</si>
  <si>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</si>
  <si>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</si>
  <si>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</si>
  <si>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</si>
  <si>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</si>
  <si>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</si>
  <si>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</si>
  <si>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</si>
  <si>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</si>
  <si>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</si>
  <si>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</si>
  <si>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</si>
  <si>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</si>
  <si>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</si>
  <si>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</si>
  <si>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</si>
  <si>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</si>
  <si>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</si>
  <si>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</si>
  <si>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</si>
  <si>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</si>
  <si>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</si>
  <si>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</si>
  <si>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</si>
  <si>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</si>
  <si>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</si>
  <si>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</si>
  <si>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</si>
  <si>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</si>
  <si>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</si>
  <si>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</si>
  <si>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</si>
  <si>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</si>
  <si>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</si>
  <si>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</si>
  <si>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</si>
  <si>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</si>
  <si>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</si>
  <si>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</si>
  <si>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</si>
  <si>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</si>
  <si>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</si>
  <si>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</si>
  <si>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</si>
  <si>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</si>
  <si>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</si>
  <si>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</si>
  <si>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</si>
  <si>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</si>
  <si>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</si>
  <si>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</si>
  <si>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</si>
  <si>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</si>
  <si>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</si>
  <si>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</si>
  <si>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</si>
  <si>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</si>
  <si>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</si>
  <si>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</si>
  <si>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</si>
  <si>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</si>
  <si>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</si>
  <si>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</si>
  <si>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</si>
  <si>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</si>
  <si>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</si>
  <si>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</si>
  <si>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</si>
  <si>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</si>
  <si>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</si>
  <si>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</si>
  <si>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</si>
  <si>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</si>
  <si>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</si>
  <si>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</si>
  <si>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</si>
  <si>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</si>
  <si>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</si>
  <si>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</si>
  <si>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</si>
  <si>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</si>
  <si>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</si>
  <si>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</si>
  <si>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</si>
  <si>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</si>
  <si>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</si>
  <si>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</si>
  <si>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</si>
  <si>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</si>
  <si>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</si>
  <si>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</si>
  <si>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</si>
  <si>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</si>
  <si>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</si>
  <si>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</si>
  <si>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</si>
  <si>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</si>
  <si>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</si>
  <si>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</si>
  <si>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</si>
  <si>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</si>
  <si>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</si>
  <si>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</si>
  <si>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</si>
  <si>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</si>
  <si>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</si>
  <si>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</si>
  <si>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</si>
  <si>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</si>
  <si>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</si>
  <si>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</si>
  <si>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</si>
  <si>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</si>
  <si>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</si>
  <si>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</si>
  <si>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</si>
  <si>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</si>
  <si>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</si>
  <si>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</si>
  <si>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</si>
  <si>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</si>
  <si>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</si>
  <si>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</si>
  <si>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</si>
  <si>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</si>
  <si>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</si>
  <si>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</si>
  <si>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</si>
  <si>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</si>
  <si>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</si>
  <si>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</si>
  <si>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</si>
  <si>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</si>
  <si>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</si>
  <si>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</si>
  <si>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</si>
  <si>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</si>
  <si>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</si>
  <si>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</si>
  <si>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</si>
  <si>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</si>
  <si>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</si>
  <si>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</si>
  <si>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</si>
  <si>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</si>
  <si>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</si>
  <si>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</si>
  <si>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</si>
  <si>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</si>
  <si>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</si>
  <si>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</si>
  <si>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</si>
  <si>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</si>
  <si>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</si>
  <si>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</si>
  <si>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</si>
  <si>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</si>
  <si>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</si>
  <si>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</si>
  <si>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</si>
  <si>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</si>
  <si>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</si>
  <si>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</si>
  <si>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</si>
  <si>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</si>
  <si>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</si>
  <si>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</si>
  <si>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</si>
  <si>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</si>
  <si>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</si>
  <si>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</si>
  <si>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</si>
  <si>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</si>
  <si>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</si>
  <si>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</si>
  <si>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</si>
  <si>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</si>
  <si>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</si>
  <si>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</si>
  <si>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</si>
  <si>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</si>
  <si>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</si>
  <si>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</si>
  <si>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</si>
  <si>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</si>
  <si>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</si>
  <si>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</si>
  <si>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</si>
  <si>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</si>
  <si>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</si>
  <si>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</si>
  <si>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</si>
  <si>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</si>
  <si>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</si>
  <si>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</si>
  <si>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</si>
  <si>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</si>
  <si>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</si>
  <si>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</si>
  <si>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</si>
  <si>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</si>
  <si>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</si>
  <si>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</si>
  <si>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</si>
  <si>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</si>
  <si>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</si>
  <si>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</si>
  <si>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地下</t>
  </si>
  <si>
    <t>工业</t>
    <phoneticPr fontId="7" type="noConversion"/>
  </si>
  <si>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</si>
  <si>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</si>
  <si>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</si>
  <si>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</si>
  <si>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</si>
  <si>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</si>
  <si>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</si>
  <si>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</si>
  <si>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</si>
  <si>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</si>
  <si>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</si>
  <si>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</si>
  <si>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</si>
  <si>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</si>
  <si>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</si>
  <si>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</si>
  <si>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</si>
  <si>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</si>
  <si>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郑燚</t>
  </si>
  <si>
    <t>一般</t>
  </si>
  <si>
    <t>5号楼</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</si>
  <si>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</si>
  <si>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钢混</t>
    <phoneticPr fontId="3" type="noConversion"/>
  </si>
  <si>
    <t>2号楼</t>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</si>
  <si>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</si>
  <si>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</si>
  <si>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6</t>
    </r>
    <r>
      <rPr>
        <sz val="10"/>
        <color indexed="8"/>
        <rFont val="宋体"/>
        <family val="3"/>
        <charset val="134"/>
      </rPr>
      <t>层</t>
    </r>
    <phoneticPr fontId="3" type="noConversion"/>
  </si>
  <si>
    <t>厂房</t>
    <phoneticPr fontId="134" type="noConversion"/>
  </si>
  <si>
    <t>综合楼</t>
    <phoneticPr fontId="134" type="noConversion"/>
  </si>
  <si>
    <t>Ⅵ-永丰产业基地</t>
  </si>
  <si>
    <t>崔锴</t>
  </si>
  <si>
    <t>成新度</t>
  </si>
  <si>
    <t>建成</t>
    <phoneticPr fontId="3" type="noConversion"/>
  </si>
  <si>
    <t>直线</t>
    <phoneticPr fontId="3" type="noConversion"/>
  </si>
  <si>
    <t>较好</t>
    <phoneticPr fontId="40" type="noConversion"/>
  </si>
  <si>
    <t>较好</t>
    <phoneticPr fontId="40" type="noConversion"/>
  </si>
  <si>
    <t>一般</t>
    <phoneticPr fontId="40" type="noConversion"/>
  </si>
  <si>
    <t>七通</t>
    <phoneticPr fontId="24" type="noConversion"/>
  </si>
  <si>
    <t>不临65条商业街</t>
  </si>
  <si>
    <t>通路</t>
  </si>
  <si>
    <t>通电</t>
  </si>
  <si>
    <t>通讯</t>
  </si>
  <si>
    <t>通上水</t>
  </si>
  <si>
    <t>通下水</t>
  </si>
  <si>
    <t>燃气</t>
  </si>
  <si>
    <t>平整</t>
  </si>
  <si>
    <t>与级别开发程度不一致</t>
  </si>
  <si>
    <t>现房</t>
  </si>
  <si>
    <t>项目全部</t>
  </si>
  <si>
    <t>建筑物价值</t>
  </si>
  <si>
    <t>空地</t>
    <phoneticPr fontId="3" type="noConversion"/>
  </si>
  <si>
    <t>同一法人企业间</t>
    <phoneticPr fontId="3" type="noConversion"/>
  </si>
  <si>
    <t>二期厂房</t>
    <phoneticPr fontId="3" type="noConversion"/>
  </si>
  <si>
    <r>
      <t>8</t>
    </r>
    <r>
      <rPr>
        <sz val="11"/>
        <color theme="1"/>
        <rFont val="宋体"/>
        <family val="3"/>
        <charset val="134"/>
        <scheme val="minor"/>
      </rPr>
      <t>.75米</t>
    </r>
    <phoneticPr fontId="134" type="noConversion"/>
  </si>
  <si>
    <t>局部年租金</t>
    <phoneticPr fontId="3" type="noConversion"/>
  </si>
  <si>
    <t>单价</t>
    <phoneticPr fontId="3" type="noConversion"/>
  </si>
  <si>
    <t>需求净值1.35</t>
    <phoneticPr fontId="8" type="noConversion"/>
  </si>
  <si>
    <r>
      <t>8</t>
    </r>
    <r>
      <rPr>
        <sz val="11"/>
        <color theme="1"/>
        <rFont val="宋体"/>
        <family val="3"/>
        <charset val="134"/>
        <scheme val="minor"/>
      </rPr>
      <t>.7米</t>
    </r>
    <phoneticPr fontId="134" type="noConversion"/>
  </si>
  <si>
    <t>观察</t>
    <phoneticPr fontId="3" type="noConversion"/>
  </si>
  <si>
    <t>综合</t>
    <phoneticPr fontId="3" type="noConversion"/>
  </si>
  <si>
    <t>锅炉房</t>
    <phoneticPr fontId="3" type="noConversion"/>
  </si>
  <si>
    <t>面积</t>
    <phoneticPr fontId="3" type="noConversion"/>
  </si>
  <si>
    <t>建安</t>
    <phoneticPr fontId="3" type="noConversion"/>
  </si>
  <si>
    <t>层高</t>
    <phoneticPr fontId="3" type="noConversion"/>
  </si>
  <si>
    <t>实际成本</t>
    <phoneticPr fontId="3" type="noConversion"/>
  </si>
  <si>
    <t>一期</t>
    <phoneticPr fontId="8" type="noConversion"/>
  </si>
  <si>
    <t>二期</t>
    <phoneticPr fontId="8" type="noConversion"/>
  </si>
  <si>
    <t>合计</t>
    <phoneticPr fontId="8" type="noConversion"/>
  </si>
  <si>
    <t>地上</t>
    <phoneticPr fontId="8" type="noConversion"/>
  </si>
  <si>
    <t xml:space="preserve"> </t>
    <phoneticPr fontId="8" type="noConversion"/>
  </si>
  <si>
    <t>面积</t>
    <phoneticPr fontId="8" type="noConversion"/>
  </si>
  <si>
    <t>地价</t>
    <phoneticPr fontId="8" type="noConversion"/>
  </si>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</sst>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179" fontId="44" fillId="22" borderId="23" xfId="0" applyNumberFormat="1" applyFont="1" applyFill="1" applyBorder="1" applyAlignment="1" applyProtection="1">
      <alignment horizontal="center"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96" fontId="98" fillId="0" borderId="23" xfId="0" applyNumberFormat="1" applyFont="1" applyFill="1" applyBorder="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114" fillId="7" borderId="0" xfId="0" applyFont="1" applyFill="1" applyProtection="1">
      <alignment vertical="center"/>
      <protection locked="0"/>
    </xf>
    <xf numFmtId="0" fontId="114" fillId="6"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341828</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0"/>
          <a:ext cx="8571428" cy="5952381"/>
        </a:xfrm>
        <a:prstGeom prst="rect">
          <a:avLst/>
        </a:prstGeom>
      </xdr:spPr>
    </xdr:pic>
    <xdr:clientData/>
  </xdr:twoCellAnchor>
  <xdr:twoCellAnchor editAs="oneCell">
    <xdr:from>
      <xdr:col>0</xdr:col>
      <xdr:colOff>0</xdr:colOff>
      <xdr:row>9</xdr:row>
      <xdr:rowOff>0</xdr:rowOff>
    </xdr:from>
    <xdr:to>
      <xdr:col>10</xdr:col>
      <xdr:colOff>484857</xdr:colOff>
      <xdr:row>54</xdr:row>
      <xdr:rowOff>84750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342857" cy="7800000"/>
        </a:xfrm>
        <a:prstGeom prst="rect">
          <a:avLst/>
        </a:prstGeom>
      </xdr:spPr>
    </xdr:pic>
    <xdr:clientData/>
  </xdr:twoCellAnchor>
  <xdr:twoCellAnchor editAs="oneCell">
    <xdr:from>
      <xdr:col>11</xdr:col>
      <xdr:colOff>0</xdr:colOff>
      <xdr:row>38</xdr:row>
      <xdr:rowOff>0</xdr:rowOff>
    </xdr:from>
    <xdr:to>
      <xdr:col>22</xdr:col>
      <xdr:colOff>27628</xdr:colOff>
      <xdr:row>62</xdr:row>
      <xdr:rowOff>132819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6515100"/>
          <a:ext cx="757142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估价对象为北京市房地产，为所有。根据《国有土地使用证》[]，估价对象（分摊）出让国有建设用地使用权面积为7963.76平方米，建筑面积为13590.15平方米。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估价对象为北京市房地产,为开发建设的，该项目尚在开发建设中。根据《国有土地使用证》[]，估价对象（分摊）出让国有建设用地使用权面积为7963.76平方米，规划建筑面积为13590.15平方米。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15969</v>
      </c>
    </row>
    <row r="21" spans="1:2" s="1203" customFormat="1">
      <c r="A21" s="1201" t="s">
        <v>537</v>
      </c>
      <c r="B21" s="1202">
        <f ca="1">'预评函-2'!D7</f>
        <v>11750</v>
      </c>
    </row>
    <row r="22" spans="1:2" s="1203" customFormat="1">
      <c r="A22" s="1201" t="s">
        <v>538</v>
      </c>
      <c r="B22" s="1202" t="str">
        <f ca="1">'预评函-2'!D6</f>
        <v>壹亿伍仟玖佰陆拾玖万元整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15969</v>
      </c>
    </row>
    <row r="31" spans="1:2" s="1203" customFormat="1">
      <c r="A31" s="1201" t="s">
        <v>576</v>
      </c>
      <c r="B31" s="1202">
        <f ca="1">'预评函-2'!D15</f>
        <v>11750</v>
      </c>
    </row>
    <row r="32" spans="1:2" s="1203" customFormat="1">
      <c r="A32" s="1201" t="s">
        <v>543</v>
      </c>
      <c r="B32" s="1202" t="str">
        <f ca="1">'预评函-2'!D14</f>
        <v>壹亿伍仟玖佰陆拾玖万元整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13547</v>
      </c>
    </row>
    <row r="39" spans="1:2" s="1203" customFormat="1">
      <c r="A39" s="1201" t="s">
        <v>545</v>
      </c>
      <c r="B39" s="1202">
        <f ca="1">'预评函-2'!D21</f>
        <v>9968</v>
      </c>
    </row>
    <row r="40" spans="1:2" s="1203" customFormat="1">
      <c r="A40" s="1201" t="s">
        <v>546</v>
      </c>
      <c r="B40" s="1202" t="str">
        <f ca="1">'预评函-2'!D20</f>
        <v>壹亿叁仟伍佰肆拾柒万元整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13590.15</v>
      </c>
    </row>
    <row r="44" spans="1:2" s="1203" customFormat="1">
      <c r="A44" s="1201" t="s">
        <v>575</v>
      </c>
      <c r="B44" s="1202" t="str">
        <f>'预评函-3'!C2</f>
        <v>(分摊)土地面积</v>
      </c>
    </row>
    <row r="45" spans="1:2" s="1203" customFormat="1">
      <c r="A45" s="1201" t="s">
        <v>547</v>
      </c>
      <c r="B45" s="1202">
        <f>'预评函-3'!C4</f>
        <v>7963.76</v>
      </c>
    </row>
    <row r="46" spans="1:2" s="1203" customFormat="1">
      <c r="A46" s="1201" t="s">
        <v>573</v>
      </c>
      <c r="B46" s="1202" t="str">
        <f>'预评函-3'!D2</f>
        <v>出让国有建设用地使用权价值</v>
      </c>
    </row>
    <row r="47" spans="1:2" s="1203" customFormat="1">
      <c r="A47" s="1201" t="s">
        <v>548</v>
      </c>
      <c r="B47" s="1202">
        <f ca="1">'预评函-3'!D4</f>
        <v>6643</v>
      </c>
    </row>
    <row r="48" spans="1:2" s="1203" customFormat="1">
      <c r="A48" s="1201" t="s">
        <v>549</v>
      </c>
      <c r="B48" s="1202">
        <f ca="1">'预评函-3'!E4</f>
        <v>4888</v>
      </c>
    </row>
    <row r="49" spans="1:2" s="1203" customFormat="1">
      <c r="A49" s="1201" t="s">
        <v>550</v>
      </c>
      <c r="B49" s="1202" t="str">
        <f ca="1">'预评函-3'!D5</f>
        <v>陆仟陆佰肆拾叁万元整</v>
      </c>
    </row>
    <row r="50" spans="1:2" s="1203" customFormat="1">
      <c r="A50" s="1201" t="s">
        <v>574</v>
      </c>
      <c r="B50" s="1202" t="str">
        <f>'预评函-3'!F2</f>
        <v>建筑物价值</v>
      </c>
    </row>
    <row r="51" spans="1:2" s="1203" customFormat="1">
      <c r="A51" s="1201" t="s">
        <v>551</v>
      </c>
      <c r="B51" s="1202">
        <f ca="1">'预评函-3'!F4</f>
        <v>9326</v>
      </c>
    </row>
    <row r="52" spans="1:2" s="1203" customFormat="1">
      <c r="A52" s="1201" t="s">
        <v>552</v>
      </c>
      <c r="B52" s="1202">
        <f ca="1">'预评函-3'!G4</f>
        <v>6862</v>
      </c>
    </row>
    <row r="53" spans="1:2" s="1203" customFormat="1">
      <c r="A53" s="1201" t="s">
        <v>580</v>
      </c>
      <c r="B53" s="1202" t="str">
        <f ca="1">'预评函-3'!F5</f>
        <v>玖仟叁佰贰拾陆万元整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2499</v>
      </c>
      <c r="B1" s="2993"/>
      <c r="C1" s="2993"/>
      <c r="D1" s="2993"/>
      <c r="E1" s="2993"/>
      <c r="F1" s="2994"/>
      <c r="I1" s="3416" t="s">
        <v>2592</v>
      </c>
      <c r="J1" s="3205"/>
      <c r="K1" s="3205"/>
      <c r="L1" s="3205"/>
      <c r="M1" s="3205"/>
      <c r="N1" s="3417"/>
      <c r="O1" s="3417"/>
      <c r="P1" s="3417"/>
      <c r="Q1" s="3417"/>
      <c r="R1" s="3417"/>
    </row>
    <row r="2" spans="1:18">
      <c r="A2" s="2996"/>
      <c r="B2" s="2997"/>
      <c r="C2" s="2997"/>
      <c r="D2" s="2997"/>
      <c r="E2" s="2997"/>
      <c r="F2" s="2998"/>
      <c r="I2" s="3500" t="s">
        <v>2579</v>
      </c>
      <c r="J2" s="3500"/>
      <c r="K2" s="3500"/>
      <c r="L2" s="3500"/>
      <c r="M2" s="3500"/>
      <c r="N2" s="3500"/>
      <c r="O2" s="3500"/>
      <c r="P2" s="3500"/>
      <c r="Q2" s="3500"/>
      <c r="R2" s="3500"/>
    </row>
    <row r="3" spans="1:18">
      <c r="A3" s="2999" t="s">
        <v>2500</v>
      </c>
      <c r="B3" s="3000">
        <f>项目基本情况!D3</f>
        <v>45631</v>
      </c>
      <c r="C3" s="3002"/>
      <c r="D3" s="3002"/>
      <c r="E3" s="3002"/>
      <c r="F3" s="2998"/>
      <c r="I3" s="3418"/>
      <c r="J3" s="3418" t="s">
        <v>2583</v>
      </c>
      <c r="K3" s="3418" t="s">
        <v>2584</v>
      </c>
      <c r="L3" s="3418" t="s">
        <v>2585</v>
      </c>
      <c r="M3" s="3418" t="s">
        <v>2586</v>
      </c>
      <c r="N3" s="3419" t="s">
        <v>2587</v>
      </c>
      <c r="O3" s="3419" t="s">
        <v>2588</v>
      </c>
      <c r="P3" s="3419" t="s">
        <v>2589</v>
      </c>
      <c r="Q3" s="3419" t="s">
        <v>2590</v>
      </c>
      <c r="R3" s="3419" t="s">
        <v>2591</v>
      </c>
    </row>
    <row r="4" spans="1:18">
      <c r="A4" s="2999" t="s">
        <v>2501</v>
      </c>
      <c r="B4" s="3002" t="s">
        <v>2502</v>
      </c>
      <c r="C4" s="3002" t="s">
        <v>2503</v>
      </c>
      <c r="D4" s="3002" t="s">
        <v>2504</v>
      </c>
      <c r="E4" s="3002" t="s">
        <v>2505</v>
      </c>
      <c r="F4" s="2998"/>
      <c r="I4" s="3418" t="s">
        <v>2580</v>
      </c>
      <c r="J4" s="3418">
        <v>80</v>
      </c>
      <c r="K4" s="3418">
        <v>70</v>
      </c>
      <c r="L4" s="3418">
        <v>20</v>
      </c>
      <c r="M4" s="3418">
        <v>30</v>
      </c>
      <c r="N4" s="3002">
        <v>45</v>
      </c>
      <c r="O4" s="3002">
        <v>60</v>
      </c>
      <c r="P4" s="3002">
        <v>50</v>
      </c>
      <c r="Q4" s="3002">
        <v>20</v>
      </c>
      <c r="R4" s="3002">
        <v>375</v>
      </c>
    </row>
    <row r="5" spans="1:18">
      <c r="A5" s="3003">
        <v>40</v>
      </c>
      <c r="B5" s="3000">
        <v>46375</v>
      </c>
      <c r="C5" s="3002">
        <f>ROUNDDOWN(MIN((B5-B3)/365,A5),2)</f>
        <v>2.0299999999999998</v>
      </c>
      <c r="D5" s="3004">
        <f>IF(ISERROR(ROUND(POWER(1+E5,A5-C5)*(POWER(1+E5,C5)-1)/(POWER(1+E5,A5)-1),3)),0,ROUND(POWER(1+E5,A5-C5)*(POWER(1+E5,C5)-1)/(POWER(1+E5,A5)-1),4))</f>
        <v>9.6699999999999994E-2</v>
      </c>
      <c r="E5" s="3005">
        <v>0.04</v>
      </c>
      <c r="F5" s="2998"/>
      <c r="I5" s="3418" t="s">
        <v>2581</v>
      </c>
      <c r="J5" s="3418">
        <v>70</v>
      </c>
      <c r="K5" s="3418">
        <v>60</v>
      </c>
      <c r="L5" s="3418">
        <v>15</v>
      </c>
      <c r="M5" s="3418">
        <v>25</v>
      </c>
      <c r="N5" s="3002">
        <v>40</v>
      </c>
      <c r="O5" s="3002">
        <v>50</v>
      </c>
      <c r="P5" s="3002">
        <v>40</v>
      </c>
      <c r="Q5" s="3002">
        <v>15</v>
      </c>
      <c r="R5" s="3002">
        <v>315</v>
      </c>
    </row>
    <row r="6" spans="1:18">
      <c r="A6" s="3003">
        <v>50</v>
      </c>
      <c r="B6" s="3000">
        <v>50028</v>
      </c>
      <c r="C6" s="3002">
        <f>ROUNDDOWN(MIN((B6-B3)/365,A6),2)</f>
        <v>12.04</v>
      </c>
      <c r="D6" s="3004">
        <f>IF(ISERROR(ROUND(POWER(1+E6,A6-C6)*(POWER(1+E6,C6)-1)/(POWER(1+E6,A6)-1),3)),0,ROUND(POWER(1+E6,A6-C6)*(POWER(1+E6,C6)-1)/(POWER(1+E6,A6)-1),4))</f>
        <v>0.438</v>
      </c>
      <c r="E6" s="3005">
        <v>0.04</v>
      </c>
      <c r="F6" s="2998"/>
      <c r="I6" s="3418" t="s">
        <v>2582</v>
      </c>
      <c r="J6" s="3418">
        <v>60</v>
      </c>
      <c r="K6" s="3418">
        <v>50</v>
      </c>
      <c r="L6" s="3418">
        <v>10</v>
      </c>
      <c r="M6" s="3418">
        <v>20</v>
      </c>
      <c r="N6" s="3002">
        <v>35</v>
      </c>
      <c r="O6" s="3002">
        <v>40</v>
      </c>
      <c r="P6" s="3002">
        <v>30</v>
      </c>
      <c r="Q6" s="3002">
        <v>10</v>
      </c>
      <c r="R6" s="3002">
        <v>255</v>
      </c>
    </row>
    <row r="7" spans="1:18">
      <c r="A7" s="3003">
        <v>70</v>
      </c>
      <c r="B7" s="3000">
        <v>57333</v>
      </c>
      <c r="C7" s="3002">
        <f>ROUNDDOWN(MIN((B7-B3)/365,A7),2)</f>
        <v>32.06</v>
      </c>
      <c r="D7" s="3004">
        <f>IF(ISERROR(ROUND(POWER(1+E7,A7-C7)*(POWER(1+E7,C7)-1)/(POWER(1+E7,A7)-1),3)),0,ROUND(POWER(1+E7,A7-C7)*(POWER(1+E7,C7)-1)/(POWER(1+E7,A7)-1),4))</f>
        <v>0.76470000000000005</v>
      </c>
      <c r="E7" s="3005">
        <v>0.04</v>
      </c>
      <c r="F7" s="2998"/>
    </row>
    <row r="8" spans="1:18">
      <c r="A8" s="2996"/>
      <c r="B8" s="2997"/>
      <c r="C8" s="2997"/>
      <c r="D8" s="2997"/>
      <c r="E8" s="2997"/>
      <c r="F8" s="2998"/>
    </row>
    <row r="9" spans="1:18">
      <c r="A9" s="2999" t="s">
        <v>2506</v>
      </c>
      <c r="B9" s="3002"/>
      <c r="C9" s="3002"/>
      <c r="D9" s="3002"/>
      <c r="E9" s="3002"/>
      <c r="F9" s="3006"/>
    </row>
    <row r="10" spans="1:18">
      <c r="A10" s="2999" t="s">
        <v>2507</v>
      </c>
      <c r="B10" s="3002"/>
      <c r="C10" s="3002"/>
      <c r="D10" s="3002" t="s">
        <v>2505</v>
      </c>
      <c r="E10" s="3002"/>
      <c r="F10" s="3006" t="s">
        <v>2504</v>
      </c>
    </row>
    <row r="11" spans="1:18">
      <c r="A11" s="2999" t="s">
        <v>2508</v>
      </c>
      <c r="B11" s="3007">
        <v>70</v>
      </c>
      <c r="C11" s="3002" t="s">
        <v>2509</v>
      </c>
      <c r="D11" s="3008">
        <v>4.4999999999999998E-2</v>
      </c>
      <c r="E11" s="3002" t="s">
        <v>2510</v>
      </c>
      <c r="F11" s="3009">
        <f>ROUND(1-(1/(POWER(1+D11,B11))),4)</f>
        <v>0.95409999999999995</v>
      </c>
    </row>
    <row r="12" spans="1:18">
      <c r="A12" s="2999" t="s">
        <v>2511</v>
      </c>
      <c r="B12" s="3007">
        <v>40</v>
      </c>
      <c r="C12" s="3002" t="s">
        <v>2512</v>
      </c>
      <c r="D12" s="3008">
        <v>4.4999999999999998E-2</v>
      </c>
      <c r="E12" s="3002" t="s">
        <v>2513</v>
      </c>
      <c r="F12" s="3009">
        <f>ROUND(1-(1/(POWER(1+D12,B12))),4)</f>
        <v>0.82809999999999995</v>
      </c>
    </row>
    <row r="13" spans="1:18">
      <c r="A13" s="2999" t="s">
        <v>2514</v>
      </c>
      <c r="B13" s="3002"/>
      <c r="C13" s="3002"/>
      <c r="D13" s="2997"/>
      <c r="E13" s="2997"/>
      <c r="F13" s="2998"/>
    </row>
    <row r="14" spans="1:18">
      <c r="A14" s="2999" t="s">
        <v>2515</v>
      </c>
      <c r="B14" s="3007">
        <v>5000</v>
      </c>
      <c r="C14" s="3001"/>
      <c r="D14" s="2997"/>
      <c r="E14" s="2997"/>
      <c r="F14" s="2998"/>
    </row>
    <row r="15" spans="1:18">
      <c r="A15" s="2999" t="s">
        <v>2516</v>
      </c>
      <c r="B15" s="3002">
        <f>ROUND(B14*F12/F11,2)</f>
        <v>4339.6899999999996</v>
      </c>
      <c r="C15" s="3002">
        <f>ROUND(F12/F11,4)</f>
        <v>0.8679</v>
      </c>
      <c r="D15" s="2997"/>
      <c r="E15" s="2997"/>
      <c r="F15" s="2998"/>
    </row>
    <row r="16" spans="1:18">
      <c r="A16" s="2999" t="s">
        <v>2517</v>
      </c>
      <c r="B16" s="3002"/>
      <c r="C16" s="3002"/>
      <c r="D16" s="2997"/>
      <c r="E16" s="2997"/>
      <c r="F16" s="2998"/>
    </row>
    <row r="17" spans="1:13">
      <c r="A17" s="2999" t="s">
        <v>2516</v>
      </c>
      <c r="B17" s="3008">
        <v>4810</v>
      </c>
      <c r="C17" s="3001"/>
      <c r="D17" s="2997"/>
      <c r="E17" s="2997"/>
      <c r="F17" s="2998"/>
    </row>
    <row r="18" spans="1:13" ht="14.25" thickBot="1">
      <c r="A18" s="3010" t="s">
        <v>2515</v>
      </c>
      <c r="B18" s="3011">
        <f>ROUND(B17*F11/F12,2)</f>
        <v>5541.87</v>
      </c>
      <c r="C18" s="3011">
        <f>ROUND(F11/F12,4)</f>
        <v>1.1521999999999999</v>
      </c>
      <c r="D18" s="3012"/>
      <c r="E18" s="3012"/>
      <c r="F18" s="3013"/>
    </row>
    <row r="19" spans="1:13" ht="14.25" thickBot="1"/>
    <row r="20" spans="1:13" s="3048" customFormat="1" ht="14.25" thickTop="1">
      <c r="A20" s="3045" t="s">
        <v>2518</v>
      </c>
      <c r="B20" s="3046"/>
      <c r="C20" s="3046"/>
      <c r="D20" s="3046"/>
      <c r="E20" s="3046"/>
      <c r="F20" s="3046"/>
      <c r="G20" s="3047"/>
      <c r="I20" s="3049" t="s">
        <v>2563</v>
      </c>
      <c r="J20" s="3049" t="s">
        <v>2568</v>
      </c>
      <c r="K20" s="3049"/>
      <c r="L20" s="3049"/>
      <c r="M20" s="3049"/>
    </row>
    <row r="21" spans="1:13">
      <c r="A21" s="3014"/>
      <c r="B21" s="3015" t="s">
        <v>2519</v>
      </c>
      <c r="C21" s="3015" t="s">
        <v>2520</v>
      </c>
      <c r="D21" s="3015" t="s">
        <v>2521</v>
      </c>
      <c r="E21" s="3015" t="s">
        <v>2522</v>
      </c>
      <c r="F21" s="3015" t="s">
        <v>2523</v>
      </c>
      <c r="G21" s="3016" t="s">
        <v>2524</v>
      </c>
      <c r="I21" s="3037">
        <v>5</v>
      </c>
      <c r="J21" s="3037">
        <v>54.2</v>
      </c>
    </row>
    <row r="22" spans="1:13">
      <c r="A22" s="3014" t="s">
        <v>2525</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2526</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2566</v>
      </c>
      <c r="M23" s="3037" t="s">
        <v>2567</v>
      </c>
    </row>
    <row r="24" spans="1:13">
      <c r="A24" s="3014" t="s">
        <v>2527</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2565</v>
      </c>
      <c r="M24" s="3037">
        <v>10</v>
      </c>
    </row>
    <row r="25" spans="1:13">
      <c r="A25" s="3014" t="s">
        <v>2528</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2569</v>
      </c>
      <c r="M25" s="3037">
        <v>8</v>
      </c>
    </row>
    <row r="26" spans="1:13">
      <c r="A26" s="3019"/>
      <c r="B26" s="3020"/>
      <c r="C26" s="3020"/>
      <c r="D26" s="3020"/>
      <c r="E26" s="3020"/>
      <c r="F26" s="3020"/>
      <c r="G26" s="3021"/>
      <c r="I26" s="3037">
        <v>30</v>
      </c>
      <c r="J26" s="3037">
        <v>90.5</v>
      </c>
      <c r="K26" s="3037">
        <f t="shared" si="2"/>
        <v>4.2000000000000028</v>
      </c>
      <c r="L26" s="3037" t="s">
        <v>2570</v>
      </c>
      <c r="M26" s="3037">
        <v>5</v>
      </c>
    </row>
    <row r="27" spans="1:13">
      <c r="A27" s="3019" t="s">
        <v>2529</v>
      </c>
      <c r="B27" s="3020"/>
      <c r="C27" s="3020"/>
      <c r="D27" s="3020"/>
      <c r="E27" s="3020"/>
      <c r="F27" s="3020"/>
      <c r="G27" s="3021"/>
      <c r="I27" s="3037">
        <v>35</v>
      </c>
      <c r="J27" s="3037">
        <v>93.8</v>
      </c>
      <c r="K27" s="3037">
        <f t="shared" si="2"/>
        <v>3.2999999999999972</v>
      </c>
      <c r="L27" s="3037" t="s">
        <v>2571</v>
      </c>
      <c r="M27" s="3037">
        <v>3</v>
      </c>
    </row>
    <row r="28" spans="1:13">
      <c r="A28" s="3019" t="s">
        <v>2530</v>
      </c>
      <c r="B28" s="3020"/>
      <c r="C28" s="3020"/>
      <c r="D28" s="3020"/>
      <c r="E28" s="3020"/>
      <c r="F28" s="3020"/>
      <c r="G28" s="3021"/>
      <c r="I28" s="3037">
        <v>40</v>
      </c>
      <c r="J28" s="3037">
        <v>96.4</v>
      </c>
      <c r="K28" s="3037">
        <f t="shared" si="2"/>
        <v>2.6000000000000085</v>
      </c>
      <c r="L28" s="3037" t="s">
        <v>2572</v>
      </c>
      <c r="M28" s="3037">
        <v>2</v>
      </c>
    </row>
    <row r="29" spans="1:13">
      <c r="A29" s="3019" t="s">
        <v>2531</v>
      </c>
      <c r="B29" s="3020"/>
      <c r="C29" s="3020"/>
      <c r="D29" s="3020"/>
      <c r="E29" s="3020"/>
      <c r="F29" s="3020"/>
      <c r="G29" s="3021"/>
      <c r="I29" s="3037">
        <v>45</v>
      </c>
      <c r="J29" s="3037">
        <v>98.4</v>
      </c>
      <c r="K29" s="3037">
        <f t="shared" si="2"/>
        <v>2</v>
      </c>
    </row>
    <row r="30" spans="1:13">
      <c r="A30" s="3019" t="s">
        <v>2532</v>
      </c>
      <c r="B30" s="3020"/>
      <c r="C30" s="3020"/>
      <c r="D30" s="3020"/>
      <c r="E30" s="3020"/>
      <c r="F30" s="3020"/>
      <c r="G30" s="3021"/>
      <c r="I30" s="3037">
        <v>50</v>
      </c>
      <c r="J30" s="3037">
        <v>100</v>
      </c>
      <c r="K30" s="3037">
        <f t="shared" si="2"/>
        <v>1.5999999999999943</v>
      </c>
    </row>
    <row r="31" spans="1:13">
      <c r="A31" s="3019" t="s">
        <v>2533</v>
      </c>
      <c r="B31" s="3020"/>
      <c r="C31" s="3020"/>
      <c r="D31" s="3020"/>
      <c r="E31" s="3020"/>
      <c r="F31" s="3020"/>
      <c r="G31" s="3021"/>
      <c r="I31" s="3037" t="s">
        <v>2564</v>
      </c>
    </row>
    <row r="32" spans="1:13">
      <c r="A32" s="3019" t="s">
        <v>2534</v>
      </c>
      <c r="B32" s="3020"/>
      <c r="C32" s="3020"/>
      <c r="D32" s="3020"/>
      <c r="E32" s="3020"/>
      <c r="F32" s="3020"/>
      <c r="G32" s="3021"/>
    </row>
    <row r="33" spans="1:13">
      <c r="A33" s="3019" t="s">
        <v>2535</v>
      </c>
      <c r="B33" s="3020"/>
      <c r="C33" s="3020"/>
      <c r="D33" s="3020"/>
      <c r="E33" s="3020"/>
      <c r="F33" s="3020"/>
      <c r="G33" s="3021"/>
      <c r="I33" s="3037" t="s">
        <v>2563</v>
      </c>
      <c r="J33" s="3037" t="s">
        <v>2573</v>
      </c>
    </row>
    <row r="34" spans="1:13">
      <c r="A34" s="3019" t="s">
        <v>2536</v>
      </c>
      <c r="B34" s="3020"/>
      <c r="C34" s="3020"/>
      <c r="D34" s="3020"/>
      <c r="E34" s="3020"/>
      <c r="F34" s="3020"/>
      <c r="G34" s="3021"/>
      <c r="I34" s="3037">
        <v>5</v>
      </c>
      <c r="J34" s="3037">
        <v>55.1</v>
      </c>
    </row>
    <row r="35" spans="1:13">
      <c r="A35" s="3019" t="s">
        <v>2537</v>
      </c>
      <c r="B35" s="3020"/>
      <c r="C35" s="3020"/>
      <c r="D35" s="3020"/>
      <c r="E35" s="3020"/>
      <c r="F35" s="3020"/>
      <c r="G35" s="3021"/>
      <c r="I35" s="3037">
        <v>10</v>
      </c>
      <c r="J35" s="3037">
        <v>67</v>
      </c>
      <c r="K35" s="3037">
        <f>J35-J34</f>
        <v>11.899999999999999</v>
      </c>
    </row>
    <row r="36" spans="1:13">
      <c r="A36" s="3019" t="s">
        <v>2538</v>
      </c>
      <c r="B36" s="3020"/>
      <c r="C36" s="3020"/>
      <c r="D36" s="3020"/>
      <c r="E36" s="3020"/>
      <c r="F36" s="3020"/>
      <c r="G36" s="3021"/>
      <c r="I36" s="3037">
        <v>15</v>
      </c>
      <c r="J36" s="3037">
        <v>76.3</v>
      </c>
      <c r="K36" s="3037">
        <f t="shared" ref="K36:K41" si="3">J36-J35</f>
        <v>9.2999999999999972</v>
      </c>
      <c r="L36" s="3037" t="s">
        <v>2566</v>
      </c>
      <c r="M36" s="3037" t="s">
        <v>2567</v>
      </c>
    </row>
    <row r="37" spans="1:13">
      <c r="A37" s="3019" t="s">
        <v>2539</v>
      </c>
      <c r="B37" s="3020"/>
      <c r="C37" s="3020"/>
      <c r="D37" s="3020"/>
      <c r="E37" s="3020"/>
      <c r="F37" s="3020"/>
      <c r="G37" s="3021"/>
      <c r="I37" s="3037">
        <v>20</v>
      </c>
      <c r="J37" s="3037">
        <v>83.6</v>
      </c>
      <c r="K37" s="3037">
        <f t="shared" si="3"/>
        <v>7.2999999999999972</v>
      </c>
      <c r="L37" s="3037" t="s">
        <v>2565</v>
      </c>
      <c r="M37" s="3037">
        <v>10</v>
      </c>
    </row>
    <row r="38" spans="1:13">
      <c r="A38" s="3019" t="s">
        <v>2540</v>
      </c>
      <c r="B38" s="3020"/>
      <c r="C38" s="3020"/>
      <c r="D38" s="3020"/>
      <c r="E38" s="3020"/>
      <c r="F38" s="3020"/>
      <c r="G38" s="3021"/>
      <c r="I38" s="3037">
        <v>25</v>
      </c>
      <c r="J38" s="3037">
        <v>89.3</v>
      </c>
      <c r="K38" s="3037">
        <f t="shared" si="3"/>
        <v>5.7000000000000028</v>
      </c>
      <c r="L38" s="3037" t="s">
        <v>2569</v>
      </c>
      <c r="M38" s="3037">
        <v>8</v>
      </c>
    </row>
    <row r="39" spans="1:13">
      <c r="A39" s="3019"/>
      <c r="B39" s="3020"/>
      <c r="C39" s="3020"/>
      <c r="D39" s="3020"/>
      <c r="E39" s="3020"/>
      <c r="F39" s="3020"/>
      <c r="G39" s="3021"/>
      <c r="I39" s="3037">
        <v>30</v>
      </c>
      <c r="J39" s="3037">
        <v>93.8</v>
      </c>
      <c r="K39" s="3037">
        <f t="shared" si="3"/>
        <v>4.5</v>
      </c>
      <c r="L39" s="3037" t="s">
        <v>2570</v>
      </c>
      <c r="M39" s="3037">
        <v>6</v>
      </c>
    </row>
    <row r="40" spans="1:13">
      <c r="A40" s="3022" t="s">
        <v>2541</v>
      </c>
      <c r="B40" s="3023"/>
      <c r="C40" s="3023"/>
      <c r="D40" s="3023"/>
      <c r="E40" s="3023"/>
      <c r="F40" s="3023"/>
      <c r="G40" s="3024"/>
      <c r="I40" s="3037">
        <v>35</v>
      </c>
      <c r="J40" s="3037">
        <v>97.2</v>
      </c>
      <c r="K40" s="3037">
        <f t="shared" si="3"/>
        <v>3.4000000000000057</v>
      </c>
      <c r="L40" s="3037" t="s">
        <v>2571</v>
      </c>
      <c r="M40" s="3037">
        <v>3</v>
      </c>
    </row>
    <row r="41" spans="1:13">
      <c r="A41" s="3025" t="s">
        <v>2542</v>
      </c>
      <c r="B41" s="3026" t="s">
        <v>2543</v>
      </c>
      <c r="C41" s="3027" t="s">
        <v>2544</v>
      </c>
      <c r="D41" s="3027" t="s">
        <v>2545</v>
      </c>
      <c r="E41" s="3028"/>
      <c r="F41" s="3029"/>
      <c r="G41" s="3030"/>
      <c r="I41" s="3037">
        <v>40</v>
      </c>
      <c r="J41" s="3037">
        <v>100</v>
      </c>
      <c r="K41" s="3037">
        <f t="shared" si="3"/>
        <v>2.7999999999999972</v>
      </c>
    </row>
    <row r="42" spans="1:13">
      <c r="A42" s="3025" t="s">
        <v>2546</v>
      </c>
      <c r="B42" s="3026" t="s">
        <v>2547</v>
      </c>
      <c r="C42" s="3027" t="s">
        <v>2548</v>
      </c>
      <c r="D42" s="3031" t="s">
        <v>2549</v>
      </c>
      <c r="E42" s="3023" t="s">
        <v>2550</v>
      </c>
      <c r="F42" s="3023"/>
      <c r="G42" s="3024"/>
    </row>
    <row r="43" spans="1:13">
      <c r="A43" s="3025" t="s">
        <v>2551</v>
      </c>
      <c r="B43" s="3026" t="s">
        <v>2552</v>
      </c>
      <c r="C43" s="3027" t="s">
        <v>2553</v>
      </c>
      <c r="D43" s="3027" t="s">
        <v>2554</v>
      </c>
      <c r="E43" s="3028" t="s">
        <v>2555</v>
      </c>
      <c r="F43" s="3029"/>
      <c r="G43" s="3030"/>
      <c r="I43" s="3037" t="s">
        <v>2563</v>
      </c>
      <c r="J43" s="3037" t="s">
        <v>2574</v>
      </c>
    </row>
    <row r="44" spans="1:13">
      <c r="A44" s="3025" t="s">
        <v>2556</v>
      </c>
      <c r="B44" s="3026" t="s">
        <v>2557</v>
      </c>
      <c r="C44" s="3027" t="s">
        <v>2558</v>
      </c>
      <c r="D44" s="3031">
        <v>0.5</v>
      </c>
      <c r="E44" s="3028" t="s">
        <v>2559</v>
      </c>
      <c r="F44" s="3029"/>
      <c r="G44" s="3030"/>
      <c r="I44" s="3037">
        <v>30</v>
      </c>
      <c r="J44" s="3037">
        <v>81.7</v>
      </c>
    </row>
    <row r="45" spans="1:13" ht="14.25" thickBot="1">
      <c r="A45" s="3032" t="s">
        <v>2560</v>
      </c>
      <c r="B45" s="3033" t="s">
        <v>2547</v>
      </c>
      <c r="C45" s="3034" t="s">
        <v>2547</v>
      </c>
      <c r="D45" s="3034" t="s">
        <v>2561</v>
      </c>
      <c r="E45" s="3035" t="s">
        <v>2562</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49"/>
      <c r="E2" s="2641"/>
      <c r="F2" s="2641"/>
      <c r="G2" s="2642"/>
      <c r="H2" s="2642"/>
      <c r="I2" s="2642"/>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45631</v>
      </c>
      <c r="C3" s="2373" t="s">
        <v>2170</v>
      </c>
      <c r="D3" s="2372">
        <f>B3</f>
        <v>45631</v>
      </c>
      <c r="E3" s="2642"/>
      <c r="F3" s="2642"/>
      <c r="G3" s="2642"/>
      <c r="H3" s="2642"/>
      <c r="I3" s="2642"/>
      <c r="J3" s="2469"/>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3425</v>
      </c>
      <c r="C4" s="2375">
        <f ca="1">SUMIF(注册房地产估价师,B4,估价师及机构信息!B3:B24)</f>
        <v>1120100036</v>
      </c>
      <c r="D4" s="2374" t="s">
        <v>3413</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43"/>
      <c r="F5" s="2643"/>
      <c r="G5" s="2643"/>
      <c r="H5" s="2643"/>
      <c r="I5" s="264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41"/>
      <c r="F6" s="2643"/>
      <c r="G6" s="2643"/>
      <c r="H6" s="2643"/>
      <c r="I6" s="2643"/>
      <c r="J6" s="2438"/>
      <c r="K6" s="2594" t="str">
        <f>IF(COUNTIF(B6,"*上海银行*"),"上海银行","")</f>
        <v/>
      </c>
      <c r="L6" s="2592"/>
      <c r="M6" s="2592"/>
      <c r="N6" s="2438"/>
      <c r="O6" s="2449"/>
      <c r="P6" s="2438"/>
      <c r="Q6" s="2438"/>
      <c r="R6" s="2438"/>
    </row>
    <row r="7" spans="1:30">
      <c r="A7" s="2382" t="s">
        <v>2174</v>
      </c>
      <c r="B7" s="2386"/>
      <c r="C7" s="2384"/>
      <c r="D7" s="2385"/>
      <c r="E7" s="2641"/>
      <c r="F7" s="2643"/>
      <c r="G7" s="2643"/>
      <c r="H7" s="2643"/>
      <c r="I7" s="2643"/>
      <c r="J7" s="2438"/>
      <c r="K7" s="2595"/>
      <c r="L7" s="2592"/>
      <c r="M7" s="2592"/>
      <c r="N7" s="2438"/>
      <c r="O7" s="2449"/>
      <c r="P7" s="2438"/>
      <c r="Q7" s="2438"/>
      <c r="R7" s="2438"/>
    </row>
    <row r="8" spans="1:30">
      <c r="A8" s="2387" t="s">
        <v>2175</v>
      </c>
      <c r="B8" s="2388" t="s">
        <v>3387</v>
      </c>
      <c r="C8" s="2389"/>
      <c r="D8" s="3512" t="s">
        <v>2176</v>
      </c>
      <c r="E8" s="2390" t="s">
        <v>3388</v>
      </c>
      <c r="F8" s="2391"/>
      <c r="G8" s="2642"/>
      <c r="H8" s="2642"/>
      <c r="I8" s="2642"/>
      <c r="J8" s="2438"/>
      <c r="K8" s="2593"/>
      <c r="L8" s="2592"/>
      <c r="M8" s="2592"/>
      <c r="N8" s="2438"/>
      <c r="O8" s="2449"/>
      <c r="P8" s="2438"/>
      <c r="Q8" s="2438"/>
      <c r="R8" s="2438"/>
    </row>
    <row r="9" spans="1:30" ht="13.5" thickBot="1">
      <c r="A9" s="2392" t="s">
        <v>2177</v>
      </c>
      <c r="B9" s="2393" t="s">
        <v>3388</v>
      </c>
      <c r="C9" s="2394"/>
      <c r="D9" s="3513"/>
      <c r="E9" s="2393" t="s">
        <v>587</v>
      </c>
      <c r="F9" s="2395"/>
      <c r="G9" s="2644"/>
      <c r="H9" s="2644"/>
      <c r="I9" s="2644"/>
      <c r="J9" s="2438"/>
      <c r="K9" s="2595"/>
      <c r="L9" s="2592"/>
      <c r="M9" s="2592"/>
      <c r="N9" s="2438"/>
      <c r="O9" s="2449"/>
      <c r="P9" s="2438"/>
      <c r="Q9" s="2438"/>
      <c r="R9" s="2438"/>
    </row>
    <row r="10" spans="1:30" ht="13.5" thickTop="1">
      <c r="A10" s="2396" t="s">
        <v>2178</v>
      </c>
      <c r="B10" s="2397" t="s">
        <v>3389</v>
      </c>
      <c r="C10" s="2398"/>
      <c r="D10" s="2381"/>
      <c r="E10" s="2399" t="s">
        <v>2179</v>
      </c>
      <c r="F10" s="2645"/>
      <c r="G10" s="2646"/>
      <c r="H10" s="2647"/>
      <c r="I10" s="2648"/>
      <c r="J10" s="2438"/>
      <c r="K10" s="2595"/>
      <c r="L10" s="2592"/>
      <c r="M10" s="2592"/>
      <c r="N10" s="2438"/>
      <c r="O10" s="2449"/>
      <c r="P10" s="2438"/>
      <c r="Q10" s="2438"/>
      <c r="R10" s="2438"/>
    </row>
    <row r="11" spans="1:30">
      <c r="A11" s="2400" t="s">
        <v>2180</v>
      </c>
      <c r="B11" s="2401" t="s">
        <v>3390</v>
      </c>
      <c r="C11" s="2402"/>
      <c r="D11" s="2403"/>
      <c r="E11" s="2369"/>
      <c r="F11" s="2369"/>
      <c r="G11" s="2369"/>
      <c r="H11" s="2369"/>
      <c r="I11" s="2369"/>
      <c r="J11" s="3040"/>
      <c r="K11" s="3039"/>
      <c r="L11" s="2592"/>
      <c r="M11" s="259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38" t="s">
        <v>2575</v>
      </c>
      <c r="J12" s="3041"/>
      <c r="K12" s="2592"/>
      <c r="L12" s="2592"/>
      <c r="M12" s="2438"/>
      <c r="N12" s="2449"/>
      <c r="O12" s="2438"/>
      <c r="P12" s="2438"/>
      <c r="Q12" s="2438"/>
      <c r="AD12" s="1745"/>
    </row>
    <row r="13" spans="1:30">
      <c r="A13" s="3402" t="s">
        <v>3331</v>
      </c>
      <c r="B13" s="2406" t="s">
        <v>2189</v>
      </c>
      <c r="C13" s="856"/>
      <c r="D13" s="856"/>
      <c r="E13" s="856"/>
      <c r="F13" s="856"/>
      <c r="G13" s="856"/>
      <c r="H13" s="856">
        <v>59390</v>
      </c>
      <c r="I13" s="856"/>
      <c r="J13" s="3041"/>
      <c r="K13" s="2592"/>
      <c r="L13" s="2592"/>
      <c r="M13" s="2438"/>
      <c r="N13" s="2449"/>
      <c r="O13" s="2438"/>
      <c r="P13" s="2438"/>
      <c r="Q13" s="2438"/>
      <c r="AD13" s="1745"/>
    </row>
    <row r="14" spans="1:30">
      <c r="A14" s="1081"/>
      <c r="B14" s="2406" t="s">
        <v>2190</v>
      </c>
      <c r="C14" s="2407"/>
      <c r="D14" s="2407"/>
      <c r="E14" s="2407"/>
      <c r="F14" s="2407"/>
      <c r="G14" s="2407"/>
      <c r="H14" s="2407">
        <v>50</v>
      </c>
      <c r="I14" s="2407"/>
      <c r="J14" s="3042"/>
      <c r="K14" s="2592"/>
      <c r="L14" s="259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37.69</v>
      </c>
      <c r="I15" s="2409" t="str">
        <f>IF(A13="出让",IF(I13="","",ROUNDDOWN(MIN((I13-$D$3)/365,I14),2)),I14)</f>
        <v/>
      </c>
      <c r="J15" s="3043"/>
      <c r="K15" s="2450"/>
      <c r="L15" s="2450"/>
      <c r="M15" s="2506"/>
      <c r="N15" s="2450"/>
      <c r="O15" s="2506"/>
      <c r="P15" s="2438"/>
      <c r="Q15" s="2438"/>
      <c r="AD15" s="1745"/>
    </row>
    <row r="16" spans="1:30">
      <c r="A16" s="2399" t="s">
        <v>2192</v>
      </c>
      <c r="B16" s="3519"/>
      <c r="C16" s="3520"/>
      <c r="D16" s="3521"/>
      <c r="E16" s="2412" t="s">
        <v>2193</v>
      </c>
      <c r="F16" s="3522"/>
      <c r="G16" s="3523"/>
      <c r="H16" s="3523"/>
      <c r="I16" s="3524"/>
      <c r="J16" s="2438"/>
      <c r="K16" s="2596"/>
      <c r="L16" s="2450"/>
      <c r="M16" s="2450"/>
      <c r="N16" s="2506"/>
      <c r="O16" s="2450"/>
      <c r="P16" s="2506"/>
      <c r="Q16" s="2438"/>
      <c r="R16" s="2438"/>
    </row>
    <row r="17" spans="1:28">
      <c r="A17" s="313" t="s">
        <v>2194</v>
      </c>
      <c r="B17" s="302" t="s">
        <v>2195</v>
      </c>
      <c r="C17" s="8">
        <f>'数据-汇总表'!E3</f>
        <v>13590.15</v>
      </c>
      <c r="D17" s="2321" t="s">
        <v>2196</v>
      </c>
      <c r="E17" s="3525" t="s">
        <v>2197</v>
      </c>
      <c r="F17" s="3526"/>
      <c r="G17" s="3526"/>
      <c r="H17" s="3526"/>
      <c r="I17" s="3527"/>
      <c r="J17" s="2438"/>
      <c r="K17" s="2597"/>
      <c r="L17" s="2450"/>
      <c r="M17" s="2450"/>
      <c r="N17" s="2506"/>
      <c r="O17" s="2450"/>
      <c r="P17" s="2506"/>
      <c r="Q17" s="2438"/>
      <c r="R17" s="2438"/>
      <c r="S17" s="2438"/>
      <c r="T17" s="2438"/>
      <c r="U17" s="2438"/>
      <c r="V17" s="2438"/>
    </row>
    <row r="18" spans="1:28" ht="24.75" thickBot="1">
      <c r="A18" s="2413" t="s">
        <v>2198</v>
      </c>
      <c r="B18" s="1090" t="s">
        <v>2199</v>
      </c>
      <c r="C18" s="2414">
        <f>'数据-汇总表'!D3</f>
        <v>7963.76</v>
      </c>
      <c r="D18" s="1092" t="s">
        <v>2200</v>
      </c>
      <c r="E18" s="3528" t="s">
        <v>2201</v>
      </c>
      <c r="F18" s="3529"/>
      <c r="G18" s="3529"/>
      <c r="H18" s="3529"/>
      <c r="I18" s="3530"/>
      <c r="J18" s="2438"/>
      <c r="K18" s="2597"/>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43"/>
      <c r="I19" s="2643"/>
      <c r="J19" s="2438"/>
      <c r="K19" s="2595"/>
      <c r="L19" s="2592"/>
      <c r="M19" s="2592"/>
      <c r="N19" s="2506"/>
      <c r="O19" s="2450"/>
      <c r="P19" s="2506"/>
      <c r="Q19" s="2438"/>
      <c r="R19" s="2438"/>
      <c r="S19" s="2438"/>
      <c r="T19" s="2438"/>
      <c r="U19" s="2438"/>
      <c r="V19" s="2438"/>
    </row>
    <row r="20" spans="1:28">
      <c r="A20" s="2611" t="s">
        <v>2204</v>
      </c>
      <c r="B20" s="3515" t="s">
        <v>2205</v>
      </c>
      <c r="C20" s="3516"/>
      <c r="D20" s="3517" t="s">
        <v>2206</v>
      </c>
      <c r="E20" s="3518"/>
      <c r="F20" s="2626" t="s">
        <v>1056</v>
      </c>
      <c r="G20" s="2643"/>
      <c r="H20" s="2643"/>
      <c r="I20" s="2643"/>
      <c r="J20" s="2438"/>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11"/>
      <c r="B21" s="2612" t="s">
        <v>2208</v>
      </c>
      <c r="C21" s="2613" t="s">
        <v>1057</v>
      </c>
      <c r="D21" s="1568" t="s">
        <v>2209</v>
      </c>
      <c r="E21" s="2614" t="s">
        <v>1057</v>
      </c>
      <c r="F21" s="2627"/>
      <c r="G21" s="2643"/>
      <c r="H21" s="2643"/>
      <c r="I21" s="264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11"/>
      <c r="B22" s="2615" t="s">
        <v>2210</v>
      </c>
      <c r="C22" s="2613" t="s">
        <v>1058</v>
      </c>
      <c r="D22" s="2642"/>
      <c r="E22" s="2642"/>
      <c r="F22" s="2642"/>
      <c r="G22" s="2643"/>
      <c r="H22" s="2643"/>
      <c r="I22" s="264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16" t="s">
        <v>2211</v>
      </c>
      <c r="B23" s="2499" t="s">
        <v>2212</v>
      </c>
      <c r="C23" s="2617"/>
      <c r="D23" s="2618" t="s">
        <v>2212</v>
      </c>
      <c r="E23" s="2619"/>
      <c r="F23" s="2642"/>
      <c r="G23" s="2643"/>
      <c r="H23" s="2643"/>
      <c r="I23" s="2643"/>
      <c r="J23" s="2438"/>
      <c r="K23" s="2598"/>
      <c r="L23" s="2472"/>
      <c r="M23" s="2592"/>
      <c r="N23" s="2506"/>
      <c r="O23" s="2450"/>
      <c r="P23" s="2506"/>
      <c r="Q23" s="2438"/>
      <c r="R23" s="2438"/>
      <c r="S23" s="2438"/>
      <c r="T23" s="2438"/>
      <c r="U23" s="2438"/>
      <c r="V23" s="2438"/>
    </row>
    <row r="24" spans="1:28">
      <c r="A24" s="2616"/>
      <c r="B24" s="2499" t="s">
        <v>1059</v>
      </c>
      <c r="C24" s="2620"/>
      <c r="D24" s="2616" t="s">
        <v>1059</v>
      </c>
      <c r="E24" s="2621"/>
      <c r="F24" s="2642"/>
      <c r="G24" s="2643"/>
      <c r="H24" s="2643"/>
      <c r="I24" s="2643"/>
      <c r="J24" s="2438"/>
      <c r="K24" s="2598"/>
      <c r="L24" s="2472"/>
      <c r="M24" s="2592"/>
      <c r="N24" s="2506"/>
      <c r="O24" s="2450"/>
      <c r="P24" s="2506"/>
      <c r="Q24" s="2438"/>
      <c r="R24" s="2438"/>
      <c r="S24" s="2438"/>
      <c r="T24" s="2438"/>
      <c r="U24" s="2438"/>
      <c r="V24" s="2438"/>
    </row>
    <row r="25" spans="1:28">
      <c r="A25" s="2616"/>
      <c r="B25" s="2499" t="s">
        <v>1060</v>
      </c>
      <c r="C25" s="2620"/>
      <c r="D25" s="2616" t="s">
        <v>1060</v>
      </c>
      <c r="E25" s="2621"/>
      <c r="F25" s="2642"/>
      <c r="G25" s="2643"/>
      <c r="H25" s="2643"/>
      <c r="I25" s="2643"/>
      <c r="J25" s="2438"/>
      <c r="K25" s="2595"/>
      <c r="L25" s="2592"/>
      <c r="M25" s="2592"/>
      <c r="N25" s="2506"/>
      <c r="O25" s="2450"/>
      <c r="P25" s="2506"/>
      <c r="Q25" s="2438"/>
      <c r="R25" s="2438"/>
      <c r="S25" s="2438"/>
      <c r="T25" s="2438"/>
      <c r="U25" s="2438"/>
      <c r="V25" s="2438"/>
    </row>
    <row r="26" spans="1:28" ht="13.5" thickBot="1">
      <c r="A26" s="2622"/>
      <c r="B26" s="2623" t="s">
        <v>1061</v>
      </c>
      <c r="C26" s="2624"/>
      <c r="D26" s="2622" t="s">
        <v>1061</v>
      </c>
      <c r="E26" s="2625"/>
      <c r="F26" s="2644"/>
      <c r="G26" s="2644"/>
      <c r="H26" s="2644"/>
      <c r="I26" s="2644"/>
      <c r="J26" s="2438"/>
      <c r="K26" s="2595"/>
      <c r="L26" s="2592"/>
      <c r="M26" s="2592"/>
      <c r="N26" s="2506"/>
      <c r="O26" s="2450"/>
      <c r="P26" s="2506"/>
      <c r="Q26" s="2438"/>
      <c r="R26" s="2438"/>
      <c r="S26" s="2438"/>
      <c r="T26" s="2438"/>
      <c r="U26" s="2438"/>
      <c r="V26" s="2438"/>
    </row>
    <row r="27" spans="1:28" ht="13.5" thickTop="1">
      <c r="A27" s="3502" t="s">
        <v>2213</v>
      </c>
      <c r="B27" s="320" t="s">
        <v>2214</v>
      </c>
      <c r="C27" s="2415"/>
      <c r="D27" s="2416"/>
      <c r="E27" s="2643"/>
      <c r="F27" s="2643"/>
      <c r="G27" s="2643"/>
      <c r="H27" s="2643"/>
      <c r="I27" s="2643"/>
      <c r="J27" s="2438"/>
      <c r="K27" s="2596"/>
      <c r="L27" s="2450"/>
      <c r="M27" s="2450"/>
      <c r="N27" s="2506"/>
      <c r="O27" s="2450"/>
      <c r="P27" s="2506"/>
      <c r="Q27" s="2438"/>
      <c r="R27" s="2438"/>
      <c r="S27" s="2438"/>
      <c r="T27" s="2438"/>
      <c r="U27" s="2438"/>
      <c r="V27" s="2438"/>
    </row>
    <row r="28" spans="1:28">
      <c r="A28" s="3502"/>
      <c r="B28" s="302" t="s">
        <v>2215</v>
      </c>
      <c r="C28" s="2417"/>
      <c r="D28" s="2418"/>
      <c r="E28" s="2643"/>
      <c r="F28" s="2643"/>
      <c r="G28" s="2643"/>
      <c r="H28" s="2643"/>
      <c r="I28" s="2643"/>
      <c r="J28" s="2438"/>
      <c r="K28" s="2595"/>
      <c r="L28" s="2592"/>
      <c r="M28" s="2592"/>
      <c r="N28" s="2438"/>
      <c r="O28" s="2449"/>
      <c r="P28" s="2438"/>
      <c r="Q28" s="2438"/>
      <c r="R28" s="2438"/>
      <c r="S28" s="2438"/>
      <c r="T28" s="2438"/>
      <c r="U28" s="2438"/>
      <c r="V28" s="2438"/>
    </row>
    <row r="29" spans="1:28">
      <c r="A29" s="3502"/>
      <c r="B29" s="302" t="s">
        <v>2216</v>
      </c>
      <c r="C29" s="2419"/>
      <c r="D29" s="2420"/>
      <c r="E29" s="2643"/>
      <c r="F29" s="2643"/>
      <c r="G29" s="2643"/>
      <c r="H29" s="2643"/>
      <c r="I29" s="2643"/>
      <c r="J29" s="2438"/>
      <c r="K29" s="2595"/>
      <c r="L29" s="2592"/>
      <c r="M29" s="2592"/>
      <c r="N29" s="2438"/>
      <c r="O29" s="2449"/>
      <c r="P29" s="2438"/>
      <c r="Q29" s="2438"/>
      <c r="R29" s="2438"/>
      <c r="S29" s="2438"/>
      <c r="T29" s="2438"/>
      <c r="U29" s="2438"/>
      <c r="V29" s="2438"/>
    </row>
    <row r="30" spans="1:28">
      <c r="A30" s="3503"/>
      <c r="B30" s="302" t="s">
        <v>2217</v>
      </c>
      <c r="C30" s="3504"/>
      <c r="D30" s="3505"/>
      <c r="E30" s="2643"/>
      <c r="F30" s="2643"/>
      <c r="G30" s="2643"/>
      <c r="H30" s="2643"/>
      <c r="I30" s="2643"/>
      <c r="J30" s="2438"/>
      <c r="K30" s="2595"/>
      <c r="L30" s="2592"/>
      <c r="M30" s="2592"/>
      <c r="N30" s="2438"/>
      <c r="O30" s="2449"/>
      <c r="P30" s="2438"/>
      <c r="Q30" s="2438"/>
      <c r="R30" s="2438"/>
      <c r="S30" s="2438"/>
      <c r="T30" s="2438"/>
      <c r="U30" s="2438"/>
      <c r="V30" s="2438"/>
    </row>
    <row r="31" spans="1:28">
      <c r="A31" s="3506" t="s">
        <v>2218</v>
      </c>
      <c r="B31" s="2421"/>
      <c r="C31" s="2322" t="str">
        <f>IF(B31="现房","成新及维护状况正常否",IF(B31="在建","工程状态是否正常",IF(B31="土地","是否闲置","-")))</f>
        <v>-</v>
      </c>
      <c r="D31" s="1373"/>
      <c r="E31" s="2422"/>
      <c r="F31" s="2643"/>
      <c r="G31" s="2643"/>
      <c r="H31" s="2643"/>
      <c r="I31" s="2643"/>
      <c r="J31" s="2438"/>
      <c r="K31" s="2594"/>
      <c r="L31" s="2592"/>
      <c r="M31" s="259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3"/>
      <c r="E32" s="2422"/>
      <c r="F32" s="2643"/>
      <c r="G32" s="2643"/>
      <c r="H32" s="2643"/>
      <c r="I32" s="2643"/>
      <c r="J32" s="2438"/>
      <c r="K32" s="2595"/>
      <c r="L32" s="2592"/>
      <c r="M32" s="2592"/>
      <c r="N32" s="2438"/>
      <c r="O32" s="2449"/>
      <c r="P32" s="2438"/>
      <c r="Q32" s="2438"/>
      <c r="R32" s="2438"/>
      <c r="S32" s="2438"/>
      <c r="T32" s="2438"/>
      <c r="U32" s="2438"/>
      <c r="V32" s="2438"/>
    </row>
    <row r="33" spans="1:30">
      <c r="A33" s="3507"/>
      <c r="B33" s="2424"/>
      <c r="C33" s="1590" t="str">
        <f>IF(B33="现房","成新及维护状况是否正常",IF(B33="在建","工程状态是否正常",IF(B33="土地","是否闲置","-")))</f>
        <v>-</v>
      </c>
      <c r="D33" s="1365"/>
      <c r="E33" s="2425"/>
      <c r="F33" s="2643"/>
      <c r="G33" s="2643"/>
      <c r="H33" s="2643"/>
      <c r="I33" s="2643"/>
      <c r="J33" s="2438"/>
      <c r="K33" s="2595"/>
      <c r="L33" s="2592"/>
      <c r="M33" s="2592"/>
      <c r="N33" s="2438"/>
      <c r="O33" s="2449"/>
      <c r="P33" s="2438"/>
      <c r="Q33" s="2438"/>
      <c r="R33" s="2438"/>
      <c r="S33" s="2438"/>
      <c r="T33" s="2438"/>
      <c r="U33" s="2438"/>
      <c r="V33" s="2438"/>
    </row>
    <row r="34" spans="1:30">
      <c r="A34" s="302" t="s">
        <v>2219</v>
      </c>
      <c r="B34" s="2025"/>
      <c r="C34" s="2025"/>
      <c r="D34" s="2025"/>
      <c r="E34" s="2025"/>
      <c r="F34" s="2025"/>
      <c r="G34" s="2025"/>
      <c r="H34" s="2025"/>
      <c r="I34" s="2643"/>
      <c r="J34" s="2438"/>
      <c r="K34" s="2426">
        <f>COUNTIF(B34:H34,"——")</f>
        <v>0</v>
      </c>
      <c r="L34" s="323" t="s">
        <v>2220</v>
      </c>
      <c r="M34" s="323" t="s">
        <v>2221</v>
      </c>
      <c r="N34" s="323" t="s">
        <v>2222</v>
      </c>
      <c r="O34" s="323" t="s">
        <v>2223</v>
      </c>
      <c r="P34" s="323" t="s">
        <v>2224</v>
      </c>
      <c r="Q34" s="323" t="s">
        <v>2225</v>
      </c>
      <c r="R34" s="323" t="s">
        <v>2226</v>
      </c>
      <c r="S34" s="3501" t="s">
        <v>2227</v>
      </c>
      <c r="T34" s="2427" t="str">
        <f>NUMBERSTRING(7-K34,1)&amp;"通"</f>
        <v>七通</v>
      </c>
      <c r="U34" s="2438"/>
      <c r="V34" s="2438"/>
    </row>
    <row r="35" spans="1:30">
      <c r="A35" s="2428"/>
      <c r="B35" s="3508" t="s">
        <v>2228</v>
      </c>
      <c r="C35" s="3508"/>
      <c r="D35" s="3508"/>
      <c r="E35" s="3508"/>
      <c r="F35" s="664">
        <f>C10</f>
        <v>0</v>
      </c>
      <c r="G35" s="2643"/>
      <c r="H35" s="2643"/>
      <c r="I35" s="264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44" t="s">
        <v>2578</v>
      </c>
      <c r="G36" s="2643"/>
      <c r="H36" s="2643"/>
      <c r="I36" s="2643"/>
      <c r="J36" s="2438"/>
      <c r="K36" s="2595"/>
      <c r="L36" s="2592"/>
      <c r="M36" s="2592"/>
      <c r="N36" s="2438"/>
      <c r="O36" s="2449"/>
      <c r="P36" s="2438"/>
      <c r="Q36" s="2438"/>
      <c r="R36" s="2438"/>
      <c r="S36" s="2438"/>
      <c r="T36" s="2438"/>
      <c r="U36" s="2438"/>
      <c r="V36" s="2438"/>
    </row>
    <row r="37" spans="1:30">
      <c r="A37" s="2609" t="s">
        <v>2229</v>
      </c>
      <c r="B37" s="2430"/>
      <c r="C37" s="2430"/>
      <c r="D37" s="2430"/>
      <c r="E37" s="2430" t="s">
        <v>29</v>
      </c>
      <c r="F37" s="2430"/>
      <c r="G37" s="2643"/>
      <c r="H37" s="2643"/>
      <c r="I37" s="2643"/>
      <c r="J37" s="2438"/>
      <c r="K37" s="2595"/>
      <c r="L37" s="2592"/>
      <c r="M37" s="2592"/>
      <c r="N37" s="2438"/>
      <c r="O37" s="2449"/>
      <c r="P37" s="2438"/>
      <c r="Q37" s="2438"/>
      <c r="R37" s="2438"/>
      <c r="S37" s="2438"/>
      <c r="T37" s="2438"/>
      <c r="U37" s="2438"/>
      <c r="V37" s="2438"/>
    </row>
    <row r="38" spans="1:30" ht="13.5" thickBot="1">
      <c r="A38" s="2610" t="s">
        <v>2230</v>
      </c>
      <c r="B38" s="2431"/>
      <c r="C38" s="2431"/>
      <c r="D38" s="2431"/>
      <c r="E38" s="2431" t="s">
        <v>3424</v>
      </c>
      <c r="F38" s="2431"/>
      <c r="G38" s="2644"/>
      <c r="H38" s="2644"/>
      <c r="I38" s="2644"/>
      <c r="J38" s="2438"/>
      <c r="K38" s="2595"/>
      <c r="L38" s="2592"/>
      <c r="M38" s="259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69"/>
      <c r="B40" s="2369"/>
      <c r="C40" s="2369"/>
      <c r="D40" s="2369"/>
      <c r="E40" s="2369"/>
      <c r="F40" s="2369"/>
      <c r="G40" s="2369"/>
      <c r="H40" s="2369"/>
      <c r="I40" s="1578"/>
      <c r="J40" s="2506"/>
      <c r="K40" s="2594"/>
      <c r="L40" s="2450"/>
      <c r="M40" s="2450"/>
      <c r="N40" s="2506"/>
      <c r="O40" s="2450"/>
      <c r="P40" s="2438"/>
      <c r="Q40" s="2438"/>
      <c r="R40" s="2438"/>
      <c r="S40" s="2438"/>
      <c r="T40" s="2438"/>
      <c r="U40" s="2438"/>
      <c r="V40" s="2438"/>
    </row>
    <row r="41" spans="1:30">
      <c r="A41" s="2435" t="s">
        <v>2232</v>
      </c>
      <c r="B41" s="1757"/>
      <c r="C41" s="1373"/>
      <c r="D41" s="2369"/>
      <c r="E41" s="2369"/>
      <c r="F41" s="2369"/>
      <c r="G41" s="2369"/>
      <c r="H41" s="2369"/>
      <c r="I41" s="1576"/>
      <c r="J41" s="2438"/>
      <c r="K41" s="2595"/>
      <c r="L41" s="2592"/>
      <c r="M41" s="259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05" t="s">
        <v>2242</v>
      </c>
      <c r="K42" s="2606" t="s">
        <v>2243</v>
      </c>
      <c r="L42" s="2606" t="s">
        <v>2244</v>
      </c>
      <c r="M42" s="2606" t="s">
        <v>2245</v>
      </c>
      <c r="N42" s="2599" t="s">
        <v>2246</v>
      </c>
      <c r="O42" s="2599" t="s">
        <v>2247</v>
      </c>
      <c r="P42" s="2599" t="s">
        <v>2248</v>
      </c>
      <c r="Q42" s="2600" t="s">
        <v>2249</v>
      </c>
      <c r="R42" s="260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3" sqref="H13:H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25385.17</v>
      </c>
      <c r="B3" s="11">
        <f>IF(C3="否",G5-AT5,G5)</f>
        <v>43319.78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43319.78</v>
      </c>
      <c r="H5" s="13">
        <f t="shared" ref="H5:AT5" si="0">SUM(H13:H656)</f>
        <v>43319.78</v>
      </c>
      <c r="I5" s="13">
        <f t="shared" si="0"/>
        <v>32950.199999999997</v>
      </c>
      <c r="J5" s="13">
        <f t="shared" si="0"/>
        <v>0</v>
      </c>
      <c r="K5" s="13">
        <f t="shared" si="0"/>
        <v>10369.58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13590.15</v>
      </c>
      <c r="BA5" s="15">
        <f t="shared" si="1"/>
        <v>13590.15</v>
      </c>
      <c r="BB5" s="15">
        <f t="shared" si="1"/>
        <v>12720.57</v>
      </c>
      <c r="BC5" s="15">
        <f t="shared" si="1"/>
        <v>869.58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25385.170000000002</v>
      </c>
      <c r="F6" s="13" t="s">
        <v>0</v>
      </c>
      <c r="G6" s="13" t="s">
        <v>1</v>
      </c>
      <c r="H6" s="17">
        <f>SUMIF(I$12:AB$12,"总值",I6:AB6)</f>
        <v>25385.170000000002</v>
      </c>
      <c r="I6" s="13">
        <f t="shared" ref="I6:AB6" si="2">ROUND($A$3*I5/$B$3,2)</f>
        <v>19308.650000000001</v>
      </c>
      <c r="J6" s="13">
        <f t="shared" si="2"/>
        <v>0</v>
      </c>
      <c r="K6" s="13">
        <f t="shared" si="2"/>
        <v>6076.52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7963.76</v>
      </c>
      <c r="AZ6" s="13" t="s">
        <v>2</v>
      </c>
      <c r="BA6" s="13">
        <f>ROUND($AY$6*BA5/$AZ$5,2)</f>
        <v>7963.76</v>
      </c>
      <c r="BB6" s="13">
        <f>ROUND($AY$6*BB5/$AZ$5,2)</f>
        <v>7454.19</v>
      </c>
      <c r="BC6" s="13">
        <f t="shared" ref="BC6:BH6" si="4">ROUND($AY$6*BC5/$AZ$5,2)</f>
        <v>509.57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t="s">
        <v>3393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t="s">
        <v>3416</v>
      </c>
      <c r="B13" s="3438" t="s">
        <v>3417</v>
      </c>
      <c r="C13" s="3438" t="s">
        <v>3415</v>
      </c>
      <c r="D13" s="1625" t="s">
        <v>3391</v>
      </c>
      <c r="E13" s="13">
        <f>IF($C$3="是",ROUND($A$3*G13/$B$3,2),ROUND($A$3*(G13-AT13)/$B$3,2))</f>
        <v>179.63</v>
      </c>
      <c r="F13" s="29"/>
      <c r="G13" s="30">
        <f>H13+AC13+AT13</f>
        <v>306.54000000000002</v>
      </c>
      <c r="H13" s="17">
        <f>SUMIF(I$12:AB$12,"总值",I13:AB13)</f>
        <v>306.54000000000002</v>
      </c>
      <c r="I13" s="1626">
        <v>306.54000000000002</v>
      </c>
      <c r="J13" s="1626"/>
      <c r="K13" s="3432"/>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1至2层</v>
      </c>
      <c r="AW13" s="8" t="str">
        <f t="shared" si="6"/>
        <v>钢混</v>
      </c>
      <c r="AX13" s="8" t="str">
        <f t="shared" si="6"/>
        <v>5号楼</v>
      </c>
      <c r="AY13" s="1349">
        <f>ROUND($AY$6*AZ13/$AZ$5,2)</f>
        <v>179.63</v>
      </c>
      <c r="AZ13" s="13">
        <f>BA13+BL13</f>
        <v>306.54000000000002</v>
      </c>
      <c r="BA13" s="13">
        <f>SUM(BB13:BK13)</f>
        <v>306.54000000000002</v>
      </c>
      <c r="BB13" s="13">
        <f>IF($D13="是",I13-J13,0)</f>
        <v>306.54000000000002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3419</v>
      </c>
      <c r="B14" s="3438" t="s">
        <v>3417</v>
      </c>
      <c r="C14" s="3428" t="s">
        <v>3418</v>
      </c>
      <c r="D14" s="1625" t="s">
        <v>3391</v>
      </c>
      <c r="E14" s="13">
        <f>IF($C$3="是",ROUND($A$3*G14/$B$3,2),ROUND($A$3*(G14-AT14)/$B$3,2))</f>
        <v>4339.43</v>
      </c>
      <c r="F14" s="29"/>
      <c r="G14" s="30">
        <f>H14+AC14+AT14</f>
        <v>7405.24</v>
      </c>
      <c r="H14" s="17">
        <f>SUMIF(I$12:AB$12,"总值",I14:AB14)</f>
        <v>7405.24</v>
      </c>
      <c r="I14" s="1626">
        <v>7405.24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1层</v>
      </c>
      <c r="AW14" s="8" t="str">
        <f t="shared" si="6"/>
        <v>钢混</v>
      </c>
      <c r="AX14" s="8" t="str">
        <f t="shared" si="6"/>
        <v>2号楼</v>
      </c>
      <c r="AY14" s="1349">
        <f>ROUND($AY$6*AZ14/$AZ$5,2)</f>
        <v>4339.43</v>
      </c>
      <c r="AZ14" s="13">
        <f>BA14+BL14</f>
        <v>7405.24</v>
      </c>
      <c r="BA14" s="13">
        <f>SUM(BB14:BK14)</f>
        <v>7405.24</v>
      </c>
      <c r="BB14" s="13">
        <f>IF($D14="是",I14-J14,0)</f>
        <v>7405.24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t="s">
        <v>3421</v>
      </c>
      <c r="B15" s="3438" t="s">
        <v>3417</v>
      </c>
      <c r="C15" s="1570" t="s">
        <v>3420</v>
      </c>
      <c r="D15" s="1625" t="s">
        <v>3391</v>
      </c>
      <c r="E15" s="13">
        <f>IF($C$3="是",ROUND($A$3*G15/$B$3,2),ROUND($A$3*(G15-AT15)/$B$3,2))</f>
        <v>3444.69</v>
      </c>
      <c r="F15" s="29"/>
      <c r="G15" s="30">
        <f>H15+AC15+AT15</f>
        <v>5878.37</v>
      </c>
      <c r="H15" s="17">
        <f>SUMIF(I$12:AB$12,"总值",I15:AB15)</f>
        <v>5878.37</v>
      </c>
      <c r="I15" s="1626">
        <f>ROUND(5878.37-K15,2)</f>
        <v>5008.79</v>
      </c>
      <c r="J15" s="1626"/>
      <c r="K15" s="1626">
        <v>869.58</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地下1至6层</v>
      </c>
      <c r="AW15" s="8" t="str">
        <f t="shared" si="6"/>
        <v>钢混</v>
      </c>
      <c r="AX15" s="8" t="str">
        <f t="shared" si="6"/>
        <v>4号楼</v>
      </c>
      <c r="AY15" s="1349">
        <f>ROUND($AY$6*AZ15/$AZ$5,2)</f>
        <v>3444.7</v>
      </c>
      <c r="AZ15" s="13">
        <f>BA15+BL15</f>
        <v>5878.37</v>
      </c>
      <c r="BA15" s="13">
        <f>SUM(BB15:BK15)</f>
        <v>5878.37</v>
      </c>
      <c r="BB15" s="13">
        <f>IF($D15="是",I15-J15,0)</f>
        <v>5008.79</v>
      </c>
      <c r="BC15" s="13">
        <f>IF($D15="是",K15-L15,0)</f>
        <v>869.58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28" t="s">
        <v>3447</v>
      </c>
      <c r="D16" s="1625" t="s">
        <v>3399</v>
      </c>
      <c r="E16" s="13">
        <f>IF($C$3="是",ROUND($A$3*G16/$B$3,2),ROUND($A$3*(G16-AT16)/$B$3,2))</f>
        <v>17421.41</v>
      </c>
      <c r="F16" s="29"/>
      <c r="G16" s="30">
        <f>H16+AC16+AT16</f>
        <v>29729.63</v>
      </c>
      <c r="H16" s="17">
        <f>SUMIF(I$12:AB$12,"总值",I16:AB16)</f>
        <v>29729.63</v>
      </c>
      <c r="I16" s="1626">
        <v>20229.63</v>
      </c>
      <c r="J16" s="1626"/>
      <c r="K16" s="1626">
        <v>9500</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二期厂房</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38"/>
      <c r="G2" s="2629"/>
      <c r="H2" s="2630"/>
      <c r="I2" s="2324" t="s">
        <v>1132</v>
      </c>
      <c r="J2" s="2638"/>
      <c r="K2" s="2638"/>
      <c r="L2" s="2638"/>
      <c r="M2" s="2638"/>
      <c r="N2" s="2640"/>
      <c r="O2" s="2638"/>
      <c r="P2" s="2638"/>
    </row>
    <row r="3" spans="1:16" ht="15.75" thickBot="1">
      <c r="A3" s="3541" t="s">
        <v>1105</v>
      </c>
      <c r="B3" s="3541"/>
      <c r="C3" s="3541"/>
      <c r="D3" s="43">
        <f>'数据-基础表'!AY6</f>
        <v>7963.76</v>
      </c>
      <c r="E3" s="43">
        <f>'数据-基础表'!AZ5</f>
        <v>13590.15</v>
      </c>
      <c r="F3" s="2638"/>
      <c r="G3" s="1145"/>
      <c r="H3" s="1026" t="s">
        <v>1106</v>
      </c>
      <c r="I3" s="855">
        <f>ROUND('数据-基础表'!B3/'数据-基础表'!A3,2)</f>
        <v>1.71</v>
      </c>
      <c r="J3" s="2638"/>
      <c r="K3" s="2638"/>
      <c r="L3" s="2638"/>
      <c r="M3" s="2638"/>
      <c r="N3" s="2640"/>
      <c r="O3" s="2638"/>
      <c r="P3" s="2638"/>
    </row>
    <row r="4" spans="1:16" ht="15">
      <c r="A4" s="3542"/>
      <c r="B4" s="3543"/>
      <c r="C4" s="3544"/>
      <c r="D4" s="1641" t="s">
        <v>1107</v>
      </c>
      <c r="E4" s="1642" t="s">
        <v>1108</v>
      </c>
      <c r="F4" s="2638"/>
      <c r="G4" s="2631" t="s">
        <v>1133</v>
      </c>
      <c r="H4" s="1026" t="s">
        <v>1113</v>
      </c>
      <c r="I4" s="855">
        <f>ROUND(SUMIF('数据-基础表'!I9:AS9,"地上",'数据-基础表'!I5:AS5)/'数据-基础表'!A3,2)</f>
        <v>1.3</v>
      </c>
      <c r="J4" s="2638"/>
      <c r="K4" s="2638"/>
      <c r="L4" s="2638"/>
      <c r="M4" s="2638"/>
      <c r="N4" s="2640"/>
      <c r="O4" s="2638"/>
      <c r="P4" s="2638"/>
    </row>
    <row r="5" spans="1:16">
      <c r="A5" s="44" t="s">
        <v>1109</v>
      </c>
      <c r="B5" s="3545" t="s">
        <v>1110</v>
      </c>
      <c r="C5" s="3545"/>
      <c r="D5" s="45">
        <f>ROUND($D$3*E5/$E$3,2)</f>
        <v>0</v>
      </c>
      <c r="E5" s="46">
        <f>SUMIF('数据-基础表'!$11:$11,"住宅",'数据-基础表'!$5:$5)</f>
        <v>0</v>
      </c>
      <c r="F5" s="2638"/>
      <c r="G5" s="1145"/>
      <c r="H5" s="1026" t="s">
        <v>1106</v>
      </c>
      <c r="I5" s="855">
        <f>ROUND(E31/D31,2)</f>
        <v>1.71</v>
      </c>
      <c r="J5" s="2638"/>
      <c r="K5" s="2638"/>
      <c r="L5" s="2638"/>
      <c r="M5" s="2638"/>
      <c r="N5" s="2638"/>
      <c r="O5" s="2638"/>
      <c r="P5" s="2638"/>
    </row>
    <row r="6" spans="1:16" ht="15" thickBot="1">
      <c r="A6" s="1644"/>
      <c r="B6" s="3545" t="s">
        <v>1111</v>
      </c>
      <c r="C6" s="3545"/>
      <c r="D6" s="45">
        <f>ROUND($D$3*E6/$E$3,2)</f>
        <v>7963.76</v>
      </c>
      <c r="E6" s="46">
        <f>E3-E5</f>
        <v>13590.15</v>
      </c>
      <c r="F6" s="2638"/>
      <c r="G6" s="2632" t="s">
        <v>1112</v>
      </c>
      <c r="H6" s="1146" t="s">
        <v>1113</v>
      </c>
      <c r="I6" s="2633">
        <f>ROUND(F31/D31,2)</f>
        <v>1.6</v>
      </c>
      <c r="J6" s="2638"/>
      <c r="K6" s="2638"/>
      <c r="L6" s="2638"/>
      <c r="M6" s="2638"/>
      <c r="N6" s="2638"/>
      <c r="O6" s="2638"/>
      <c r="P6" s="2638"/>
    </row>
    <row r="7" spans="1:16" ht="15.75" thickBot="1">
      <c r="A7" s="3537"/>
      <c r="B7" s="3538"/>
      <c r="C7" s="3539"/>
      <c r="D7" s="1641" t="s">
        <v>1107</v>
      </c>
      <c r="E7" s="1645" t="s">
        <v>1114</v>
      </c>
      <c r="F7" s="2638"/>
      <c r="G7" s="2634" t="s">
        <v>1115</v>
      </c>
      <c r="H7" s="2635"/>
      <c r="I7" s="2636"/>
      <c r="J7" s="2638"/>
      <c r="K7" s="2638"/>
      <c r="L7" s="2638"/>
      <c r="M7" s="2638"/>
      <c r="N7" s="2638"/>
      <c r="O7" s="2638"/>
      <c r="P7" s="2638"/>
    </row>
    <row r="8" spans="1:16">
      <c r="A8" s="44" t="s">
        <v>1116</v>
      </c>
      <c r="B8" s="47" t="s">
        <v>1117</v>
      </c>
      <c r="C8" s="45" t="s">
        <v>1118</v>
      </c>
      <c r="D8" s="45">
        <f t="shared" ref="D8:D15" si="0">ROUND($D$3*E8/$E$3,2)</f>
        <v>7454.19</v>
      </c>
      <c r="E8" s="48">
        <f>SUMIF('数据-基础表'!BB10:BK10,"地上",'数据-基础表'!BB5:BK5)</f>
        <v>12720.57</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7454.19</v>
      </c>
      <c r="E16" s="50">
        <f>SUM(E8:E15)</f>
        <v>12720.57</v>
      </c>
      <c r="F16" s="2638"/>
      <c r="G16" s="263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3394</v>
      </c>
      <c r="D19" s="45">
        <f>ROUND($D$3*E19/$E$3,2)</f>
        <v>7963.76</v>
      </c>
      <c r="E19" s="53">
        <f t="shared" ref="E19:E26" si="1">SUM(F19:G19)</f>
        <v>13590.15</v>
      </c>
      <c r="F19" s="2774">
        <f>'数据-基础表'!BB5</f>
        <v>12720.57</v>
      </c>
      <c r="G19" s="2775">
        <f>'数据-基础表'!BC5</f>
        <v>869.58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7963.76</v>
      </c>
      <c r="S19" s="1027">
        <f t="shared" si="5"/>
        <v>13590.15</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7963.76</v>
      </c>
      <c r="E27" s="1141">
        <f>IF(SUM(E19:E26)='数据-基础表'!BA5,SUM(E19:E26),IF(F27="地上面积有误","面积有误","地下面积有误"))</f>
        <v>13590.15</v>
      </c>
      <c r="F27" s="1140">
        <f>IF(SUM(F19:F26)=E8,SUM(F19:F26),"地上面积有误")</f>
        <v>12720.57</v>
      </c>
      <c r="G27" s="1142">
        <f>SUM(G19:G26)</f>
        <v>869.58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7963.76</v>
      </c>
      <c r="S27" s="1026">
        <f>IF(SUM(S19:S26)=$E$3,SUM(S19:S26),SUM(S19:S26)&amp;"误差"&amp;ROUND(SUM(S19:S26)-E3,2))</f>
        <v>13590.15</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7963.76</v>
      </c>
      <c r="E31" s="676">
        <f>E27+E30</f>
        <v>13590.15</v>
      </c>
      <c r="F31" s="677">
        <f>F27+F30</f>
        <v>12720.57</v>
      </c>
      <c r="G31" s="678">
        <f>G27+G30</f>
        <v>869.58</v>
      </c>
      <c r="H31" s="2638"/>
      <c r="I31" s="2638"/>
      <c r="J31" s="2638"/>
      <c r="K31" s="2638"/>
      <c r="L31" s="2638"/>
      <c r="M31" s="2638"/>
      <c r="N31" s="2638"/>
      <c r="O31" s="2638"/>
      <c r="P31" s="2638"/>
    </row>
    <row r="32" spans="1:19">
      <c r="A32" s="1643"/>
      <c r="B32" s="1643" t="s">
        <v>1159</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59390</v>
      </c>
      <c r="F6" s="64">
        <f>SUMIF(项目基本情况!C$12:I$12,C6,项目基本情况!C$15:I$15)</f>
        <v>37.69</v>
      </c>
      <c r="G6" s="65">
        <f>IF(ISERROR(ROUND(POWER(1+H6,D6-F6)*(POWER(1+H6,F6)-1)/(POWER(1+H6,D6)-1),3)),0,ROUND(POWER(1+H6,D6-F6)*(POWER(1+H6,F6)-1)/(POWER(1+H6,D6)-1),3))</f>
        <v>0.91</v>
      </c>
      <c r="H6" s="732">
        <v>4.4999999999999998E-2</v>
      </c>
      <c r="I6" s="732">
        <v>0.05</v>
      </c>
      <c r="J6" s="66">
        <v>7.0000000000000007E-2</v>
      </c>
      <c r="K6" s="1030">
        <f>SUMIF('数据-汇总表'!C$19:C$33,A6,'数据-汇总表'!E$19:E$33)</f>
        <v>13590.15</v>
      </c>
      <c r="L6" s="733">
        <v>4000</v>
      </c>
      <c r="M6" s="3435">
        <f>ROUND(K6*L6/10000,0)</f>
        <v>5436</v>
      </c>
      <c r="N6" s="731">
        <f>N21</f>
        <v>0.87</v>
      </c>
      <c r="O6" s="67" t="str">
        <f>IF($N$5="成新度","——",ROUND(M6*N6,0))</f>
        <v>——</v>
      </c>
      <c r="P6" s="68" t="str">
        <f>IF($N$5="成新度","——",M6-O6)</f>
        <v>——</v>
      </c>
      <c r="Q6" s="734">
        <v>0.05</v>
      </c>
      <c r="R6" s="69">
        <f ca="1">SUMIF('数据-汇总表'!C$19:C$33,A6,'数据-汇总表'!R$19:R$27)</f>
        <v>7963.76</v>
      </c>
      <c r="S6" s="51">
        <f>IF('数据-汇总表'!$I$17="按面积比例",SUMIF('数据-汇总表'!C$19:C$33,A6,'数据-汇总表'!K$19:K$33),SUMIF('数据-汇总表'!C$19:C$33,A6,'数据-汇总表'!N$19:N$33))</f>
        <v>0</v>
      </c>
      <c r="T6" s="1172">
        <f>ROUND($L$14*S6/10000,0)</f>
        <v>0</v>
      </c>
      <c r="U6" s="3440">
        <v>2.2999999999999998</v>
      </c>
      <c r="V6" s="70">
        <v>0.02</v>
      </c>
      <c r="W6" s="70">
        <v>0.05</v>
      </c>
      <c r="X6" s="1040"/>
      <c r="Y6" s="71">
        <f>N6</f>
        <v>0.87</v>
      </c>
      <c r="Z6" s="72"/>
      <c r="AA6" s="66"/>
      <c r="AB6" s="66"/>
      <c r="AC6" s="1040"/>
      <c r="AD6" s="73"/>
      <c r="AE6" s="1041">
        <f ca="1">IF(AN6="",0,SUMIF(INDIRECT("'"&amp;AN6&amp;"'"&amp;"!E:E"),$AE$5,INDIRECT("'"&amp;AN6&amp;"'"&amp;"!F:F")))</f>
        <v>37.69</v>
      </c>
      <c r="AF6" s="1348"/>
      <c r="AG6" s="138">
        <f>IF(AF6="",0,AE6-AF6)</f>
        <v>0</v>
      </c>
      <c r="AH6" s="74"/>
      <c r="AI6" s="76">
        <v>365</v>
      </c>
      <c r="AJ6" s="77"/>
      <c r="AK6" s="78">
        <v>2E-3</v>
      </c>
      <c r="AL6" s="79">
        <v>1E-3</v>
      </c>
      <c r="AM6" s="80">
        <v>0.01</v>
      </c>
      <c r="AN6" s="1715" t="s">
        <v>3395</v>
      </c>
      <c r="AO6" s="52">
        <f ca="1">SUMIF(INDIRECT("'"&amp;AN6&amp;"'"&amp;"!A:A"),"总价",INDIRECT("'"&amp;AN6&amp;"'"&amp;"!B:B"))</f>
        <v>19463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4000</v>
      </c>
      <c r="M14" s="67">
        <f t="shared" si="2"/>
        <v>0</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v>
      </c>
      <c r="H16" s="90">
        <f>ROUND(SUMPRODUCT(H6:H13,K6:K13)/SUMPRODUCT((H6:H13&gt;0)*(K6:K13)),3)</f>
        <v>4.4999999999999998E-2</v>
      </c>
      <c r="I16" s="91"/>
      <c r="J16" s="91"/>
      <c r="K16" s="92">
        <f>SUM(K6:K15)</f>
        <v>13590.15</v>
      </c>
      <c r="L16" s="93">
        <f>ROUND(M16*10000/SUM(K6:K14),0)</f>
        <v>4000</v>
      </c>
      <c r="M16" s="93">
        <f>SUM(M6:M14)</f>
        <v>5436</v>
      </c>
      <c r="N16" s="94">
        <f>ROUND(SUMPRODUCT(M6:M14,N6:N14)/M16,3)</f>
        <v>0.87</v>
      </c>
      <c r="O16" s="93">
        <f>SUM(O6:O14)</f>
        <v>0</v>
      </c>
      <c r="P16" s="93">
        <f>SUM(P6:P14)</f>
        <v>0</v>
      </c>
      <c r="Q16" s="95">
        <f>ROUND(SUMPRODUCT(Q6:Q13,K6:K13)/SUMPRODUCT((Q6:Q13&gt;0)*(K6:K13)),2)</f>
        <v>0.05</v>
      </c>
      <c r="R16" s="1034">
        <f ca="1">SUM(R6:R13)</f>
        <v>7963.76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3803" t="s">
        <v>3459</v>
      </c>
      <c r="M17" s="2650">
        <f>结果表!I91</f>
        <v>5210.718304</v>
      </c>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3429" t="s">
        <v>3427</v>
      </c>
      <c r="N18" s="2650">
        <v>2014</v>
      </c>
      <c r="O18" s="2650"/>
      <c r="P18" s="2650"/>
      <c r="Q18" s="2650"/>
      <c r="R18" s="2650"/>
      <c r="S18" s="3429" t="s">
        <v>3446</v>
      </c>
      <c r="T18" s="3429" t="s">
        <v>3449</v>
      </c>
      <c r="U18" s="2650">
        <f>235.425*4</f>
        <v>941.7</v>
      </c>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2300</v>
      </c>
      <c r="D19" s="2655"/>
      <c r="E19" s="2652"/>
      <c r="F19" s="2652"/>
      <c r="G19" s="2652"/>
      <c r="H19" s="2652"/>
      <c r="I19" s="2652"/>
      <c r="J19" s="2652"/>
      <c r="K19" s="2651"/>
      <c r="L19" s="2651"/>
      <c r="M19" s="3429" t="s">
        <v>3428</v>
      </c>
      <c r="N19" s="2650">
        <f>ROUND(1-(1-0%)*(2024-N18)/60,3)</f>
        <v>0.83299999999999996</v>
      </c>
      <c r="O19" s="2650"/>
      <c r="P19" s="2650"/>
      <c r="Q19" s="2650"/>
      <c r="R19" s="2650"/>
      <c r="S19" s="2650"/>
      <c r="T19" s="3429" t="s">
        <v>3450</v>
      </c>
      <c r="U19" s="2650">
        <v>2.14</v>
      </c>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1.5</v>
      </c>
      <c r="C20" s="2779" t="s">
        <v>2298</v>
      </c>
      <c r="D20" s="2655"/>
      <c r="E20" s="2652"/>
      <c r="F20" s="2652"/>
      <c r="G20" s="2652"/>
      <c r="H20" s="2652"/>
      <c r="I20" s="2652"/>
      <c r="J20" s="2652"/>
      <c r="K20" s="2651"/>
      <c r="L20" s="2651"/>
      <c r="M20" s="3429" t="s">
        <v>3453</v>
      </c>
      <c r="N20" s="3802">
        <v>0.9</v>
      </c>
      <c r="O20" s="2650"/>
      <c r="P20" s="2650"/>
      <c r="Q20" s="2650"/>
      <c r="R20" s="2650"/>
      <c r="S20" s="2650"/>
      <c r="T20" s="3429" t="s">
        <v>3445</v>
      </c>
      <c r="U20" s="2650">
        <f>'数据-汇总表'!D3/2</f>
        <v>3981.88</v>
      </c>
      <c r="V20" s="2650">
        <v>0.2</v>
      </c>
      <c r="W20" s="2650">
        <f>U20*V20/K6</f>
        <v>5.8599500373432235E-2</v>
      </c>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v>1.5</v>
      </c>
      <c r="C21" s="2652"/>
      <c r="D21" s="2655"/>
      <c r="E21" s="2652"/>
      <c r="F21" s="2652"/>
      <c r="G21" s="2652"/>
      <c r="H21" s="2652"/>
      <c r="I21" s="2652"/>
      <c r="J21" s="2652"/>
      <c r="K21" s="2651"/>
      <c r="L21" s="2651"/>
      <c r="M21" s="3429" t="s">
        <v>3454</v>
      </c>
      <c r="N21" s="2650">
        <f>ROUND((N20+N19)/2,2)</f>
        <v>0.87</v>
      </c>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1.5</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1.5</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3803" t="s">
        <v>3456</v>
      </c>
      <c r="M24" s="3429" t="s">
        <v>3457</v>
      </c>
      <c r="N24" s="2650"/>
      <c r="O24" s="3429" t="s">
        <v>3458</v>
      </c>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3439" t="s">
        <v>3455</v>
      </c>
      <c r="L25">
        <f>'数据-基础表'!H13</f>
        <v>306.54000000000002</v>
      </c>
      <c r="M25">
        <f>2500*1.5</f>
        <v>3750</v>
      </c>
      <c r="N25">
        <f>L25*M25</f>
        <v>1149525</v>
      </c>
      <c r="O25" s="3439" t="s">
        <v>3452</v>
      </c>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3439" t="s">
        <v>3422</v>
      </c>
      <c r="L26">
        <f>'数据-基础表'!H14</f>
        <v>7405.24</v>
      </c>
      <c r="M26">
        <f>2500*1.5</f>
        <v>3750</v>
      </c>
      <c r="N26">
        <f t="shared" ref="N26:N27" si="12">L26*M26</f>
        <v>27769650</v>
      </c>
      <c r="O26" s="3439" t="s">
        <v>3448</v>
      </c>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c r="C27" s="2780" t="s">
        <v>2302</v>
      </c>
      <c r="D27" s="2658"/>
      <c r="E27" s="2640"/>
      <c r="F27" s="2640"/>
      <c r="G27" s="2652"/>
      <c r="H27" s="2652"/>
      <c r="I27" s="2652"/>
      <c r="J27" s="2652"/>
      <c r="K27" s="3439" t="s">
        <v>3423</v>
      </c>
      <c r="L27">
        <f>'数据-基础表'!H15</f>
        <v>5878.37</v>
      </c>
      <c r="M27">
        <v>4500</v>
      </c>
      <c r="N27">
        <f t="shared" si="12"/>
        <v>26452665</v>
      </c>
      <c r="O27"/>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c r="L28">
        <f>L25+L26+L27</f>
        <v>13590.15</v>
      </c>
      <c r="M28">
        <f>N28/L28</f>
        <v>4074.4097747265482</v>
      </c>
      <c r="N28">
        <f>N25+N26+N27</f>
        <v>55371840</v>
      </c>
      <c r="O28"/>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272</v>
      </c>
      <c r="C29" s="2781" t="s">
        <v>2291</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2" t="s">
        <v>3375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2292</v>
      </c>
      <c r="D34" s="2663" t="s">
        <v>2299</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2" t="s">
        <v>2293</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82" t="s">
        <v>3376</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2294</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2294</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15" thickBot="1">
      <c r="A40" s="2794" t="s">
        <v>2309</v>
      </c>
      <c r="B40" s="1078">
        <f ca="1">IF(A40="利息：取LPR",存贷款利率!G1,存贷款利率!G1+C40)</f>
        <v>3.1E-2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5.5000000000000007E-2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5.000000000000001E-3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0.05</v>
      </c>
      <c r="C44" s="2782" t="s">
        <v>2303</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2295</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2296</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2304</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2295</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2297</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3</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303</v>
      </c>
      <c r="C53" s="2640" t="s">
        <v>1246</v>
      </c>
      <c r="D53" s="2783" t="s">
        <v>2301</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f>C58</f>
        <v>3</v>
      </c>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f>C59</f>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6" t="s">
        <v>2283</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2463" t="s">
        <v>2282</v>
      </c>
      <c r="D3" s="2464"/>
      <c r="E3" s="2441" t="s">
        <v>2281</v>
      </c>
      <c r="F3" s="2465" t="s">
        <v>2252</v>
      </c>
      <c r="G3" s="3441" t="s">
        <v>3429</v>
      </c>
      <c r="H3" s="799"/>
      <c r="I3" s="799"/>
      <c r="J3" s="799"/>
      <c r="K3" s="799"/>
      <c r="L3" s="799"/>
      <c r="M3" s="799"/>
      <c r="N3" s="799"/>
      <c r="O3" s="799"/>
      <c r="P3" s="799"/>
      <c r="Q3" s="799"/>
      <c r="R3" s="799"/>
    </row>
    <row r="4" spans="1:29" ht="36.75">
      <c r="A4" s="2441"/>
      <c r="B4" s="323" t="s">
        <v>2253</v>
      </c>
      <c r="C4" s="2466" t="s">
        <v>2254</v>
      </c>
      <c r="D4" s="2464"/>
      <c r="E4" s="2467"/>
      <c r="F4" s="1373" t="s">
        <v>2255</v>
      </c>
      <c r="G4" s="3442" t="s">
        <v>3430</v>
      </c>
      <c r="H4" s="799"/>
      <c r="I4" s="799"/>
      <c r="J4" s="799"/>
      <c r="K4" s="799"/>
      <c r="L4" s="799"/>
      <c r="M4" s="799"/>
      <c r="N4" s="799"/>
      <c r="O4" s="799"/>
      <c r="P4" s="799"/>
      <c r="Q4" s="799"/>
      <c r="R4" s="799"/>
    </row>
    <row r="5" spans="1:29" ht="36.75">
      <c r="A5" s="2441"/>
      <c r="B5" s="323" t="s">
        <v>2257</v>
      </c>
      <c r="C5" s="2466" t="s">
        <v>2258</v>
      </c>
      <c r="D5" s="2464"/>
      <c r="E5" s="2467"/>
      <c r="F5" s="323" t="s">
        <v>2259</v>
      </c>
      <c r="G5" s="3442" t="s">
        <v>3431</v>
      </c>
      <c r="H5" s="799"/>
      <c r="I5" s="799"/>
      <c r="J5" s="799"/>
      <c r="K5" s="799"/>
      <c r="L5" s="799"/>
      <c r="M5" s="799"/>
      <c r="N5" s="799"/>
      <c r="O5" s="799"/>
      <c r="P5" s="799"/>
      <c r="Q5" s="799"/>
      <c r="R5" s="799"/>
    </row>
    <row r="6" spans="1:29" ht="36">
      <c r="A6" s="2441"/>
      <c r="B6" s="323" t="s">
        <v>2261</v>
      </c>
      <c r="C6" s="2468" t="s">
        <v>2256</v>
      </c>
      <c r="D6" s="2464"/>
      <c r="E6" s="2467"/>
      <c r="F6" s="323" t="s">
        <v>2262</v>
      </c>
      <c r="G6" s="3442" t="s">
        <v>3432</v>
      </c>
      <c r="H6" s="799"/>
      <c r="I6" s="799"/>
      <c r="J6" s="799"/>
      <c r="K6" s="799"/>
      <c r="L6" s="799"/>
      <c r="M6" s="799"/>
      <c r="N6" s="799"/>
      <c r="O6" s="799"/>
      <c r="P6" s="799"/>
      <c r="Q6" s="799"/>
      <c r="R6" s="799"/>
    </row>
    <row r="7" spans="1:29" ht="24.75" thickBot="1">
      <c r="A7" s="2441"/>
      <c r="B7" s="323" t="s">
        <v>2259</v>
      </c>
      <c r="C7" s="2468" t="s">
        <v>2260</v>
      </c>
      <c r="D7" s="2469"/>
      <c r="E7" s="2470"/>
      <c r="F7" s="2471" t="s">
        <v>2264</v>
      </c>
      <c r="G7" s="3443" t="s">
        <v>3430</v>
      </c>
      <c r="H7" s="799"/>
      <c r="I7" s="799"/>
      <c r="J7" s="799"/>
      <c r="K7" s="799"/>
      <c r="L7" s="799"/>
      <c r="M7" s="799"/>
      <c r="N7" s="799"/>
      <c r="O7" s="799"/>
      <c r="P7" s="799"/>
      <c r="Q7" s="799"/>
      <c r="R7" s="799"/>
    </row>
    <row r="8" spans="1:29">
      <c r="A8" s="2441"/>
      <c r="B8" s="323" t="s">
        <v>2262</v>
      </c>
      <c r="C8" s="2468" t="s">
        <v>2263</v>
      </c>
      <c r="D8" s="2469"/>
      <c r="E8" s="2469"/>
      <c r="F8" s="2472"/>
      <c r="G8" s="2472"/>
      <c r="H8" s="799"/>
      <c r="I8" s="799"/>
      <c r="J8" s="799"/>
      <c r="K8" s="799"/>
      <c r="L8" s="799"/>
      <c r="M8" s="799"/>
      <c r="N8" s="799"/>
      <c r="O8" s="799"/>
      <c r="P8" s="799"/>
      <c r="Q8" s="799"/>
      <c r="R8" s="799"/>
    </row>
    <row r="9" spans="1:29" ht="24">
      <c r="A9" s="2441"/>
      <c r="B9" s="323" t="s">
        <v>2265</v>
      </c>
      <c r="C9" s="2466" t="s">
        <v>2266</v>
      </c>
      <c r="D9" s="2464"/>
      <c r="E9" s="2469"/>
      <c r="F9" s="2472"/>
      <c r="G9" s="2472"/>
      <c r="H9" s="799"/>
      <c r="I9" s="799"/>
      <c r="J9" s="799"/>
      <c r="K9" s="799"/>
      <c r="L9" s="799"/>
      <c r="M9" s="799"/>
      <c r="N9" s="799"/>
      <c r="O9" s="799"/>
      <c r="P9" s="799"/>
      <c r="Q9" s="799"/>
      <c r="R9" s="799"/>
    </row>
    <row r="10" spans="1:29" s="2478" customFormat="1" ht="15" thickBot="1">
      <c r="A10" s="2442"/>
      <c r="B10" s="2473" t="s">
        <v>2267</v>
      </c>
      <c r="C10" s="2474"/>
      <c r="D10" s="2464"/>
      <c r="E10" s="2464"/>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9"/>
      <c r="C12" s="2464"/>
      <c r="D12" s="2481"/>
      <c r="E12" s="2464"/>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2284</v>
      </c>
      <c r="B13" s="2481"/>
      <c r="C13" s="2481"/>
      <c r="D13" s="2479"/>
      <c r="E13" s="2481"/>
      <c r="F13" s="2481"/>
      <c r="G13" s="2481"/>
    </row>
    <row r="14" spans="1:29" ht="15" thickBot="1">
      <c r="A14" s="2491"/>
      <c r="B14" s="2491"/>
      <c r="C14" s="2492" t="s">
        <v>2268</v>
      </c>
      <c r="D14" s="2464"/>
      <c r="E14" s="2493"/>
      <c r="F14" s="2493"/>
      <c r="G14" s="2459" t="s">
        <v>2269</v>
      </c>
    </row>
    <row r="15" spans="1:29" ht="51">
      <c r="A15" s="2443" t="s">
        <v>2270</v>
      </c>
      <c r="B15" s="2494" t="s">
        <v>2251</v>
      </c>
      <c r="C15" s="2495" t="str">
        <f>C3</f>
        <v>估价对象周边居住用地比例、居住小区规模和社区发展完善程度，综合评价居住社区成熟度一般</v>
      </c>
      <c r="D15" s="2464"/>
      <c r="E15" s="2444" t="s">
        <v>2271</v>
      </c>
      <c r="F15" s="2494" t="s">
        <v>2272</v>
      </c>
      <c r="G15" s="2496" t="str">
        <f>G3</f>
        <v>较好</v>
      </c>
    </row>
    <row r="16" spans="1:29" ht="38.25">
      <c r="A16" s="2445"/>
      <c r="B16" s="2497" t="s">
        <v>2253</v>
      </c>
      <c r="C16" s="2498" t="str">
        <f>C4</f>
        <v>估价对象位于XX商圈，周边商业氛围成熟，人流量大，商业繁华度好</v>
      </c>
      <c r="D16" s="2464"/>
      <c r="E16" s="2446"/>
      <c r="F16" s="2499" t="s">
        <v>2255</v>
      </c>
      <c r="G16" s="2500" t="str">
        <f>G4</f>
        <v>较好</v>
      </c>
    </row>
    <row r="17" spans="1:18" ht="38.25">
      <c r="A17" s="2445"/>
      <c r="B17" s="2497" t="s">
        <v>2257</v>
      </c>
      <c r="C17" s="2498" t="str">
        <f>C5</f>
        <v>估价对象位于XX商圈，周边办公楼项目较多，入驻率高，办公集聚程度较好</v>
      </c>
      <c r="D17" s="2469"/>
      <c r="E17" s="2446"/>
      <c r="F17" s="2499" t="s">
        <v>2273</v>
      </c>
      <c r="G17" s="2501"/>
    </row>
    <row r="18" spans="1:18" ht="38.25">
      <c r="A18" s="2445"/>
      <c r="B18" s="2499" t="s">
        <v>2261</v>
      </c>
      <c r="C18" s="2500" t="str">
        <f>C6</f>
        <v>估价对象周边道路状况、公共交通通达情况、停车便捷程度，综合评价交通便捷度较好</v>
      </c>
      <c r="D18" s="2469"/>
      <c r="E18" s="2446"/>
      <c r="F18" s="2499" t="s">
        <v>2264</v>
      </c>
      <c r="G18" s="2500" t="str">
        <f>G7</f>
        <v>较好</v>
      </c>
    </row>
    <row r="19" spans="1:18">
      <c r="A19" s="2445"/>
      <c r="B19" s="2499" t="s">
        <v>2274</v>
      </c>
      <c r="C19" s="2501"/>
      <c r="D19" s="2464"/>
      <c r="E19" s="2446"/>
      <c r="F19" s="323" t="s">
        <v>2259</v>
      </c>
      <c r="G19" s="2500" t="str">
        <f>G5</f>
        <v>一般</v>
      </c>
    </row>
    <row r="20" spans="1:18" ht="25.5">
      <c r="A20" s="2445"/>
      <c r="B20" s="2499" t="s">
        <v>2275</v>
      </c>
      <c r="C20" s="2498" t="str">
        <f>C9</f>
        <v>区域自然环境：；人文环境；综合评价环境状况一般</v>
      </c>
      <c r="D20" s="2469"/>
      <c r="E20" s="2446"/>
      <c r="F20" s="323" t="s">
        <v>2262</v>
      </c>
      <c r="G20" s="2500" t="str">
        <f>G6</f>
        <v>七通</v>
      </c>
    </row>
    <row r="21" spans="1:18" ht="25.5">
      <c r="A21" s="2445"/>
      <c r="B21" s="323" t="s">
        <v>2259</v>
      </c>
      <c r="C21" s="2500" t="str">
        <f>C7</f>
        <v>估价对象所在区域公共配套设施齐备情况</v>
      </c>
      <c r="D21" s="2464"/>
      <c r="E21" s="2446"/>
      <c r="F21" s="2499" t="s">
        <v>2276</v>
      </c>
      <c r="G21" s="2502"/>
    </row>
    <row r="22" spans="1:18" ht="13.5" customHeight="1">
      <c r="A22" s="2445"/>
      <c r="B22" s="323" t="s">
        <v>2262</v>
      </c>
      <c r="C22" s="2500" t="str">
        <f>C8</f>
        <v>估价对象所在区域基础设施水平</v>
      </c>
      <c r="D22" s="2464"/>
      <c r="E22" s="2446"/>
      <c r="F22" s="2499" t="s">
        <v>2267</v>
      </c>
      <c r="G22" s="2501"/>
    </row>
    <row r="23" spans="1:18" s="799" customFormat="1" ht="15" thickBot="1">
      <c r="A23" s="2445"/>
      <c r="B23" s="2499" t="s">
        <v>2276</v>
      </c>
      <c r="C23" s="2502"/>
      <c r="D23" s="1741"/>
      <c r="E23" s="2447"/>
      <c r="F23" s="2503" t="s">
        <v>2277</v>
      </c>
      <c r="G23" s="2504"/>
      <c r="H23" s="2488"/>
      <c r="I23" s="2489"/>
      <c r="J23" s="2488"/>
      <c r="K23" s="2488"/>
      <c r="L23" s="2489"/>
      <c r="M23" s="2488"/>
      <c r="N23" s="2488"/>
      <c r="O23" s="2489"/>
      <c r="P23" s="2488"/>
      <c r="Q23" s="2488"/>
      <c r="R23" s="2490"/>
    </row>
    <row r="24" spans="1:18" s="799" customFormat="1" ht="15" thickBot="1">
      <c r="A24" s="2448"/>
      <c r="B24" s="2503" t="s">
        <v>2278</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13590.15</v>
      </c>
      <c r="C1" s="2665"/>
      <c r="D1" s="2665"/>
      <c r="E1" s="2665"/>
      <c r="F1" s="2665"/>
      <c r="G1" s="2666"/>
      <c r="H1" s="2667"/>
      <c r="I1" s="2667"/>
      <c r="J1" s="2667"/>
      <c r="K1" s="2667"/>
    </row>
    <row r="2" spans="1:11" ht="16.5">
      <c r="A2" s="2509" t="s">
        <v>653</v>
      </c>
      <c r="B2" s="2509">
        <f>SUM(C14:C23)</f>
        <v>7963.76</v>
      </c>
      <c r="C2" s="2665"/>
      <c r="D2" s="2665"/>
      <c r="E2" s="2665"/>
      <c r="F2" s="2665"/>
      <c r="G2" s="2666"/>
      <c r="H2" s="2667"/>
      <c r="I2" s="2667"/>
      <c r="J2" s="2667"/>
      <c r="K2" s="2667"/>
    </row>
    <row r="3" spans="1:11" ht="16.5">
      <c r="A3" s="2509" t="s">
        <v>662</v>
      </c>
      <c r="B3" s="2511">
        <f>项目基本情况!D3</f>
        <v>45631</v>
      </c>
      <c r="C3" s="2665"/>
      <c r="D3" s="2665"/>
      <c r="E3" s="2665"/>
      <c r="F3" s="2665"/>
      <c r="G3" s="2666"/>
      <c r="H3" s="2667"/>
      <c r="I3" s="2667"/>
      <c r="J3" s="2667"/>
      <c r="K3" s="2667"/>
    </row>
    <row r="4" spans="1:11" ht="33">
      <c r="A4" s="2509" t="s">
        <v>661</v>
      </c>
      <c r="B4" s="2509" t="s">
        <v>660</v>
      </c>
      <c r="C4" s="2509" t="s">
        <v>659</v>
      </c>
      <c r="D4" s="2509" t="s">
        <v>658</v>
      </c>
      <c r="E4" s="2665"/>
      <c r="F4" s="2666"/>
      <c r="G4" s="2666"/>
      <c r="H4" s="2667"/>
      <c r="I4" s="2667"/>
      <c r="J4" s="2667"/>
      <c r="K4" s="2667"/>
    </row>
    <row r="5" spans="1:11" ht="16.5">
      <c r="A5" s="2509" t="s">
        <v>657</v>
      </c>
      <c r="B5" s="2509">
        <f ca="1">SUM(D14:D23)</f>
        <v>15969</v>
      </c>
      <c r="C5" s="2509">
        <f ca="1">IF(B5=D14,结果表!H102,ROUND(B5*10000/$B$1,0))</f>
        <v>11750</v>
      </c>
      <c r="D5" s="2509">
        <f ca="1">ROUND(B5*10000/$B$2,0)</f>
        <v>20052</v>
      </c>
      <c r="E5" s="2665"/>
      <c r="F5" s="2666"/>
      <c r="G5" s="2666"/>
      <c r="H5" s="2667"/>
      <c r="I5" s="2667"/>
      <c r="J5" s="2667"/>
      <c r="K5" s="2667"/>
    </row>
    <row r="6" spans="1:11" ht="16.5">
      <c r="A6" s="2509" t="s">
        <v>656</v>
      </c>
      <c r="B6" s="2509">
        <f ca="1">SUM(G14:G23)</f>
        <v>15969</v>
      </c>
      <c r="C6" s="2509">
        <f ca="1">IF(B6=G14,结果表!H108,ROUND(B6*10000/$B$1,0))</f>
        <v>11750</v>
      </c>
      <c r="D6" s="2509">
        <f ca="1">ROUND(B6*10000/$B$2,0)</f>
        <v>20052</v>
      </c>
      <c r="E6" s="2665"/>
      <c r="F6" s="2666"/>
      <c r="G6" s="2666"/>
      <c r="H6" s="2667"/>
      <c r="I6" s="2667"/>
      <c r="J6" s="2667"/>
      <c r="K6" s="2667"/>
    </row>
    <row r="7" spans="1:11" ht="16.5">
      <c r="A7" s="2509" t="s">
        <v>664</v>
      </c>
      <c r="B7" s="2509">
        <f>SUM(H14:H23)</f>
        <v>0</v>
      </c>
      <c r="C7" s="2509" t="str">
        <f>IF(B7=H14,结果表!H110,ROUND(B7*10000/$B$1,0))</f>
        <v>——</v>
      </c>
      <c r="D7" s="2509">
        <f>ROUND(B7*10000/$B$2,0)</f>
        <v>0</v>
      </c>
      <c r="E7" s="2665"/>
      <c r="F7" s="2666"/>
      <c r="G7" s="2666"/>
      <c r="H7" s="2667"/>
      <c r="I7" s="2667"/>
      <c r="J7" s="2667"/>
      <c r="K7" s="2667"/>
    </row>
    <row r="8" spans="1:11" ht="16.5">
      <c r="A8" s="2509" t="s">
        <v>587</v>
      </c>
      <c r="B8" s="2509">
        <f ca="1">SUM(I14:I23)</f>
        <v>14365</v>
      </c>
      <c r="C8" s="2509">
        <f ca="1">IF(B8=I14,结果表!H112,ROUND(B8*10000/$B$1,0))</f>
        <v>9968</v>
      </c>
      <c r="D8" s="2509">
        <f ca="1">ROUND(B8*10000/$B$2,0)</f>
        <v>18038</v>
      </c>
      <c r="E8" s="2665"/>
      <c r="F8" s="2666"/>
      <c r="G8" s="2666"/>
      <c r="H8" s="2667"/>
      <c r="I8" s="2667"/>
      <c r="J8" s="2667"/>
      <c r="K8" s="2667"/>
    </row>
    <row r="9" spans="1:11" ht="16.5">
      <c r="A9" s="2509" t="s">
        <v>655</v>
      </c>
      <c r="B9" s="2517"/>
      <c r="C9" s="2665"/>
      <c r="D9" s="2665"/>
      <c r="E9" s="2665"/>
      <c r="F9" s="2666"/>
      <c r="G9" s="2666"/>
      <c r="H9" s="2667"/>
      <c r="I9" s="2667"/>
      <c r="J9" s="2667"/>
      <c r="K9" s="2667"/>
    </row>
    <row r="10" spans="1:11" ht="16.5">
      <c r="A10" s="2509" t="s">
        <v>654</v>
      </c>
      <c r="B10" s="2509">
        <f>IF(E10="",0,ROUND(B1*(E10*365/G10)/10000,0))</f>
        <v>0</v>
      </c>
      <c r="C10" s="2509" t="s">
        <v>3355</v>
      </c>
      <c r="D10" s="2509" t="s">
        <v>3356</v>
      </c>
      <c r="E10" s="3420"/>
      <c r="F10" s="3424" t="s">
        <v>3357</v>
      </c>
      <c r="G10" s="3421"/>
      <c r="H10" s="2667"/>
      <c r="I10" s="2667"/>
      <c r="J10" s="2667"/>
      <c r="K10" s="2667"/>
    </row>
    <row r="11" spans="1:11" ht="16.5">
      <c r="A11" s="2509" t="s">
        <v>670</v>
      </c>
      <c r="B11" s="2517"/>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2" t="s">
        <v>669</v>
      </c>
      <c r="B13" s="2513" t="s">
        <v>666</v>
      </c>
      <c r="C13" s="2513" t="s">
        <v>668</v>
      </c>
      <c r="D13" s="2513" t="s">
        <v>667</v>
      </c>
      <c r="E13" s="2509" t="s">
        <v>659</v>
      </c>
      <c r="F13" s="2509" t="s">
        <v>658</v>
      </c>
      <c r="G13" s="2513" t="s">
        <v>652</v>
      </c>
      <c r="H13" s="2513" t="s">
        <v>663</v>
      </c>
      <c r="I13" s="2513" t="s">
        <v>651</v>
      </c>
      <c r="J13" s="2666"/>
      <c r="K13" s="2667"/>
    </row>
    <row r="14" spans="1:11" ht="16.5">
      <c r="A14" s="2514" t="s">
        <v>650</v>
      </c>
      <c r="B14" s="2515">
        <f>结果表!B118</f>
        <v>13590.15</v>
      </c>
      <c r="C14" s="2515">
        <f>结果表!C118</f>
        <v>7963.76</v>
      </c>
      <c r="D14" s="2515">
        <f ca="1">结果表!H118</f>
        <v>15969</v>
      </c>
      <c r="E14" s="2515">
        <f ca="1">ROUND(D14*10000/B14,0)</f>
        <v>11750</v>
      </c>
      <c r="F14" s="2515">
        <f ca="1">ROUND(D14*10000/C14,0)</f>
        <v>20052</v>
      </c>
      <c r="G14" s="2515">
        <f ca="1">结果表!D122</f>
        <v>15969</v>
      </c>
      <c r="H14" s="2515"/>
      <c r="I14" s="2515">
        <f ca="1">结果表!Q59</f>
        <v>14365</v>
      </c>
      <c r="J14" s="2666"/>
      <c r="K14" s="2667"/>
    </row>
    <row r="15" spans="1:11" ht="16.5">
      <c r="A15" s="2514" t="s">
        <v>649</v>
      </c>
      <c r="B15" s="2516"/>
      <c r="C15" s="2516"/>
      <c r="D15" s="2516"/>
      <c r="E15" s="2515" t="e">
        <f t="shared" ref="E15:E23" si="0">ROUND(D15*10000/B15,0)</f>
        <v>#DIV/0!</v>
      </c>
      <c r="F15" s="2515" t="e">
        <f t="shared" ref="F15:F23" si="1">ROUND(D15*10000/C15,0)</f>
        <v>#DIV/0!</v>
      </c>
      <c r="G15" s="1331"/>
      <c r="H15" s="1331"/>
      <c r="I15" s="2516"/>
      <c r="J15" s="2666"/>
      <c r="K15" s="2667"/>
    </row>
    <row r="16" spans="1:11" ht="16.5">
      <c r="A16" s="2514" t="s">
        <v>648</v>
      </c>
      <c r="B16" s="2516"/>
      <c r="C16" s="2516"/>
      <c r="D16" s="2516"/>
      <c r="E16" s="2515" t="e">
        <f t="shared" si="0"/>
        <v>#DIV/0!</v>
      </c>
      <c r="F16" s="2515" t="e">
        <f t="shared" si="1"/>
        <v>#DIV/0!</v>
      </c>
      <c r="G16" s="1331"/>
      <c r="H16" s="1331"/>
      <c r="I16" s="2516"/>
      <c r="J16" s="2667"/>
      <c r="K16" s="2667"/>
    </row>
    <row r="17" spans="1:11" ht="16.5">
      <c r="A17" s="2514" t="s">
        <v>647</v>
      </c>
      <c r="B17" s="2516"/>
      <c r="C17" s="2516"/>
      <c r="D17" s="2516"/>
      <c r="E17" s="2515" t="e">
        <f t="shared" si="0"/>
        <v>#DIV/0!</v>
      </c>
      <c r="F17" s="2515" t="e">
        <f t="shared" si="1"/>
        <v>#DIV/0!</v>
      </c>
      <c r="G17" s="1331"/>
      <c r="H17" s="1331"/>
      <c r="I17" s="2516"/>
      <c r="J17" s="2667"/>
      <c r="K17" s="2667"/>
    </row>
    <row r="18" spans="1:11" ht="16.5">
      <c r="A18" s="2514" t="s">
        <v>646</v>
      </c>
      <c r="B18" s="2516"/>
      <c r="C18" s="2516"/>
      <c r="D18" s="2516"/>
      <c r="E18" s="2515" t="e">
        <f t="shared" si="0"/>
        <v>#DIV/0!</v>
      </c>
      <c r="F18" s="2515" t="e">
        <f t="shared" si="1"/>
        <v>#DIV/0!</v>
      </c>
      <c r="G18" s="2516"/>
      <c r="H18" s="2516"/>
      <c r="I18" s="2516"/>
      <c r="J18" s="2667"/>
      <c r="K18" s="2667"/>
    </row>
    <row r="19" spans="1:11" ht="16.5">
      <c r="A19" s="2514" t="s">
        <v>645</v>
      </c>
      <c r="B19" s="2516"/>
      <c r="C19" s="2516"/>
      <c r="D19" s="2516"/>
      <c r="E19" s="2515" t="e">
        <f t="shared" si="0"/>
        <v>#DIV/0!</v>
      </c>
      <c r="F19" s="2515" t="e">
        <f t="shared" si="1"/>
        <v>#DIV/0!</v>
      </c>
      <c r="G19" s="2516"/>
      <c r="H19" s="2516"/>
      <c r="I19" s="2516"/>
      <c r="J19" s="2667"/>
      <c r="K19" s="2667"/>
    </row>
    <row r="20" spans="1:11" ht="16.5">
      <c r="A20" s="2514" t="s">
        <v>644</v>
      </c>
      <c r="B20" s="2516"/>
      <c r="C20" s="2516"/>
      <c r="D20" s="2516"/>
      <c r="E20" s="2515" t="e">
        <f t="shared" si="0"/>
        <v>#DIV/0!</v>
      </c>
      <c r="F20" s="2515" t="e">
        <f t="shared" si="1"/>
        <v>#DIV/0!</v>
      </c>
      <c r="G20" s="2516"/>
      <c r="H20" s="2516"/>
      <c r="I20" s="2516"/>
      <c r="J20" s="2667"/>
      <c r="K20" s="2667"/>
    </row>
    <row r="21" spans="1:11" ht="16.5">
      <c r="A21" s="2514" t="s">
        <v>643</v>
      </c>
      <c r="B21" s="2516"/>
      <c r="C21" s="2516"/>
      <c r="D21" s="2516"/>
      <c r="E21" s="2515" t="e">
        <f t="shared" si="0"/>
        <v>#DIV/0!</v>
      </c>
      <c r="F21" s="2515" t="e">
        <f t="shared" si="1"/>
        <v>#DIV/0!</v>
      </c>
      <c r="G21" s="2516"/>
      <c r="H21" s="2516"/>
      <c r="I21" s="2516"/>
      <c r="J21" s="2667"/>
      <c r="K21" s="2667"/>
    </row>
    <row r="22" spans="1:11" ht="16.5">
      <c r="A22" s="2514" t="s">
        <v>642</v>
      </c>
      <c r="B22" s="2516"/>
      <c r="C22" s="2516"/>
      <c r="D22" s="2516"/>
      <c r="E22" s="2515" t="e">
        <f t="shared" si="0"/>
        <v>#DIV/0!</v>
      </c>
      <c r="F22" s="2515" t="e">
        <f t="shared" si="1"/>
        <v>#DIV/0!</v>
      </c>
      <c r="G22" s="2516"/>
      <c r="H22" s="2516"/>
      <c r="I22" s="2516"/>
      <c r="J22" s="2667"/>
      <c r="K22" s="2667"/>
    </row>
    <row r="23" spans="1:11" ht="16.5">
      <c r="A23" s="2514" t="s">
        <v>641</v>
      </c>
      <c r="B23" s="2516"/>
      <c r="C23" s="2516"/>
      <c r="D23" s="2516"/>
      <c r="E23" s="2517" t="e">
        <f t="shared" si="0"/>
        <v>#DIV/0!</v>
      </c>
      <c r="F23" s="2517" t="e">
        <f t="shared" si="1"/>
        <v>#DIV/0!</v>
      </c>
      <c r="G23" s="2516"/>
      <c r="H23" s="2516"/>
      <c r="I23" s="2516"/>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2" zoomScaleNormal="100" zoomScaleSheetLayoutView="100" zoomScalePageLayoutView="80" workbookViewId="0">
      <selection activeCell="I94" sqref="I9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3442</v>
      </c>
      <c r="H1" s="1750" t="str">
        <f>IF(G1="现房","——","估价对象范围")</f>
        <v>——</v>
      </c>
      <c r="I1" s="1751" t="s">
        <v>3443</v>
      </c>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3405</v>
      </c>
      <c r="D4" s="1756" t="s">
        <v>3395</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4</v>
      </c>
      <c r="D14" s="3585">
        <f>10-C14</f>
        <v>6</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2" t="s">
        <v>2130</v>
      </c>
      <c r="F18" s="3573"/>
      <c r="G18" s="3573"/>
      <c r="H18" s="3573"/>
      <c r="I18" s="3573"/>
      <c r="K18" s="302" t="s">
        <v>1289</v>
      </c>
      <c r="L18" s="302">
        <f>IF(C1="",'数据-汇总表'!E3,SUMIF(项目类型,C1,'数据-汇总表'!E17:E26)+SUMIF(项目类型,C1,'数据-汇总表'!I17:I26))</f>
        <v>13590.15</v>
      </c>
      <c r="M18" s="302">
        <f>IF(C1="",'数据-汇总表'!E3,SUMIF(项目类型,C1,'数据-汇总表'!E17:E26))</f>
        <v>13590.15</v>
      </c>
    </row>
    <row r="19" spans="1:36" ht="15">
      <c r="A19" s="1761" t="s">
        <v>1290</v>
      </c>
      <c r="B19" s="1762" t="s">
        <v>1291</v>
      </c>
      <c r="C19" s="134">
        <f ca="1">SUMIF(INDIRECT("'"&amp;C4&amp;"'"&amp;"!A:A"),结果表!B19,INDIRECT("'"&amp;C4&amp;"'"&amp;"!B:B"))</f>
        <v>10728</v>
      </c>
      <c r="D19" s="135">
        <f ca="1">SUMIF(INDIRECT("'"&amp;D4&amp;"'"&amp;"!A:A"),结果表!B19,INDIRECT("'"&amp;D4&amp;"'"&amp;"!B:B"))</f>
        <v>19463</v>
      </c>
      <c r="E19" s="1761" t="s">
        <v>1292</v>
      </c>
      <c r="F19" s="1762" t="s">
        <v>1291</v>
      </c>
      <c r="G19" s="136">
        <f ca="1">ROUND(C19*$C$18+D19*$D$18,0)</f>
        <v>15969</v>
      </c>
      <c r="H19" s="1763" t="s">
        <v>1293</v>
      </c>
      <c r="I19" s="129"/>
      <c r="J19" s="725">
        <f ca="1">N59</f>
        <v>13547</v>
      </c>
      <c r="K19" s="302" t="s">
        <v>1294</v>
      </c>
      <c r="L19" s="302">
        <f>IF(C1="",'数据-汇总表'!D3,SUMIF(项目类型,C1,'数据-汇总表'!D17:D26)+SUMIF(项目类型,C1,'数据-汇总表'!H17:H27))</f>
        <v>7963.76</v>
      </c>
      <c r="M19" s="302">
        <f>IF(C1="",'数据-汇总表'!D3,SUMIF(项目类型,C1,'数据-汇总表'!D17:D26))</f>
        <v>7963.76</v>
      </c>
    </row>
    <row r="20" spans="1:36" ht="15">
      <c r="A20" s="1764"/>
      <c r="B20" s="1026" t="s">
        <v>1295</v>
      </c>
      <c r="C20" s="137">
        <f ca="1">SUMIF(INDIRECT("'"&amp;C4&amp;"'"&amp;"!A:A"),结果表!B20,INDIRECT("'"&amp;C4&amp;"'"&amp;"!B:B"))</f>
        <v>7894</v>
      </c>
      <c r="D20" s="138">
        <f ca="1">SUMIF(INDIRECT("'"&amp;D4&amp;"'"&amp;"!A:A"),结果表!B20,INDIRECT("'"&amp;D4&amp;"'"&amp;"!B:B"))</f>
        <v>14321</v>
      </c>
      <c r="E20" s="1764"/>
      <c r="F20" s="1026" t="s">
        <v>1295</v>
      </c>
      <c r="G20" s="139">
        <f ca="1">ROUND(C20*$C$18+D20*$D$18,0)</f>
        <v>11750</v>
      </c>
      <c r="H20" s="808" t="s">
        <v>1296</v>
      </c>
      <c r="I20" s="129"/>
    </row>
    <row r="21" spans="1:36" ht="15" customHeight="1" thickBot="1">
      <c r="A21" s="828"/>
      <c r="B21" s="1765" t="s">
        <v>1297</v>
      </c>
      <c r="C21" s="719">
        <f ca="1">ROUND(C19*10000/L19,0)</f>
        <v>13471</v>
      </c>
      <c r="D21" s="720">
        <f ca="1">ROUND(D19*10000/L19,0)</f>
        <v>24439</v>
      </c>
      <c r="E21" s="828"/>
      <c r="F21" s="1765" t="s">
        <v>1297</v>
      </c>
      <c r="G21" s="140">
        <f ca="1">ROUND(G19*10000/L19,0)</f>
        <v>20052</v>
      </c>
      <c r="H21" s="1766" t="s">
        <v>1296</v>
      </c>
      <c r="I21" s="129"/>
      <c r="J21" s="3431"/>
    </row>
    <row r="22" spans="1:36" ht="15" thickBot="1">
      <c r="A22" s="1688" t="s">
        <v>1298</v>
      </c>
      <c r="B22" s="1767"/>
      <c r="C22" s="1768"/>
      <c r="D22" s="721">
        <f ca="1">IF(C19&lt;D19,D19/C19-1,C19/D19-1)</f>
        <v>0.81422445935868759</v>
      </c>
      <c r="E22" s="129"/>
      <c r="F22" s="129"/>
      <c r="G22" s="129"/>
      <c r="H22" s="129"/>
      <c r="I22" s="129"/>
      <c r="J22" s="3431" t="s">
        <v>3451</v>
      </c>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6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15969</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6643</v>
      </c>
      <c r="D34" s="861">
        <f ca="1">IF(C33="自定义",ROUND(C34/C32,3),IF(C33="收益比率",SUMIF(INDIRECT("'"&amp;D33&amp;"'"&amp;"!b:b"),"土地收益比率",INDIRECT("'"&amp;D33&amp;"'"&amp;"!c:c")),SUMIF(INDIRECT("'"&amp;D33&amp;"'"&amp;"!b:b"),"土地成本比率",INDIRECT("'"&amp;D33&amp;"'"&amp;"!c:c"))))</f>
        <v>0.41600000000000004</v>
      </c>
      <c r="E34" s="1783" t="s">
        <v>1309</v>
      </c>
      <c r="F34" s="1330"/>
      <c r="G34" s="129"/>
      <c r="H34" s="129"/>
      <c r="I34" s="129"/>
    </row>
    <row r="35" spans="1:15" ht="15.75" thickBot="1">
      <c r="A35" s="1784"/>
      <c r="B35" s="1785" t="s">
        <v>1310</v>
      </c>
      <c r="C35" s="1170">
        <f ca="1">IF(C33="自定义",F35,ROUND(C32*D35,0))</f>
        <v>9326</v>
      </c>
      <c r="D35" s="1171">
        <f ca="1">IF(C33="自定义",ROUND(C35/C32,3),IF(C33="收益比率",SUMIF(INDIRECT("'"&amp;D33&amp;"'"&amp;"!b:b"),"建筑物收益比率",INDIRECT("'"&amp;D33&amp;"'"&amp;"!c:c")),SUMIF(INDIRECT("'"&amp;D33&amp;"'"&amp;"!b:b"),"建筑物成本比率",INDIRECT("'"&amp;D33&amp;"'"&amp;"!c:c"))))</f>
        <v>0.58399999999999996</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15969</v>
      </c>
      <c r="E45" s="156" t="s">
        <v>1327</v>
      </c>
      <c r="F45" s="157">
        <v>1</v>
      </c>
      <c r="G45" s="158" t="s">
        <v>1328</v>
      </c>
      <c r="H45" s="129"/>
      <c r="I45" s="129"/>
      <c r="J45" s="3634" t="s">
        <v>1329</v>
      </c>
      <c r="K45" s="3634"/>
      <c r="L45" s="3634"/>
      <c r="M45" s="3634"/>
      <c r="N45" s="3634"/>
      <c r="O45" s="3634"/>
    </row>
    <row r="46" spans="1:15" ht="14.25" customHeight="1">
      <c r="A46" s="3550" t="s">
        <v>1330</v>
      </c>
      <c r="B46" s="3551"/>
      <c r="C46" s="3551"/>
      <c r="D46" s="3551"/>
      <c r="E46" s="3551"/>
      <c r="F46" s="3551"/>
      <c r="G46" s="3552"/>
      <c r="H46" s="1806"/>
      <c r="I46" s="159"/>
      <c r="J46" s="2520">
        <v>1</v>
      </c>
      <c r="K46" s="3612" t="s">
        <v>1331</v>
      </c>
      <c r="L46" s="3612"/>
      <c r="M46" s="3635"/>
      <c r="N46" s="3635"/>
      <c r="O46" s="3635"/>
    </row>
    <row r="47" spans="1:15" ht="12" customHeight="1">
      <c r="A47" s="160" t="s">
        <v>1332</v>
      </c>
      <c r="B47" s="161"/>
      <c r="C47" s="162"/>
      <c r="D47" s="1087" t="s">
        <v>1333</v>
      </c>
      <c r="E47" s="302" t="s">
        <v>1334</v>
      </c>
      <c r="F47" s="163" t="s">
        <v>1335</v>
      </c>
      <c r="G47" s="2526" t="s">
        <v>1336</v>
      </c>
      <c r="H47" s="2527"/>
      <c r="I47" s="159"/>
      <c r="J47" s="2520">
        <v>2</v>
      </c>
      <c r="K47" s="3612" t="s">
        <v>1337</v>
      </c>
      <c r="L47" s="3612"/>
      <c r="M47" s="3636">
        <f>'数据-取费表'!B2</f>
        <v>45631</v>
      </c>
      <c r="N47" s="3636"/>
      <c r="O47" s="3636"/>
    </row>
    <row r="48" spans="1:15" ht="25.5">
      <c r="A48" s="3581" t="s">
        <v>1338</v>
      </c>
      <c r="B48" s="3564"/>
      <c r="C48" s="3564"/>
      <c r="D48" s="2323">
        <f ca="1">IF(H48="情况1",0,IF(H48="情况2",D52,IF(H48="情况3",D53,IF(H48="情况4",D54))))</f>
        <v>836</v>
      </c>
      <c r="E48" s="2333" t="str">
        <f>IF(H48="情况4","(销售额-原购置价)×税（费）率","销售额×税（费）率")</f>
        <v>销售额×税（费）率</v>
      </c>
      <c r="F48" s="2528">
        <f>IF(H48="情况1","免征",'数据-取费表'!B41)</f>
        <v>5.5000000000000007E-2</v>
      </c>
      <c r="G48" s="2529" t="s">
        <v>1339</v>
      </c>
      <c r="H48" s="2530" t="s">
        <v>3408</v>
      </c>
      <c r="I48" s="1806"/>
      <c r="J48" s="2520">
        <v>3</v>
      </c>
      <c r="K48" s="3612" t="s">
        <v>1340</v>
      </c>
      <c r="L48" s="3612"/>
      <c r="M48" s="3637">
        <f ca="1">H101</f>
        <v>15969</v>
      </c>
      <c r="N48" s="3637"/>
      <c r="O48" s="3637"/>
    </row>
    <row r="49" spans="1:35" ht="25.5" customHeight="1">
      <c r="A49" s="2332" t="s">
        <v>1341</v>
      </c>
      <c r="B49" s="3548" t="s">
        <v>1342</v>
      </c>
      <c r="C49" s="3548"/>
      <c r="D49" s="1590">
        <v>0</v>
      </c>
      <c r="E49" s="324" t="s">
        <v>1343</v>
      </c>
      <c r="F49" s="2423" t="s">
        <v>28</v>
      </c>
      <c r="G49" s="3618"/>
      <c r="H49" s="2309" t="s">
        <v>2133</v>
      </c>
      <c r="I49" s="2310"/>
      <c r="J49" s="2520">
        <v>4</v>
      </c>
      <c r="K49" s="3612" t="str">
        <f>IF(项目基本情况!E8="房地产抵押价值","房地产抵押价值","抵押担保权已注销时的房地产抵押价值")</f>
        <v>房地产抵押价值</v>
      </c>
      <c r="L49" s="3612"/>
      <c r="M49" s="3637">
        <f ca="1">IF(项目基本情况!E8="房地产抵押价值",H107,H109)</f>
        <v>15969</v>
      </c>
      <c r="N49" s="3637"/>
      <c r="O49" s="3637"/>
    </row>
    <row r="50" spans="1:35" ht="25.5" customHeight="1">
      <c r="A50" s="2531"/>
      <c r="B50" s="3548" t="s">
        <v>1344</v>
      </c>
      <c r="C50" s="3548"/>
      <c r="D50" s="2532"/>
      <c r="E50" s="332"/>
      <c r="F50" s="2423"/>
      <c r="G50" s="3619"/>
      <c r="H50" s="2311" t="s">
        <v>2134</v>
      </c>
      <c r="I50" s="2310"/>
      <c r="J50" s="3634" t="s">
        <v>1345</v>
      </c>
      <c r="K50" s="3634"/>
      <c r="L50" s="3634"/>
      <c r="M50" s="3634"/>
      <c r="N50" s="3634"/>
      <c r="O50" s="3634"/>
    </row>
    <row r="51" spans="1:35" ht="20.45" customHeight="1">
      <c r="A51" s="2533"/>
      <c r="B51" s="3548" t="s">
        <v>1346</v>
      </c>
      <c r="C51" s="3548"/>
      <c r="D51" s="1087"/>
      <c r="E51" s="327"/>
      <c r="F51" s="2423"/>
      <c r="G51" s="3620"/>
      <c r="H51" s="2311" t="s">
        <v>2135</v>
      </c>
      <c r="I51" s="2310"/>
      <c r="J51" s="2521" t="s">
        <v>1347</v>
      </c>
      <c r="K51" s="3612" t="s">
        <v>1348</v>
      </c>
      <c r="L51" s="3612"/>
      <c r="M51" s="2521" t="s">
        <v>1349</v>
      </c>
      <c r="N51" s="2521" t="s">
        <v>1350</v>
      </c>
      <c r="O51" s="2521" t="s">
        <v>1351</v>
      </c>
    </row>
    <row r="52" spans="1:35" ht="24" customHeight="1">
      <c r="A52" s="2334" t="s">
        <v>1352</v>
      </c>
      <c r="B52" s="3548" t="s">
        <v>1353</v>
      </c>
      <c r="C52" s="3548"/>
      <c r="D52" s="1087">
        <f ca="1">ROUND(D45*'数据-取费表'!B41/(1+'数据-取费表'!C42),0)</f>
        <v>836</v>
      </c>
      <c r="E52" s="2333" t="s">
        <v>1354</v>
      </c>
      <c r="F52" s="2534">
        <f>'数据-取费表'!B41</f>
        <v>5.5000000000000007E-2</v>
      </c>
      <c r="G52" s="2535"/>
      <c r="H52" s="2524"/>
      <c r="I52" s="1807"/>
      <c r="J52" s="2520">
        <v>1</v>
      </c>
      <c r="K52" s="3613" t="s">
        <v>1355</v>
      </c>
      <c r="L52" s="3613"/>
      <c r="M52" s="170">
        <f ca="1">D48</f>
        <v>836</v>
      </c>
      <c r="N52" s="170" t="str">
        <f>E48</f>
        <v>销售额×税（费）率</v>
      </c>
      <c r="O52" s="3445">
        <f>F48</f>
        <v>5.5000000000000007E-2</v>
      </c>
    </row>
    <row r="53" spans="1:35" ht="12" customHeight="1">
      <c r="A53" s="2334" t="s">
        <v>1356</v>
      </c>
      <c r="B53" s="3574" t="s">
        <v>2288</v>
      </c>
      <c r="C53" s="3575"/>
      <c r="D53" s="1087">
        <f ca="1">ROUND(D45*'数据-取费表'!B41/(1+'数据-取费表'!C42),0)</f>
        <v>836</v>
      </c>
      <c r="E53" s="2333" t="s">
        <v>1354</v>
      </c>
      <c r="F53" s="2534">
        <f>'数据-取费表'!B41</f>
        <v>5.5000000000000007E-2</v>
      </c>
      <c r="G53" s="2535"/>
      <c r="H53" s="2524"/>
      <c r="I53" s="1807"/>
      <c r="J53" s="2520">
        <v>2</v>
      </c>
      <c r="K53" s="3613" t="s">
        <v>1357</v>
      </c>
      <c r="L53" s="3613"/>
      <c r="M53" s="170">
        <f t="shared" ref="M53:O54" ca="1" si="0">D55</f>
        <v>8</v>
      </c>
      <c r="N53" s="170" t="str">
        <f t="shared" si="0"/>
        <v>销售额×税（费）率</v>
      </c>
      <c r="O53" s="3445">
        <f t="shared" si="0"/>
        <v>5.0000000000000001E-4</v>
      </c>
    </row>
    <row r="54" spans="1:35" ht="12" customHeight="1">
      <c r="A54" s="2334" t="s">
        <v>1358</v>
      </c>
      <c r="B54" s="3574" t="s">
        <v>2289</v>
      </c>
      <c r="C54" s="3575"/>
      <c r="D54" s="1087">
        <f ca="1">C68</f>
        <v>836</v>
      </c>
      <c r="E54" s="327" t="s">
        <v>1359</v>
      </c>
      <c r="F54" s="2534">
        <f>'数据-取费表'!B41</f>
        <v>5.5000000000000007E-2</v>
      </c>
      <c r="G54" s="2535"/>
      <c r="H54" s="2536"/>
      <c r="I54" s="1807"/>
      <c r="J54" s="2520">
        <v>3</v>
      </c>
      <c r="K54" s="3613" t="s">
        <v>1360</v>
      </c>
      <c r="L54" s="3613"/>
      <c r="M54" s="170">
        <f t="shared" ca="1" si="0"/>
        <v>1578</v>
      </c>
      <c r="N54" s="170" t="str">
        <f t="shared" si="0"/>
        <v>增值额×税（费）率</v>
      </c>
      <c r="O54" s="3446" t="str">
        <f t="shared" si="0"/>
        <v>——</v>
      </c>
      <c r="Q54" s="725">
        <f ca="1">ROUND(M49/1.05*0.05,0)</f>
        <v>760</v>
      </c>
    </row>
    <row r="55" spans="1:35" ht="24" customHeight="1">
      <c r="A55" s="3563" t="s">
        <v>1361</v>
      </c>
      <c r="B55" s="3564"/>
      <c r="C55" s="3564"/>
      <c r="D55" s="2323">
        <f ca="1">IF(H55="个人住宅",0,ROUND(D45*I55,0))</f>
        <v>8</v>
      </c>
      <c r="E55" s="2333" t="s">
        <v>1362</v>
      </c>
      <c r="F55" s="2534">
        <f>IF(H55="正常",I55,"免征")</f>
        <v>5.0000000000000001E-4</v>
      </c>
      <c r="G55" s="2535"/>
      <c r="H55" s="2530" t="s">
        <v>3409</v>
      </c>
      <c r="I55" s="165">
        <f>'数据-取费表'!B49</f>
        <v>5.0000000000000001E-4</v>
      </c>
      <c r="J55" s="2520" t="str">
        <f>IF(H59="非个人房产","",4)</f>
        <v/>
      </c>
      <c r="K55" s="3613" t="str">
        <f>IF(H59="非个人房产","——","个人所得税")</f>
        <v>——</v>
      </c>
      <c r="L55" s="3613"/>
      <c r="M55" s="2029" t="str">
        <f>D59</f>
        <v>——</v>
      </c>
      <c r="N55" s="2029" t="str">
        <f>E59</f>
        <v>——</v>
      </c>
      <c r="O55" s="3447" t="str">
        <f>F59</f>
        <v>——</v>
      </c>
    </row>
    <row r="56" spans="1:35" ht="24.75">
      <c r="A56" s="3563" t="s">
        <v>1363</v>
      </c>
      <c r="B56" s="3564"/>
      <c r="C56" s="3564"/>
      <c r="D56" s="2323">
        <f ca="1">IF(H56="个人住宅",D57,D58)</f>
        <v>1578</v>
      </c>
      <c r="E56" s="2333" t="s">
        <v>1364</v>
      </c>
      <c r="F56" s="2534" t="str">
        <f>IF(H56="正常",F58,"免征")</f>
        <v>——</v>
      </c>
      <c r="G56" s="2537" t="s">
        <v>1365</v>
      </c>
      <c r="H56" s="2538" t="s">
        <v>3409</v>
      </c>
      <c r="I56" s="1808"/>
      <c r="J56" s="2520" t="str">
        <f>IF(项目基本情况!K6="上海银行",IF(J55="",4,J55+1),"")</f>
        <v/>
      </c>
      <c r="K56" s="3639" t="str">
        <f>IF(项目基本情况!K6="上海银行","其他处置费用","")</f>
        <v/>
      </c>
      <c r="L56" s="3640"/>
      <c r="M56" s="170" t="str">
        <f>IF(项目基本情况!K6="上海银行",M69,"")</f>
        <v/>
      </c>
      <c r="N56" s="3642" t="str">
        <f>IF(项目基本情况!K6="上海银行","包含处置中涉及的律师、诉讼、拍卖、评估等费用","")</f>
        <v/>
      </c>
      <c r="O56" s="3643"/>
    </row>
    <row r="57" spans="1:35" ht="12.75">
      <c r="A57" s="2334" t="s">
        <v>1341</v>
      </c>
      <c r="B57" s="3574" t="s">
        <v>1366</v>
      </c>
      <c r="C57" s="3575"/>
      <c r="D57" s="1590">
        <v>0</v>
      </c>
      <c r="E57" s="324" t="s">
        <v>1343</v>
      </c>
      <c r="F57" s="302"/>
      <c r="G57" s="2535"/>
      <c r="H57" s="2539"/>
      <c r="I57" s="1808"/>
      <c r="J57" s="3613">
        <f>IF(AND(J55="",J56=""),4,IF(项目基本情况!K6="上海银行",结果表!J56+1,结果表!J55+1))</f>
        <v>4</v>
      </c>
      <c r="K57" s="3613" t="s">
        <v>1367</v>
      </c>
      <c r="L57" s="2522" t="s">
        <v>1368</v>
      </c>
      <c r="M57" s="3448"/>
      <c r="N57" s="3449">
        <f ca="1">SUMIF(M52:M56,"&lt;9e307")</f>
        <v>2422</v>
      </c>
      <c r="O57" s="3450"/>
      <c r="P57" s="2669">
        <f ca="1">N57/M49</f>
        <v>0.15166885841317554</v>
      </c>
      <c r="Q57" s="725">
        <f ca="1">M52+M53+Q54</f>
        <v>1604</v>
      </c>
    </row>
    <row r="58" spans="1:35" ht="24.75">
      <c r="A58" s="2334" t="s">
        <v>1352</v>
      </c>
      <c r="B58" s="3574" t="s">
        <v>1369</v>
      </c>
      <c r="C58" s="3548"/>
      <c r="D58" s="2323">
        <f ca="1">IF(H58="转让取得",C81,C97)</f>
        <v>1578</v>
      </c>
      <c r="E58" s="2333" t="s">
        <v>1364</v>
      </c>
      <c r="F58" s="302" t="s">
        <v>28</v>
      </c>
      <c r="G58" s="2535"/>
      <c r="H58" s="2538" t="s">
        <v>3410</v>
      </c>
      <c r="I58" s="1808"/>
      <c r="J58" s="3613"/>
      <c r="K58" s="3613"/>
      <c r="L58" s="2522" t="s">
        <v>1370</v>
      </c>
      <c r="M58" s="2561"/>
      <c r="N58" s="3451" t="str">
        <f ca="1">NUMBERSTRING(INT(N57*10000),2)&amp;"元整"</f>
        <v>贰仟肆佰贰拾贰万元整</v>
      </c>
      <c r="O58" s="2096"/>
    </row>
    <row r="59" spans="1:35" ht="24.75" thickBot="1">
      <c r="A59" s="3616" t="s">
        <v>1371</v>
      </c>
      <c r="B59" s="3617"/>
      <c r="C59" s="3617"/>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1365</v>
      </c>
      <c r="H59" s="2313" t="s">
        <v>3411</v>
      </c>
      <c r="I59" s="2312" t="s">
        <v>2136</v>
      </c>
      <c r="J59" s="3614">
        <f>J57+1</f>
        <v>5</v>
      </c>
      <c r="K59" s="3613" t="s">
        <v>1372</v>
      </c>
      <c r="L59" s="2520" t="s">
        <v>1368</v>
      </c>
      <c r="M59" s="3452"/>
      <c r="N59" s="3453">
        <f ca="1">M49-N57</f>
        <v>13547</v>
      </c>
      <c r="O59" s="3454"/>
      <c r="Q59" s="725">
        <f ca="1">M49-Q57</f>
        <v>14365</v>
      </c>
    </row>
    <row r="60" spans="1:35" ht="12" customHeight="1">
      <c r="A60" s="1809"/>
      <c r="B60" s="1747"/>
      <c r="C60" s="1747"/>
      <c r="D60" s="1747"/>
      <c r="E60" s="1578"/>
      <c r="F60" s="1808"/>
      <c r="G60" s="1808"/>
      <c r="H60" s="1810"/>
      <c r="I60" s="129"/>
      <c r="J60" s="3615"/>
      <c r="K60" s="3613"/>
      <c r="L60" s="2522" t="s">
        <v>1370</v>
      </c>
      <c r="M60" s="2561"/>
      <c r="N60" s="3451" t="str">
        <f ca="1">NUMBERSTRING(INT(N59*10000),2)&amp;"元整"</f>
        <v>壹亿叁仟伍佰肆拾柒万元整</v>
      </c>
      <c r="O60" s="2096"/>
      <c r="Q60" s="3433" t="str">
        <f ca="1">NUMBERSTRING(INT(Q59*10000),2)&amp;"元整"</f>
        <v>壹亿肆仟叁佰陆拾伍万元整</v>
      </c>
    </row>
    <row r="61" spans="1:35" ht="13.5" thickBot="1">
      <c r="A61" s="3561" t="s">
        <v>1373</v>
      </c>
      <c r="B61" s="3561"/>
      <c r="C61" s="3561"/>
      <c r="D61" s="3561"/>
      <c r="E61" s="3561"/>
      <c r="F61" s="1808"/>
      <c r="G61" s="1808"/>
      <c r="H61" s="1810"/>
      <c r="I61" s="129"/>
      <c r="J61" s="2520">
        <f>J59+1</f>
        <v>6</v>
      </c>
      <c r="K61" s="3613" t="s">
        <v>1374</v>
      </c>
      <c r="L61" s="3613"/>
      <c r="M61" s="3455"/>
      <c r="N61" s="3456">
        <f ca="1">ROUND(N59*10000/'数据-汇总表'!E3,0)</f>
        <v>9968</v>
      </c>
      <c r="O61" s="3457"/>
      <c r="Q61" s="3434">
        <f ca="1">ROUND(Q59*10000/'数据-汇总表'!E3,0)</f>
        <v>10570</v>
      </c>
    </row>
    <row r="62" spans="1:35" ht="12.75" hidden="1">
      <c r="A62" s="3579" t="s">
        <v>1375</v>
      </c>
      <c r="B62" s="3580"/>
      <c r="C62" s="2020"/>
      <c r="D62" s="2020" t="s">
        <v>1376</v>
      </c>
      <c r="E62" s="166" t="s">
        <v>1377</v>
      </c>
      <c r="F62" s="1808"/>
      <c r="G62" s="1808"/>
      <c r="H62" s="1810"/>
      <c r="I62" s="129"/>
    </row>
    <row r="63" spans="1:35" ht="12.75" hidden="1">
      <c r="A63" s="173" t="s">
        <v>330</v>
      </c>
      <c r="B63" s="167" t="s">
        <v>1378</v>
      </c>
      <c r="C63" s="2544">
        <f ca="1">ROUND((C64+C65)/(1+'数据-取费表'!C42),0)</f>
        <v>15209</v>
      </c>
      <c r="D63" s="167"/>
      <c r="E63" s="168"/>
      <c r="F63" s="1808"/>
      <c r="G63" s="1808"/>
      <c r="H63" s="1810"/>
      <c r="I63" s="129"/>
      <c r="J63" s="3641" t="s">
        <v>1379</v>
      </c>
      <c r="K63" s="1332" t="s">
        <v>1380</v>
      </c>
      <c r="L63" s="1332">
        <f ca="1">IF(M49&gt;10000,M49*0.5%,IF(AND(M49&gt;1000,M49&lt;=10000),M49*1%,IF(AND(M49&gt;100,M49&lt;=1000),M49*3%,IF(AND(M49&gt;10,M49&lt;=100),M49*5%,M49*8%))))</f>
        <v>79.844999999999999</v>
      </c>
      <c r="M63" s="302">
        <f ca="1">ROUND(L63,1)</f>
        <v>79.8</v>
      </c>
      <c r="N63" s="2523"/>
      <c r="Z63" s="1752"/>
      <c r="AI63" s="1753"/>
    </row>
    <row r="64" spans="1:35" ht="14.25" hidden="1" customHeight="1">
      <c r="A64" s="169" t="s">
        <v>325</v>
      </c>
      <c r="B64" s="170" t="s">
        <v>1381</v>
      </c>
      <c r="C64" s="2545">
        <f ca="1">D45</f>
        <v>15969</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79.844999999999999</v>
      </c>
      <c r="M64" s="302">
        <f t="shared" ref="M64:M65" ca="1" si="1">ROUND(L64,1)</f>
        <v>79.8</v>
      </c>
      <c r="N64" s="2524" t="s">
        <v>1383</v>
      </c>
      <c r="Z64" s="1752"/>
      <c r="AI64" s="1753"/>
    </row>
    <row r="65" spans="1:35" ht="14.25" hidden="1" customHeight="1">
      <c r="A65" s="169" t="s">
        <v>326</v>
      </c>
      <c r="B65" s="170" t="s">
        <v>1384</v>
      </c>
      <c r="C65" s="2546"/>
      <c r="D65" s="170"/>
      <c r="E65" s="172"/>
      <c r="F65" s="1808"/>
      <c r="G65" s="1808"/>
      <c r="H65" s="1810"/>
      <c r="I65" s="129"/>
      <c r="J65" s="3641"/>
      <c r="K65" s="1332" t="s">
        <v>1385</v>
      </c>
      <c r="L65" s="1332">
        <f ca="1">IF(M49&gt;1000,M49*0.1%,IF(AND(M49&gt;500,M49&lt;=1000),M49*0.5%,IF(AND(M49&gt;50,M49&lt;=500),M49*1%,IF(AND(M49&gt;1,M49&lt;=50),M49*1.5%))))</f>
        <v>15.969000000000001</v>
      </c>
      <c r="M65" s="302">
        <f t="shared" ca="1" si="1"/>
        <v>16</v>
      </c>
      <c r="N65" s="2524" t="s">
        <v>1383</v>
      </c>
      <c r="Z65" s="1752"/>
      <c r="AI65" s="1753"/>
    </row>
    <row r="66" spans="1:35" ht="14.25" hidden="1" customHeight="1">
      <c r="A66" s="173" t="s">
        <v>327</v>
      </c>
      <c r="B66" s="174" t="s">
        <v>1386</v>
      </c>
      <c r="C66" s="2547"/>
      <c r="D66" s="174" t="s">
        <v>26</v>
      </c>
      <c r="E66" s="1338" t="s">
        <v>671</v>
      </c>
      <c r="F66" s="1808"/>
      <c r="G66" s="1808"/>
      <c r="H66" s="1810"/>
      <c r="I66" s="129"/>
      <c r="J66" s="3641"/>
      <c r="K66" s="1332" t="s">
        <v>1387</v>
      </c>
      <c r="L66" s="1332">
        <f ca="1">M49*0.5%</f>
        <v>79.844999999999999</v>
      </c>
      <c r="M66" s="302">
        <f ca="1">IF(L66&gt;0.5,0.5,ROUND(L66,0))</f>
        <v>0.5</v>
      </c>
      <c r="N66" s="2524" t="s">
        <v>1388</v>
      </c>
      <c r="Z66" s="1752"/>
      <c r="AI66" s="1753"/>
    </row>
    <row r="67" spans="1:35" ht="14.25" hidden="1" customHeight="1">
      <c r="A67" s="173" t="s">
        <v>328</v>
      </c>
      <c r="B67" s="174" t="s">
        <v>1389</v>
      </c>
      <c r="C67" s="2548">
        <f ca="1">C63-C66</f>
        <v>15209</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8.8468999999999998</v>
      </c>
      <c r="M67" s="302">
        <f ca="1">ROUND(L67*0.9,1)</f>
        <v>8</v>
      </c>
      <c r="N67" s="2523"/>
      <c r="Z67" s="1752"/>
      <c r="AI67" s="1753"/>
    </row>
    <row r="68" spans="1:35" ht="14.25" hidden="1" customHeight="1" thickBot="1">
      <c r="A68" s="176" t="s">
        <v>329</v>
      </c>
      <c r="B68" s="177" t="s">
        <v>1391</v>
      </c>
      <c r="C68" s="2549">
        <f ca="1">IF(C67&lt;=0,0,ROUND(C67*D68,0))</f>
        <v>836</v>
      </c>
      <c r="D68" s="2550">
        <f>'数据-取费表'!B41</f>
        <v>5.5000000000000007E-2</v>
      </c>
      <c r="E68" s="178"/>
      <c r="F68" s="1808"/>
      <c r="G68" s="1808"/>
      <c r="H68" s="1810"/>
      <c r="I68" s="129"/>
      <c r="J68" s="3641"/>
      <c r="K68" s="1332" t="s">
        <v>1392</v>
      </c>
      <c r="L68" s="1332">
        <f ca="1">IF(M49&gt;10000,M49*0.5%,IF(AND(M49&gt;5000,M49&lt;=10000),M49*1%,IF(AND(M49&gt;1000,M49&lt;=5000),M49*2%,IF(AND(M49&gt;200,M49&lt;=1000),M49*3%,M49*5%))))</f>
        <v>79.844999999999999</v>
      </c>
      <c r="M68" s="302">
        <f ca="1">ROUND(L68,1)</f>
        <v>79.8</v>
      </c>
      <c r="N68" s="2523"/>
      <c r="Z68" s="1752"/>
      <c r="AI68" s="1753"/>
    </row>
    <row r="69" spans="1:35" s="1772" customFormat="1" ht="16.5" hidden="1" customHeight="1">
      <c r="A69" s="1811"/>
      <c r="B69" s="1812"/>
      <c r="C69" s="1813"/>
      <c r="D69" s="1814"/>
      <c r="E69" s="1815"/>
      <c r="F69" s="1578"/>
      <c r="G69" s="1578"/>
      <c r="H69" s="1577"/>
      <c r="I69" s="1747"/>
      <c r="J69" s="3641"/>
      <c r="K69" s="1332" t="s">
        <v>1393</v>
      </c>
      <c r="L69" s="1332"/>
      <c r="M69" s="302">
        <f ca="1">ROUND(SUM(M63:M68),0)</f>
        <v>264</v>
      </c>
      <c r="N69" s="2525">
        <f ca="1">M69/M49</f>
        <v>1.653203080969378E-2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0" t="s">
        <v>1394</v>
      </c>
      <c r="B70" s="3601"/>
      <c r="C70" s="3601"/>
      <c r="D70" s="3601"/>
      <c r="E70" s="3601"/>
      <c r="F70" s="3601"/>
      <c r="G70" s="3601"/>
      <c r="H70" s="3601"/>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9" t="s">
        <v>1375</v>
      </c>
      <c r="B71" s="3580"/>
      <c r="C71" s="2020"/>
      <c r="D71" s="2020" t="s">
        <v>1376</v>
      </c>
      <c r="E71" s="179" t="s">
        <v>1377</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48">
        <f ca="1">ROUND(D45/(1+'数据-取费表'!C42),0)</f>
        <v>15209</v>
      </c>
      <c r="D72" s="170" t="s">
        <v>26</v>
      </c>
      <c r="E72" s="2330"/>
      <c r="F72" s="2329"/>
      <c r="G72" s="2329"/>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48">
        <f ca="1">C74+C78</f>
        <v>76</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51"/>
      <c r="D75" s="170" t="s">
        <v>26</v>
      </c>
      <c r="E75" s="184" t="s">
        <v>1399</v>
      </c>
      <c r="F75" s="2552"/>
      <c r="G75" s="184" t="s">
        <v>1400</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5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55">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56">
        <f ca="1">ROUND(D45*D78/(1+'数据-取费表'!C42),0)</f>
        <v>76</v>
      </c>
      <c r="D78" s="2557">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48">
        <f ca="1">C72-C73</f>
        <v>15133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58">
        <f ca="1">IF(C79&lt;=0,0,C79/C73)</f>
        <v>199.11842105263159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59">
        <f ca="1">ROUND(IF(C79&lt;=0,0,IF(C80&gt;=200%,C79*60%-C73*35%,IF(C80&gt;=100%,C79*50%-C73*15%,IF(C80&gt;=50%,C79*40%-C73*5%,IF(C80&lt;50%,C79*30%,0))))),0)</f>
        <v>9053</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0"/>
      <c r="D84" s="2020" t="s">
        <v>1376</v>
      </c>
      <c r="E84" s="179" t="s">
        <v>1377</v>
      </c>
      <c r="F84" s="180"/>
      <c r="G84" s="180"/>
      <c r="H84" s="191"/>
      <c r="I84" s="1821"/>
      <c r="J84" s="3804" t="s">
        <v>3465</v>
      </c>
      <c r="K84" s="3804" t="s">
        <v>3460</v>
      </c>
      <c r="L84" s="3804" t="s">
        <v>3461</v>
      </c>
      <c r="M84" s="3804" t="s">
        <v>3462</v>
      </c>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48">
        <f ca="1">ROUND(D45/(1+'数据-取费表'!C42),0)</f>
        <v>15209</v>
      </c>
      <c r="D85" s="170" t="s">
        <v>26</v>
      </c>
      <c r="E85" s="2330"/>
      <c r="F85" s="2329"/>
      <c r="G85" s="2329"/>
      <c r="H85" s="192"/>
      <c r="I85" s="3805" t="s">
        <v>3464</v>
      </c>
      <c r="J85" s="3804" t="s">
        <v>3463</v>
      </c>
      <c r="K85" s="1818">
        <f>'数据-基础表'!I13+'数据-基础表'!I14+'数据-基础表'!I15</f>
        <v>12720.57</v>
      </c>
      <c r="L85" s="1818">
        <f>'数据-基础表'!I16</f>
        <v>20229.63</v>
      </c>
      <c r="M85" s="1818">
        <f>L85+K85</f>
        <v>32950.199999999997</v>
      </c>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48">
        <f ca="1">IF(H88="仅含出让金",C87+C90+C91+C92+C93+C94,C87+C91+C92+C93+C94)</f>
        <v>10012.24</v>
      </c>
      <c r="D86" s="2561"/>
      <c r="E86" s="2330"/>
      <c r="F86" s="2329"/>
      <c r="G86" s="2329"/>
      <c r="H86" s="192"/>
      <c r="I86" s="1821"/>
      <c r="J86" s="3804" t="s">
        <v>3466</v>
      </c>
      <c r="K86" s="1818">
        <f>ROUND(M86*K85/M85,2)</f>
        <v>2857.24</v>
      </c>
      <c r="L86" s="1818"/>
      <c r="M86" s="1818">
        <f>7261 +111.46448+286740.06/10000</f>
        <v>7401.1384859999998</v>
      </c>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56">
        <f>C88+C89</f>
        <v>2944.24</v>
      </c>
      <c r="D87" s="2557"/>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62">
        <f>K86</f>
        <v>2857.24</v>
      </c>
      <c r="D88" s="2557"/>
      <c r="E88" s="193" t="s">
        <v>1413</v>
      </c>
      <c r="F88" s="2326"/>
      <c r="G88" s="194" t="s">
        <v>1414</v>
      </c>
      <c r="H88" s="1824" t="s">
        <v>3412</v>
      </c>
      <c r="I88" s="1821"/>
      <c r="J88" s="2518"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56">
        <f>ROUND(C88*D89,0)</f>
        <v>87</v>
      </c>
      <c r="D89" s="2557">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62"/>
      <c r="D90" s="2557"/>
      <c r="E90" s="193" t="str">
        <f>IF(H88="-","土地取得成本中已包含该笔费用"," ")</f>
        <v xml:space="preserve"> </v>
      </c>
      <c r="F90" s="2326"/>
      <c r="G90" s="3644" t="s">
        <v>2128</v>
      </c>
      <c r="H90" s="3645"/>
      <c r="I90" s="1821"/>
      <c r="J90" s="2518"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56">
        <f ca="1">IF(H91="——",成本法!C33,I91)</f>
        <v>6089</v>
      </c>
      <c r="D91" s="2557"/>
      <c r="E91" s="3558" t="s">
        <v>1419</v>
      </c>
      <c r="F91" s="3559"/>
      <c r="G91" s="3559"/>
      <c r="H91" s="1825" t="s">
        <v>43</v>
      </c>
      <c r="I91" s="3444">
        <f>5210.718304</f>
        <v>5210.718304</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56">
        <f ca="1">ROUND((C87+C90+C91)*D92,0)</f>
        <v>903</v>
      </c>
      <c r="D92" s="2563">
        <v>0.1</v>
      </c>
      <c r="E92" s="3558" t="s">
        <v>1422</v>
      </c>
      <c r="F92" s="3559"/>
      <c r="G92" s="3559"/>
      <c r="H92" s="3568"/>
      <c r="I92" s="1821"/>
      <c r="J92" s="2519"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56">
        <f ca="1">ROUND(D45*D93/(1+'数据-取费表'!C42),0)</f>
        <v>76</v>
      </c>
      <c r="D93" s="2557">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30"/>
      <c r="D94" s="255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48">
        <f ca="1">ROUND(C85-C86,0)</f>
        <v>5197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58">
        <f ca="1">IF(C95&lt;=0,0,C95/C86)</f>
        <v>0.51906466485022329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59">
        <f ca="1">ROUND(IF(C95&lt;=0,0,IF(C96&gt;=200%,C95*60%-C86*35%,IF(C96&gt;=100%,C95*50%-C86*15%,IF(C96&gt;=50%,C95*40%-C86*5%,IF(C96&lt;50%,C95*30%,0))))),0)</f>
        <v>1578</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65" t="str">
        <f>C4</f>
        <v>成本法</v>
      </c>
      <c r="D101" s="2566" t="str">
        <f>D4</f>
        <v>收益法</v>
      </c>
      <c r="E101" s="3638" t="s">
        <v>1431</v>
      </c>
      <c r="F101" s="3592"/>
      <c r="G101" s="1826" t="s">
        <v>1432</v>
      </c>
      <c r="H101" s="2575">
        <f ca="1">H118</f>
        <v>15969</v>
      </c>
      <c r="I101" s="129"/>
    </row>
    <row r="102" spans="1:35" ht="18.75" customHeight="1">
      <c r="A102" s="3594" t="s">
        <v>1433</v>
      </c>
      <c r="B102" s="2564" t="s">
        <v>1432</v>
      </c>
      <c r="C102" s="2565">
        <f ca="1">IF(D32="楼面单价",ROUND(C19,0),C19)</f>
        <v>10728</v>
      </c>
      <c r="D102" s="2566">
        <f ca="1">IF(D32="楼面单价",ROUND(D19,0),D19)</f>
        <v>19463</v>
      </c>
      <c r="E102" s="3638"/>
      <c r="F102" s="3592"/>
      <c r="G102" s="1826" t="s">
        <v>1434</v>
      </c>
      <c r="H102" s="2535">
        <f ca="1">I118</f>
        <v>11750</v>
      </c>
      <c r="I102" s="129"/>
    </row>
    <row r="103" spans="1:35" ht="42.75" customHeight="1">
      <c r="A103" s="3594"/>
      <c r="B103" s="2564" t="s">
        <v>1434</v>
      </c>
      <c r="C103" s="2567">
        <f ca="1">C20</f>
        <v>7894</v>
      </c>
      <c r="D103" s="2568">
        <f ca="1">D20</f>
        <v>14321</v>
      </c>
      <c r="E103" s="3632" t="s">
        <v>1435</v>
      </c>
      <c r="F103" s="3633"/>
      <c r="G103" s="1827" t="s">
        <v>1436</v>
      </c>
      <c r="H103" s="2575">
        <f>IF(D36="正常操作",H104+H105+H106,H105+H106)</f>
        <v>0</v>
      </c>
      <c r="I103" s="129"/>
    </row>
    <row r="104" spans="1:35" ht="18.75" customHeight="1">
      <c r="A104" s="3594" t="s">
        <v>1437</v>
      </c>
      <c r="B104" s="2569" t="s">
        <v>1432</v>
      </c>
      <c r="C104" s="2570">
        <f ca="1">H118</f>
        <v>15969</v>
      </c>
      <c r="D104" s="2571"/>
      <c r="E104" s="1674" t="s">
        <v>1438</v>
      </c>
      <c r="F104" s="1666"/>
      <c r="G104" s="1827" t="s">
        <v>1436</v>
      </c>
      <c r="H104" s="2576">
        <f>IF(D36="同一抵押权人同一抵押物续贷",C36&amp;"（续贷，未扣减，详见特别提示）",C36)</f>
        <v>0</v>
      </c>
      <c r="I104" s="129"/>
    </row>
    <row r="105" spans="1:35" ht="18.75" customHeight="1" thickBot="1">
      <c r="A105" s="3595"/>
      <c r="B105" s="2572" t="s">
        <v>1434</v>
      </c>
      <c r="C105" s="2573">
        <f ca="1">I118</f>
        <v>11750</v>
      </c>
      <c r="D105" s="2574"/>
      <c r="E105" s="1674" t="s">
        <v>1439</v>
      </c>
      <c r="F105" s="1666"/>
      <c r="G105" s="1827" t="s">
        <v>1436</v>
      </c>
      <c r="H105" s="2577">
        <f>C37</f>
        <v>0</v>
      </c>
      <c r="I105" s="129"/>
    </row>
    <row r="106" spans="1:35" ht="18.75" customHeight="1">
      <c r="A106" s="1747" t="s">
        <v>1440</v>
      </c>
      <c r="B106" s="1747"/>
      <c r="C106" s="1747"/>
      <c r="D106" s="1747"/>
      <c r="E106" s="1828" t="s">
        <v>1441</v>
      </c>
      <c r="F106" s="1666"/>
      <c r="G106" s="1827" t="s">
        <v>1436</v>
      </c>
      <c r="H106" s="2577">
        <f>C38</f>
        <v>0</v>
      </c>
      <c r="I106" s="129"/>
    </row>
    <row r="107" spans="1:35" ht="18.75" customHeight="1">
      <c r="A107" s="129"/>
      <c r="B107" s="129"/>
      <c r="C107" s="129"/>
      <c r="D107" s="129"/>
      <c r="E107" s="3591" t="str">
        <f>IF(项目基本情况!E8="已注销","——","3.房地产抵押价值")</f>
        <v>3.房地产抵押价值</v>
      </c>
      <c r="F107" s="3592"/>
      <c r="G107" s="1826" t="s">
        <v>1432</v>
      </c>
      <c r="H107" s="2575">
        <f ca="1">IF(E107="——","——",H101-H103)</f>
        <v>15969</v>
      </c>
      <c r="I107" s="129"/>
    </row>
    <row r="108" spans="1:35" ht="18.75" customHeight="1">
      <c r="A108" s="129"/>
      <c r="B108" s="129"/>
      <c r="C108" s="129"/>
      <c r="D108" s="129"/>
      <c r="E108" s="3591"/>
      <c r="F108" s="3592"/>
      <c r="G108" s="1826" t="s">
        <v>1434</v>
      </c>
      <c r="H108" s="2535">
        <f ca="1">IF(H107=H101,H102,ROUND(H107*10000/'数据-汇总表'!E3,0))</f>
        <v>11750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1432</v>
      </c>
      <c r="H109" s="2578" t="str">
        <f>IF(E109="——","——",H101-H105-H106)</f>
        <v>——</v>
      </c>
      <c r="I109" s="129"/>
    </row>
    <row r="110" spans="1:35" ht="18.75" customHeight="1">
      <c r="A110" s="129"/>
      <c r="B110" s="129"/>
      <c r="C110" s="129"/>
      <c r="D110" s="129"/>
      <c r="E110" s="3591"/>
      <c r="F110" s="3592"/>
      <c r="G110" s="1826" t="s">
        <v>1434</v>
      </c>
      <c r="H110" s="253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4.抵押净值</v>
      </c>
      <c r="F111" s="3593"/>
      <c r="G111" s="1826" t="s">
        <v>1432</v>
      </c>
      <c r="H111" s="3436">
        <f ca="1">D126</f>
        <v>13547</v>
      </c>
      <c r="I111" s="129"/>
    </row>
    <row r="112" spans="1:35" ht="18.75" customHeight="1" thickBot="1">
      <c r="A112" s="129"/>
      <c r="B112" s="129"/>
      <c r="C112" s="129"/>
      <c r="D112" s="129"/>
      <c r="E112" s="3624"/>
      <c r="F112" s="3625"/>
      <c r="G112" s="1829" t="s">
        <v>1434</v>
      </c>
      <c r="H112" s="3437">
        <f ca="1">N61</f>
        <v>9968</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3444</v>
      </c>
      <c r="G116" s="3605"/>
      <c r="H116" s="3562" t="s">
        <v>1447</v>
      </c>
      <c r="I116" s="3562"/>
    </row>
    <row r="117" spans="1:27" ht="18.75" customHeight="1">
      <c r="A117" s="3562"/>
      <c r="B117" s="3598"/>
      <c r="C117" s="3598"/>
      <c r="D117" s="2328" t="s">
        <v>1448</v>
      </c>
      <c r="E117" s="2328" t="s">
        <v>1449</v>
      </c>
      <c r="F117" s="2328" t="s">
        <v>1448</v>
      </c>
      <c r="G117" s="2328" t="s">
        <v>1450</v>
      </c>
      <c r="H117" s="2328" t="s">
        <v>1448</v>
      </c>
      <c r="I117" s="2328" t="s">
        <v>1450</v>
      </c>
    </row>
    <row r="118" spans="1:27" ht="24.75" customHeight="1">
      <c r="A118" s="2579" t="str">
        <f>项目基本情况!S2</f>
        <v>北京市房地产</v>
      </c>
      <c r="B118" s="2328">
        <f>M18</f>
        <v>13590.15</v>
      </c>
      <c r="C118" s="2328">
        <f>M19</f>
        <v>7963.76</v>
      </c>
      <c r="D118" s="2328">
        <f ca="1">ROUND(IF(D32="总价",C34,E118*B118/10000),0)</f>
        <v>6643</v>
      </c>
      <c r="E118" s="2328">
        <f ca="1">ROUND(IF(C33="自定义",IF(D32="楼面单价",C34,D118*10000/B118),I118-G118),0)</f>
        <v>4888</v>
      </c>
      <c r="F118" s="2328">
        <f ca="1">ROUND(IF(D32="总价",C35,G118*B118/10000),0)</f>
        <v>9326</v>
      </c>
      <c r="G118" s="2328">
        <f ca="1">ROUND(IF(D32="楼面单价",C35,F118*10000/B118),0)</f>
        <v>6862</v>
      </c>
      <c r="H118" s="2328">
        <f ca="1">ROUND(IF(D32="总价",C32,I118*B118/10000),0)</f>
        <v>15969</v>
      </c>
      <c r="I118" s="2328">
        <f ca="1">ROUND(IF(D32="楼面单价",C32,H118*10000/B118),0)</f>
        <v>11750</v>
      </c>
      <c r="J118" s="725">
        <f ca="1">D118/C118*666.67</f>
        <v>556.10525806905275</v>
      </c>
    </row>
    <row r="119" spans="1:27" ht="18.75" customHeight="1">
      <c r="A119" s="3562" t="s">
        <v>1451</v>
      </c>
      <c r="B119" s="3562"/>
      <c r="C119" s="3562"/>
      <c r="D119" s="3602" t="str">
        <f ca="1">NUMBERSTRING(INT(D118*10000),2)&amp;"元整"</f>
        <v>陆仟陆佰肆拾叁万元整</v>
      </c>
      <c r="E119" s="3604"/>
      <c r="F119" s="3602" t="str">
        <f ca="1">NUMBERSTRING(INT(F118*10000),2)&amp;"元整"</f>
        <v>玖仟叁佰贰拾陆万元整</v>
      </c>
      <c r="G119" s="3604"/>
      <c r="H119" s="3602" t="str">
        <f ca="1">NUMBERSTRING(INT(H118*10000),2)&amp;"元整"</f>
        <v>壹亿伍仟玖佰陆拾玖万元整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1451</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15969</v>
      </c>
      <c r="E122" s="3627"/>
      <c r="F122" s="3627"/>
      <c r="G122" s="3627"/>
      <c r="H122" s="3627"/>
      <c r="I122" s="3628"/>
      <c r="AA122" s="725"/>
    </row>
    <row r="123" spans="1:27" ht="18.75" customHeight="1">
      <c r="A123" s="3562" t="s">
        <v>1451</v>
      </c>
      <c r="B123" s="3562"/>
      <c r="C123" s="3562"/>
      <c r="D123" s="3602" t="str">
        <f ca="1">NUMBERSTRING(INT(D122*10000),2)&amp;"元整"</f>
        <v>壹亿伍仟玖佰陆拾玖万元整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1451</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抵押净值</v>
      </c>
      <c r="B126" s="3593"/>
      <c r="C126" s="3593"/>
      <c r="D126" s="3629">
        <f ca="1">N59</f>
        <v>13547</v>
      </c>
      <c r="E126" s="3630"/>
      <c r="F126" s="3630"/>
      <c r="G126" s="3630"/>
      <c r="H126" s="3630"/>
      <c r="I126" s="3631"/>
      <c r="AA126" s="725"/>
    </row>
    <row r="127" spans="1:27" ht="18.75" customHeight="1">
      <c r="A127" s="3562" t="s">
        <v>1451</v>
      </c>
      <c r="B127" s="3562"/>
      <c r="C127" s="3562"/>
      <c r="D127" s="3602" t="str">
        <f ca="1">NUMBERSTRING(INT(D126*10000),2)&amp;"元整"</f>
        <v>壹亿叁仟伍佰肆拾柒万元整</v>
      </c>
      <c r="E127" s="3603"/>
      <c r="F127" s="3603"/>
      <c r="G127" s="3603"/>
      <c r="H127" s="3603"/>
      <c r="I127" s="3604"/>
      <c r="AA127" s="725"/>
    </row>
    <row r="128" spans="1:27" ht="21.75" customHeight="1">
      <c r="A128" s="3609" t="s">
        <v>1452</v>
      </c>
      <c r="B128" s="3609"/>
      <c r="C128" s="3609"/>
      <c r="D128" s="3609"/>
      <c r="E128" s="3609"/>
      <c r="F128" s="3609"/>
      <c r="G128" s="3609"/>
      <c r="H128" s="3609"/>
      <c r="I128" s="3609"/>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C33" sqref="C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10728</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7894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3698</v>
      </c>
      <c r="D5" s="211" t="s">
        <v>1468</v>
      </c>
      <c r="E5" s="212" t="s">
        <v>1469</v>
      </c>
      <c r="F5" s="212" t="s">
        <v>1470</v>
      </c>
      <c r="G5" s="213"/>
    </row>
    <row r="6" spans="1:9" s="214" customFormat="1" ht="13.5" customHeight="1">
      <c r="A6" s="778" t="s">
        <v>1471</v>
      </c>
      <c r="B6" s="215" t="s">
        <v>1472</v>
      </c>
      <c r="C6" s="216">
        <f>基准地价修正!B2</f>
        <v>3325</v>
      </c>
      <c r="D6" s="217"/>
      <c r="E6" s="218"/>
      <c r="F6" s="218"/>
      <c r="G6" s="219"/>
    </row>
    <row r="7" spans="1:9" s="214" customFormat="1" ht="13.5" customHeight="1">
      <c r="A7" s="778" t="s">
        <v>1473</v>
      </c>
      <c r="B7" s="215" t="s">
        <v>1474</v>
      </c>
      <c r="C7" s="220">
        <f>ROUND(C6*F7,0)</f>
        <v>101</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272</v>
      </c>
      <c r="D8" s="222"/>
      <c r="E8" s="220"/>
      <c r="F8" s="221"/>
      <c r="G8" s="1855" t="s">
        <v>3402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3403</v>
      </c>
      <c r="H9" s="1137"/>
      <c r="I9" s="1857" t="s">
        <v>1478</v>
      </c>
    </row>
    <row r="10" spans="1:9" s="214" customFormat="1" ht="13.5" customHeight="1">
      <c r="A10" s="779" t="s">
        <v>356</v>
      </c>
      <c r="B10" s="224" t="s">
        <v>1479</v>
      </c>
      <c r="C10" s="225">
        <f ca="1">ROUND(D10*E10/10000,0)</f>
        <v>272</v>
      </c>
      <c r="D10" s="845">
        <f ca="1">IF(B1="",'数据-汇总表'!E6,IF(INDIRECT("'数据-取费表'!c"&amp;$G$1)="住宅",INDIRECT("'数据-取费表'!s"&amp;$G$1),INDIRECT("'数据-取费表'!k"&amp;$G$1)+INDIRECT("'数据-取费表'!s"&amp;$G$1)))</f>
        <v>13590.15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13590.15</v>
      </c>
      <c r="E19" s="211">
        <f>'数据-取费表'!B31</f>
        <v>200</v>
      </c>
      <c r="F19" s="231"/>
      <c r="G19" s="1855" t="s">
        <v>3404</v>
      </c>
    </row>
    <row r="20" spans="1:7" s="214" customFormat="1" ht="13.5" customHeight="1">
      <c r="A20" s="255" t="s">
        <v>1492</v>
      </c>
      <c r="B20" s="210" t="s">
        <v>1493</v>
      </c>
      <c r="C20" s="232">
        <f ca="1">ROUND((C5+C19)*F20,0)</f>
        <v>74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175</v>
      </c>
      <c r="D22" s="235">
        <f ca="1">C26</f>
        <v>5.0000000000000001E-4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173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189</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189</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4466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6089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5436</v>
      </c>
      <c r="D34" s="217"/>
      <c r="E34" s="220"/>
      <c r="F34" s="257">
        <f ca="1">IF('数据-取费表'!B24=0,1,IF(B1="",'数据-取费表'!N16,INDIRECT("'数据-取费表'!n"&amp;$G$1)))</f>
        <v>1</v>
      </c>
      <c r="G34" s="219" t="s">
        <v>1525</v>
      </c>
    </row>
    <row r="35" spans="1:7" ht="13.5" customHeight="1">
      <c r="A35" s="780" t="s">
        <v>351</v>
      </c>
      <c r="B35" s="215" t="s">
        <v>1526</v>
      </c>
      <c r="C35" s="220">
        <f ca="1">ROUND(C34*F35,0)</f>
        <v>272</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272</v>
      </c>
      <c r="D37" s="217">
        <f ca="1">D19</f>
        <v>13590.15</v>
      </c>
      <c r="E37" s="249">
        <f>'数据-取费表'!B35</f>
        <v>200</v>
      </c>
      <c r="F37" s="259"/>
      <c r="G37" s="261" t="s">
        <v>1531</v>
      </c>
    </row>
    <row r="38" spans="1:7" ht="13.5" customHeight="1">
      <c r="A38" s="780" t="s">
        <v>354</v>
      </c>
      <c r="B38" s="215" t="s">
        <v>1532</v>
      </c>
      <c r="C38" s="220">
        <f ca="1">ROUND(C34*F38,0)</f>
        <v>109</v>
      </c>
      <c r="D38" s="220"/>
      <c r="E38" s="220"/>
      <c r="F38" s="259">
        <f>'数据-取费表'!B36</f>
        <v>0.02</v>
      </c>
      <c r="G38" s="219" t="s">
        <v>1527</v>
      </c>
    </row>
    <row r="39" spans="1:7" s="214" customFormat="1" ht="13.5" customHeight="1">
      <c r="A39" s="255" t="s">
        <v>1533</v>
      </c>
      <c r="B39" s="210" t="s">
        <v>1534</v>
      </c>
      <c r="C39" s="232">
        <f ca="1">ROUND(C33*F20,0)</f>
        <v>122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144</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141</v>
      </c>
      <c r="D42" s="238"/>
      <c r="E42" s="238"/>
      <c r="F42" s="239"/>
      <c r="G42" s="3646" t="s">
        <v>1543</v>
      </c>
    </row>
    <row r="43" spans="1:7" ht="13.5" customHeight="1">
      <c r="A43" s="780" t="s">
        <v>347</v>
      </c>
      <c r="B43" s="215" t="s">
        <v>1544</v>
      </c>
      <c r="C43" s="238">
        <f ca="1">ROUND(IF('数据-取费表'!B22&lt;=1,C39*F22*'数据-取费表'!B21/2,C39*(POWER((1+F22),'数据-取费表'!B21/2)-1)),0)</f>
        <v>3</v>
      </c>
      <c r="D43" s="238"/>
      <c r="E43" s="238"/>
      <c r="F43" s="239"/>
      <c r="G43" s="3647"/>
    </row>
    <row r="44" spans="1:7" ht="13.5" customHeight="1">
      <c r="A44" s="780" t="s">
        <v>348</v>
      </c>
      <c r="B44" s="215" t="s">
        <v>1545</v>
      </c>
      <c r="C44" s="238">
        <f ca="1">ROUND(IF('数据-取费表'!B22&lt;=1,C40*F22*'数据-取费表'!B21/2,C40*(POWER((1+F22),'数据-取费表'!B21/2)-1)),4)</f>
        <v>5.0000000000000001E-4</v>
      </c>
      <c r="D44" s="238"/>
      <c r="E44" s="238"/>
      <c r="F44" s="239"/>
      <c r="G44" s="3648"/>
    </row>
    <row r="45" spans="1:7" s="214" customFormat="1" ht="13.5" customHeight="1">
      <c r="A45" s="255" t="s">
        <v>1546</v>
      </c>
      <c r="B45" s="244" t="s">
        <v>1512</v>
      </c>
      <c r="C45" s="245">
        <f ca="1">C46</f>
        <v>311</v>
      </c>
      <c r="D45" s="235">
        <f ca="1">C47</f>
        <v>1E-3</v>
      </c>
      <c r="E45" s="236" t="s">
        <v>1538</v>
      </c>
      <c r="F45" s="246">
        <f ca="1">F27</f>
        <v>0.05</v>
      </c>
      <c r="G45" s="247" t="s">
        <v>1547</v>
      </c>
    </row>
    <row r="46" spans="1:7" s="214" customFormat="1" ht="13.5" customHeight="1">
      <c r="A46" s="780" t="s">
        <v>346</v>
      </c>
      <c r="B46" s="248" t="s">
        <v>1548</v>
      </c>
      <c r="C46" s="249">
        <f ca="1">ROUND((C33+C39)*F27,0)</f>
        <v>311</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7198</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f ca="1">ROUND(C49*F50,0)</f>
        <v>6262</v>
      </c>
      <c r="D51" s="232"/>
      <c r="E51" s="232"/>
      <c r="F51" s="264"/>
      <c r="G51" s="234" t="s">
        <v>1559</v>
      </c>
    </row>
    <row r="52" spans="1:7" s="208" customFormat="1" ht="16.5" thickBot="1">
      <c r="A52" s="265" t="s">
        <v>1560</v>
      </c>
      <c r="B52" s="266"/>
      <c r="C52" s="267">
        <f ca="1">C31+C51</f>
        <v>10728</v>
      </c>
      <c r="D52" s="266"/>
      <c r="E52" s="266"/>
      <c r="F52" s="266"/>
      <c r="G52" s="268"/>
    </row>
    <row r="55" spans="1:7" ht="15">
      <c r="B55" s="270" t="s">
        <v>1561</v>
      </c>
      <c r="C55" s="271"/>
    </row>
    <row r="56" spans="1:7">
      <c r="B56" s="273" t="s">
        <v>802</v>
      </c>
      <c r="C56" s="275">
        <f ca="1">1-C57</f>
        <v>0.41600000000000004</v>
      </c>
    </row>
    <row r="57" spans="1:7">
      <c r="B57" s="273" t="s">
        <v>803</v>
      </c>
      <c r="C57" s="274">
        <f ca="1">ROUND(C51/C52,3)</f>
        <v>0.58399999999999996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03">
        <f ca="1">ROUND(IF(D2="——",C52/10000,C52/10000-E2),4)</f>
        <v>6917.2208000000001</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5090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2718030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2718030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2718030</v>
      </c>
      <c r="D10" s="845">
        <f ca="1">IF(B1="",'数据-汇总表'!E6,IF(INDIRECT("'数据-取费表'!c"&amp;$G$1)="住宅",INDIRECT("'数据-取费表'!s"&amp;$G$1),INDIRECT("'数据-取费表'!k"&amp;$G$1)+INDIRECT("'数据-取费表'!s"&amp;$G$1)))</f>
        <v>13590.15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2718030</v>
      </c>
      <c r="D19" s="849">
        <f ca="1">D9+D10</f>
        <v>13590.15</v>
      </c>
      <c r="E19" s="211">
        <f>'数据-取费表'!B31</f>
        <v>200</v>
      </c>
      <c r="F19" s="231"/>
      <c r="G19" s="1855"/>
    </row>
    <row r="20" spans="1:7" s="214" customFormat="1" ht="13.5" customHeight="1">
      <c r="A20" s="255" t="s">
        <v>1573</v>
      </c>
      <c r="B20" s="210" t="s">
        <v>1574</v>
      </c>
      <c r="C20" s="232">
        <f ca="1">ROUND((C5+C19)*F20,0)</f>
        <v>108721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257244</v>
      </c>
      <c r="D22" s="235">
        <f ca="1">C26</f>
        <v>5.0000000000000001E-4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127363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127363</v>
      </c>
      <c r="D24" s="238"/>
      <c r="E24" s="238"/>
      <c r="F24" s="239"/>
      <c r="G24" s="240" t="s">
        <v>1585</v>
      </c>
    </row>
    <row r="25" spans="1:7" s="214" customFormat="1" ht="24">
      <c r="A25" s="780" t="s">
        <v>1475</v>
      </c>
      <c r="B25" s="215" t="s">
        <v>1586</v>
      </c>
      <c r="C25" s="1128">
        <f ca="1">ROUND(IF('数据-取费表'!B22&lt;=1,C20*F22*'数据-取费表'!B22/2,C20*(POWER((1+F22),'数据-取费表'!B22/2)-1)),0)</f>
        <v>2518</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277239</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ROUND((C5+C19+C20)*F27,0)</f>
        <v>277239</v>
      </c>
      <c r="D28" s="235"/>
      <c r="E28" s="236"/>
      <c r="F28" s="246"/>
      <c r="G28" s="247"/>
    </row>
    <row r="29" spans="1:7" s="214" customFormat="1" ht="13.5" customHeight="1">
      <c r="A29" s="780" t="s">
        <v>347</v>
      </c>
      <c r="B29" s="248" t="s">
        <v>1516</v>
      </c>
      <c r="C29" s="238">
        <f ca="1">ROUND(C21*F27,4)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6564371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60883872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54360600</v>
      </c>
      <c r="D34" s="217"/>
      <c r="E34" s="220"/>
      <c r="F34" s="257"/>
      <c r="G34" s="219"/>
    </row>
    <row r="35" spans="1:7" ht="13.5" customHeight="1">
      <c r="A35" s="780" t="s">
        <v>351</v>
      </c>
      <c r="B35" s="215" t="s">
        <v>1526</v>
      </c>
      <c r="C35" s="220">
        <f ca="1">ROUND(C34*F35,0)</f>
        <v>2718030</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2718030</v>
      </c>
      <c r="D37" s="217">
        <f ca="1">D19</f>
        <v>13590.15</v>
      </c>
      <c r="E37" s="249">
        <f>'数据-取费表'!B35</f>
        <v>200</v>
      </c>
      <c r="F37" s="259"/>
      <c r="G37" s="261"/>
    </row>
    <row r="38" spans="1:7" ht="13.5" customHeight="1">
      <c r="A38" s="780" t="s">
        <v>354</v>
      </c>
      <c r="B38" s="215" t="s">
        <v>1532</v>
      </c>
      <c r="C38" s="220">
        <f ca="1">ROUND(C34*F38,0)</f>
        <v>1087212</v>
      </c>
      <c r="D38" s="220"/>
      <c r="E38" s="220"/>
      <c r="F38" s="259">
        <f>'数据-取费表'!B36</f>
        <v>0.02</v>
      </c>
      <c r="G38" s="219" t="s">
        <v>1527</v>
      </c>
    </row>
    <row r="39" spans="1:7" s="214" customFormat="1" ht="13.5" customHeight="1">
      <c r="A39" s="255" t="s">
        <v>1533</v>
      </c>
      <c r="B39" s="210" t="s">
        <v>1534</v>
      </c>
      <c r="C39" s="232">
        <f ca="1">ROUND(C33*F20,0)</f>
        <v>1217677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1438337</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1410134</v>
      </c>
      <c r="D42" s="238"/>
      <c r="E42" s="238"/>
      <c r="F42" s="239"/>
      <c r="G42" s="3646" t="s">
        <v>1590</v>
      </c>
    </row>
    <row r="43" spans="1:7" ht="13.5" customHeight="1">
      <c r="A43" s="780" t="s">
        <v>347</v>
      </c>
      <c r="B43" s="215" t="s">
        <v>1544</v>
      </c>
      <c r="C43" s="238">
        <f ca="1">ROUND(IF('数据-取费表'!B22&lt;=1,C39*F22*'数据-取费表'!B20/2,C39*(POWER((1+F22),'数据-取费表'!B20/2)-1)),0)</f>
        <v>28203</v>
      </c>
      <c r="D43" s="238"/>
      <c r="E43" s="238"/>
      <c r="F43" s="239"/>
      <c r="G43" s="3647"/>
    </row>
    <row r="44" spans="1:7" ht="13.5" customHeight="1">
      <c r="A44" s="780" t="s">
        <v>348</v>
      </c>
      <c r="B44" s="215" t="s">
        <v>1545</v>
      </c>
      <c r="C44" s="238">
        <f ca="1">ROUND(IF('数据-取费表'!B22&lt;=1,C40*F22*'数据-取费表'!B20/2,C40*(POWER((1+F22),'数据-取费表'!B20/2)-1)),4)</f>
        <v>5.0000000000000001E-4</v>
      </c>
      <c r="D44" s="238"/>
      <c r="E44" s="238"/>
      <c r="F44" s="239"/>
      <c r="G44" s="3648"/>
    </row>
    <row r="45" spans="1:7" s="214" customFormat="1" ht="13.5" customHeight="1">
      <c r="A45" s="255" t="s">
        <v>1546</v>
      </c>
      <c r="B45" s="244" t="s">
        <v>1512</v>
      </c>
      <c r="C45" s="245">
        <f ca="1">C46</f>
        <v>3105077</v>
      </c>
      <c r="D45" s="235">
        <f ca="1">C47</f>
        <v>1E-3</v>
      </c>
      <c r="E45" s="236" t="s">
        <v>1538</v>
      </c>
      <c r="F45" s="246">
        <f ca="1">F27</f>
        <v>0.05</v>
      </c>
      <c r="G45" s="247" t="s">
        <v>1547</v>
      </c>
    </row>
    <row r="46" spans="1:7" s="214" customFormat="1" ht="13.5" customHeight="1">
      <c r="A46" s="780" t="s">
        <v>346</v>
      </c>
      <c r="B46" s="248" t="s">
        <v>1548</v>
      </c>
      <c r="C46" s="249">
        <f ca="1">ROUND((C33+C39)*F27,0)</f>
        <v>3105077</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71963031</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62607837</v>
      </c>
      <c r="D51" s="232"/>
      <c r="E51" s="232"/>
      <c r="F51" s="264"/>
      <c r="G51" s="234" t="s">
        <v>1559</v>
      </c>
    </row>
    <row r="52" spans="1:7" s="208" customFormat="1" ht="16.5" thickBot="1">
      <c r="A52" s="265" t="s">
        <v>1560</v>
      </c>
      <c r="B52" s="266"/>
      <c r="C52" s="267">
        <f ca="1">C31+C51</f>
        <v>69172208</v>
      </c>
      <c r="D52" s="266"/>
      <c r="E52" s="266"/>
      <c r="F52" s="266"/>
      <c r="G52" s="268"/>
    </row>
    <row r="55" spans="1:7" ht="15">
      <c r="B55" s="270" t="s">
        <v>1561</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85"/>
      <c r="F1" s="2785"/>
      <c r="G1" s="2650"/>
      <c r="H1" s="2785"/>
      <c r="I1" s="2785"/>
      <c r="J1" s="2785"/>
      <c r="K1" s="2786">
        <f>MATCH(C1,'数据-取费表'!A6:A16,0)+5</f>
        <v>7</v>
      </c>
    </row>
    <row r="2" spans="1:33" ht="18" customHeight="1">
      <c r="A2" s="201" t="s">
        <v>1461</v>
      </c>
      <c r="B2" s="204">
        <f ca="1">C32</f>
        <v>0</v>
      </c>
      <c r="C2" s="276" t="s">
        <v>1594</v>
      </c>
      <c r="D2" s="276"/>
      <c r="E2" s="2785"/>
      <c r="F2" s="2785"/>
      <c r="G2" s="2785"/>
      <c r="H2" s="2785"/>
      <c r="I2" s="2785"/>
      <c r="J2" s="2785"/>
      <c r="K2" s="2785"/>
    </row>
    <row r="3" spans="1:33" ht="18" customHeight="1" thickBot="1">
      <c r="A3" s="203" t="s">
        <v>1463</v>
      </c>
      <c r="B3" s="204">
        <f ca="1">ROUND(B2*10000/IF(C1="",'数据-汇总表'!E3,INDIRECT("'数据-取费表'!K"&amp;$K$1)),0)</f>
        <v>0</v>
      </c>
      <c r="C3" s="276" t="s">
        <v>1595</v>
      </c>
      <c r="D3" s="276"/>
      <c r="E3" s="2785"/>
      <c r="F3" s="2785"/>
      <c r="G3" s="2785"/>
      <c r="H3" s="2785"/>
      <c r="I3" s="2785"/>
      <c r="J3" s="2785"/>
      <c r="K3" s="278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13590.15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13590.15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272</v>
      </c>
      <c r="D20" s="846">
        <f ca="1">IF(C1="",'数据-汇总表'!E6,IF(INDIRECT("'数据-取费表'!c"&amp;$K$1)="住宅",INDIRECT("'数据-取费表'!s"&amp;$K$1),INDIRECT("'数据-取费表'!k"&amp;$K$1)+INDIRECT("'数据-取费表'!s"&amp;$K$1)))</f>
        <v>13590.15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3" sqref="F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12720.57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8.5" customHeight="1">
      <c r="A2" s="201" t="s">
        <v>1933</v>
      </c>
      <c r="B2" s="204">
        <f>C30</f>
        <v>3325</v>
      </c>
      <c r="C2" s="1998" t="s">
        <v>1934</v>
      </c>
      <c r="D2" s="1999" t="s">
        <v>1935</v>
      </c>
      <c r="E2" s="340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Ⅵ-永丰产业基地</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4356</v>
      </c>
      <c r="U2" s="1213"/>
      <c r="V2" s="334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2614</v>
      </c>
      <c r="C3" s="1998" t="s">
        <v>1940</v>
      </c>
      <c r="D3" s="1999" t="s">
        <v>1941</v>
      </c>
      <c r="E3" s="3399" t="s">
        <v>2478</v>
      </c>
      <c r="F3" s="2003" t="s">
        <v>3467</v>
      </c>
      <c r="G3" s="752">
        <f>IF(F3="宗地容积率",'数据-汇总表'!I4,IF(F3="估价对象容积率",'数据-汇总表'!I6,'数据-汇总表'!I7))</f>
        <v>1.6</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3433</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656"/>
      <c r="B4" s="3657"/>
      <c r="C4" s="3657"/>
      <c r="D4" s="3658"/>
      <c r="E4" s="3658"/>
      <c r="F4" s="3658"/>
      <c r="G4" s="3658"/>
      <c r="H4" s="3658"/>
      <c r="I4" s="3658"/>
      <c r="J4" s="3659"/>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2902</v>
      </c>
      <c r="U4" s="1213"/>
      <c r="V4" s="334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2838</v>
      </c>
      <c r="D5" s="1339">
        <f>ROUND(C6*C17+C20,0)</f>
        <v>2838</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2559</v>
      </c>
      <c r="U5" s="1213"/>
      <c r="V5" s="3340">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2880</v>
      </c>
      <c r="D6" s="2016"/>
      <c r="E6" s="2017"/>
      <c r="F6" s="2017"/>
      <c r="G6" s="2018"/>
      <c r="H6" s="2018"/>
      <c r="I6" s="2018"/>
      <c r="J6" s="2019"/>
      <c r="K6" s="1384"/>
      <c r="L6" s="2002" t="s">
        <v>1950</v>
      </c>
      <c r="M6" s="864">
        <f>SUMPRODUCT((区片价!B127:B189=I2)*(区片价!C3:G3=E2)*(区片价!C127:G189))</f>
        <v>2880</v>
      </c>
      <c r="N6" s="866">
        <f>SUMPRODUCT((因素修正幅度!B127:B189=I2)*(因素修正幅度!C3:G3=E2)*(因素修正幅度!C127:G189))</f>
        <v>0.05</v>
      </c>
      <c r="O6" s="1119"/>
      <c r="P6" s="1119"/>
      <c r="Q6" s="1119"/>
      <c r="R6" s="1212">
        <v>5</v>
      </c>
      <c r="S6" s="3340">
        <f>ROUND(SUMPRODUCT((B106:B110=R6)*(C105:N105=G2)*(C106:N110)),4)</f>
        <v>0.84799999999999998</v>
      </c>
      <c r="T6" s="3340">
        <f t="shared" si="0"/>
        <v>2459</v>
      </c>
      <c r="U6" s="1213"/>
      <c r="V6" s="3340">
        <f t="shared" si="1"/>
        <v>0</v>
      </c>
      <c r="W6" s="1216"/>
      <c r="X6" s="1216"/>
      <c r="Y6" s="1216"/>
      <c r="Z6" s="1216"/>
      <c r="AA6" s="1216"/>
      <c r="AB6" s="1216"/>
      <c r="AC6" s="2010"/>
      <c r="AD6" s="2011"/>
      <c r="AE6" s="2011"/>
      <c r="AF6" s="2011"/>
      <c r="AG6" s="2011"/>
      <c r="AH6" s="2011"/>
      <c r="AI6" s="2011"/>
      <c r="AJ6" s="2012"/>
    </row>
    <row r="7" spans="1:36" ht="24.75" thickBot="1">
      <c r="A7" s="3283" t="s">
        <v>3236</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1954</v>
      </c>
      <c r="X7" s="1214" t="str">
        <f>G2</f>
        <v>六级</v>
      </c>
      <c r="Y7" s="1214" t="s">
        <v>1955</v>
      </c>
      <c r="Z7" s="1215">
        <f>G3</f>
        <v>1.6</v>
      </c>
      <c r="AA7" s="1216"/>
      <c r="AB7" s="1216"/>
      <c r="AC7" s="1217"/>
      <c r="AD7" s="1218"/>
      <c r="AE7" s="1218"/>
      <c r="AF7" s="1218"/>
      <c r="AG7" s="1218"/>
      <c r="AH7" s="1218"/>
      <c r="AI7" s="1218"/>
      <c r="AJ7" s="1219"/>
    </row>
    <row r="8" spans="1:36" ht="25.5">
      <c r="A8" s="3278"/>
      <c r="B8" s="170" t="s">
        <v>1956</v>
      </c>
      <c r="C8" s="2025" t="s">
        <v>3433</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653" t="s">
        <v>1959</v>
      </c>
      <c r="X8" s="365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7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655"/>
      <c r="X9" s="3341" t="s">
        <v>3267</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655"/>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3237</v>
      </c>
      <c r="B12" s="3284" t="s">
        <v>3238</v>
      </c>
      <c r="C12" s="3285">
        <v>1</v>
      </c>
      <c r="D12" s="3286" t="s">
        <v>3239</v>
      </c>
      <c r="E12" s="3287" t="s">
        <v>3240</v>
      </c>
      <c r="F12" s="3288"/>
      <c r="G12" s="3289"/>
      <c r="H12" s="3289"/>
      <c r="I12" s="3289"/>
      <c r="J12" s="329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3241</v>
      </c>
      <c r="B13" s="2033" t="s">
        <v>1981</v>
      </c>
      <c r="C13" s="755">
        <f>ROUND(C16*D16*E16*F16*G16*H16*I16*J16,4)</f>
        <v>0</v>
      </c>
      <c r="D13" s="2034" t="s">
        <v>1982</v>
      </c>
      <c r="E13" s="2035"/>
      <c r="F13" s="2035"/>
      <c r="G13" s="2036"/>
      <c r="H13" s="2036"/>
      <c r="I13" s="2036"/>
      <c r="J13" s="2037"/>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39" t="s">
        <v>1984</v>
      </c>
      <c r="C14" s="2040" t="s">
        <v>1985</v>
      </c>
      <c r="D14" s="1350" t="s">
        <v>1986</v>
      </c>
      <c r="E14" s="27" t="s">
        <v>1987</v>
      </c>
      <c r="F14" s="3291" t="s">
        <v>3242</v>
      </c>
      <c r="G14" s="3291" t="s">
        <v>3242</v>
      </c>
      <c r="H14" s="3291" t="s">
        <v>3242</v>
      </c>
      <c r="I14" s="3291" t="s">
        <v>3242</v>
      </c>
      <c r="J14" s="3291" t="s">
        <v>3242</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1"/>
      <c r="C15" s="2042"/>
      <c r="D15" s="2043"/>
      <c r="E15" s="2044"/>
      <c r="F15" s="3292" t="s">
        <v>3243</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1988</v>
      </c>
      <c r="C16" s="3297"/>
      <c r="D16" s="3297"/>
      <c r="E16" s="3297"/>
      <c r="F16" s="3297">
        <v>1</v>
      </c>
      <c r="G16" s="3297">
        <v>1</v>
      </c>
      <c r="H16" s="3297">
        <v>1</v>
      </c>
      <c r="I16" s="3297">
        <v>1</v>
      </c>
      <c r="J16" s="3298">
        <v>1</v>
      </c>
      <c r="K16" s="1119"/>
      <c r="L16" s="1996"/>
      <c r="M16" s="1996"/>
      <c r="N16" s="1996"/>
      <c r="O16" s="1996"/>
      <c r="P16" s="1996"/>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3244</v>
      </c>
      <c r="B17" s="3300" t="s">
        <v>3245</v>
      </c>
      <c r="C17" s="3310">
        <f>ROUND(IF(OR(E2="工业",E2="公共服务"),1,IF(AND(E18=0,E19=0),1,IF(AND(E18=J24,E19=G19),0.8,IF(E19=0,1+E17*(-0.2),1+E17*G17*(-0.2))))),4)</f>
        <v>1</v>
      </c>
      <c r="D17" s="3301" t="s">
        <v>3246</v>
      </c>
      <c r="E17" s="3310">
        <f>ROUND(G18/I18,2)</f>
        <v>0</v>
      </c>
      <c r="F17" s="3301" t="s">
        <v>3249</v>
      </c>
      <c r="G17" s="3310" t="e">
        <f>ROUND(E19/G19,2)</f>
        <v>#DIV/0!</v>
      </c>
      <c r="H17" s="3310"/>
      <c r="I17" s="3310"/>
      <c r="J17" s="331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2"/>
      <c r="B18" s="2989"/>
      <c r="C18" s="3307"/>
      <c r="D18" s="3302" t="s">
        <v>3247</v>
      </c>
      <c r="E18" s="3308"/>
      <c r="F18" s="3303" t="s">
        <v>3250</v>
      </c>
      <c r="G18" s="3307">
        <f>ROUND(1-(1/(POWER(1+G24,E18))),4)</f>
        <v>0</v>
      </c>
      <c r="H18" s="3303" t="s">
        <v>3252</v>
      </c>
      <c r="I18" s="3307">
        <f>ROUND(1-(1/(POWER(1+G24,J24))),4)</f>
        <v>0.91279999999999994</v>
      </c>
      <c r="J18" s="331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67"/>
    </row>
    <row r="19" spans="1:37" s="2013" customFormat="1" ht="15" thickBot="1">
      <c r="A19" s="3314"/>
      <c r="B19" s="3315"/>
      <c r="C19" s="3316"/>
      <c r="D19" s="3316" t="s">
        <v>3248</v>
      </c>
      <c r="E19" s="3317"/>
      <c r="F19" s="3318" t="s">
        <v>3251</v>
      </c>
      <c r="G19" s="3317"/>
      <c r="H19" s="3316"/>
      <c r="I19" s="3316"/>
      <c r="J19" s="331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0"/>
      <c r="AH19" s="2140"/>
      <c r="AI19" s="2771"/>
      <c r="AJ19" s="2771"/>
      <c r="AK19" s="2056"/>
    </row>
    <row r="20" spans="1:37" s="2013" customFormat="1" ht="14.25">
      <c r="A20" s="3660" t="s">
        <v>3253</v>
      </c>
      <c r="B20" s="167" t="s">
        <v>1993</v>
      </c>
      <c r="C20" s="3304">
        <f>ROUND(IF(F21="与级别开发程度一致",0,(G21-E21)/C21),0)</f>
        <v>-42</v>
      </c>
      <c r="D20" s="3320" t="s">
        <v>1997</v>
      </c>
      <c r="E20" s="3321"/>
      <c r="F20" s="3666" t="s">
        <v>1994</v>
      </c>
      <c r="G20" s="3667"/>
      <c r="H20" s="3305" t="s">
        <v>3434</v>
      </c>
      <c r="I20" s="3305" t="s">
        <v>3435</v>
      </c>
      <c r="J20" s="3306" t="s">
        <v>3436</v>
      </c>
      <c r="K20" s="2046" t="s">
        <v>3437</v>
      </c>
      <c r="L20" s="2046" t="s">
        <v>3438</v>
      </c>
      <c r="M20" s="2046" t="s">
        <v>3439</v>
      </c>
      <c r="N20" s="2046" t="s">
        <v>3440</v>
      </c>
      <c r="O20" s="2047"/>
      <c r="P20" s="1996"/>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3" customFormat="1" ht="26.25" thickBot="1">
      <c r="A21" s="3661"/>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3441</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3" customFormat="1" ht="15.75" thickBot="1">
      <c r="A22" s="2157" t="s">
        <v>363</v>
      </c>
      <c r="B22" s="2158" t="s">
        <v>1999</v>
      </c>
      <c r="C22" s="2159">
        <f>SUMIF(修正!C20:C51,E3,修正!E20:E51)</f>
        <v>1</v>
      </c>
      <c r="D22" s="2160"/>
      <c r="E22" s="2161"/>
      <c r="F22" s="2161"/>
      <c r="G22" s="2161"/>
      <c r="H22" s="2161"/>
      <c r="I22" s="2161"/>
      <c r="J22" s="2162"/>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49" t="s">
        <v>364</v>
      </c>
      <c r="B23" s="2050"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2001</v>
      </c>
      <c r="E23" s="761">
        <v>44197</v>
      </c>
      <c r="F23" s="2053" t="s">
        <v>2002</v>
      </c>
      <c r="G23" s="762">
        <f>'数据-取费表'!B2</f>
        <v>45631</v>
      </c>
      <c r="H23" s="3322" t="s">
        <v>3255</v>
      </c>
      <c r="I23" s="3323" t="str">
        <f>IF(H23="季度增幅（自定义）",SUMIF(N25:N28,E2,O25:O28),"")</f>
        <v/>
      </c>
      <c r="J23" s="3425" t="s">
        <v>3254</v>
      </c>
      <c r="K23" s="1125"/>
      <c r="L23" s="2054" t="s">
        <v>2003</v>
      </c>
      <c r="M23" s="1328">
        <f>ROUND(SUMIF(地价!B2:G2,E2,地价!B16:G16),0)</f>
        <v>318</v>
      </c>
      <c r="N23" s="2055" t="s">
        <v>2004</v>
      </c>
      <c r="O23" s="763">
        <f>ROUNDDOWN(DATEDIF(E23,G23,"M")/3,0)</f>
        <v>15</v>
      </c>
      <c r="P23" s="1122"/>
      <c r="Q23" s="276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0.9214</v>
      </c>
      <c r="D24" s="2059" t="s">
        <v>2006</v>
      </c>
      <c r="E24" s="1335">
        <f>存贷款利率!E27/100</f>
        <v>4.3499999999999997E-2</v>
      </c>
      <c r="F24" s="2059" t="s">
        <v>1998</v>
      </c>
      <c r="G24" s="768">
        <f>SUMIF(M30:Q30,E2,M33:Q33)</f>
        <v>0.05</v>
      </c>
      <c r="H24" s="2059" t="s">
        <v>2007</v>
      </c>
      <c r="I24" s="769">
        <f>SUMIF('数据-取费表'!C6:C15,E2,'数据-取费表'!F6:F15)/COUNTIF('数据-取费表'!C6:C15,E2)</f>
        <v>37.69</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4" t="s">
        <v>366</v>
      </c>
      <c r="B25" s="2065" t="s">
        <v>3334</v>
      </c>
      <c r="C25" s="771">
        <f>IF(B25="容积率修正",IF(G3&lt;10,D26,J26),C27)</f>
        <v>0.9012</v>
      </c>
      <c r="D25" s="2066"/>
      <c r="E25" s="2066"/>
      <c r="F25" s="2066"/>
      <c r="G25" s="2066"/>
      <c r="H25" s="2066"/>
      <c r="I25" s="2066"/>
      <c r="J25" s="2067"/>
      <c r="K25" s="1125"/>
      <c r="L25" s="2767"/>
      <c r="M25" s="2767"/>
      <c r="N25" s="2068" t="s">
        <v>2012</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24" t="s">
        <v>3256</v>
      </c>
      <c r="D26" s="1352">
        <f>IF(E26=G26,F26,IF(G3&lt;10,ROUND(F26+(H26-F26)*(G3-E26)/(G26-E26),4),"——"))</f>
        <v>0.9012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3324" t="s">
        <v>3257</v>
      </c>
      <c r="J26" s="772" t="str">
        <f>IF(G3&gt;=10,D115,"——")</f>
        <v>——</v>
      </c>
      <c r="K26" s="1125"/>
      <c r="L26" s="2767"/>
      <c r="M26" s="276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2050">
        <f>SUMIF(A47:A101,E2,B47:B101)</f>
        <v>1.0251999999999999</v>
      </c>
      <c r="D28" s="2051"/>
      <c r="E28" s="2076"/>
      <c r="F28" s="2076"/>
      <c r="G28" s="2076"/>
      <c r="H28" s="2076"/>
      <c r="I28" s="2076"/>
      <c r="J28" s="2077"/>
      <c r="K28" s="1125"/>
      <c r="L28" s="2767"/>
      <c r="M28" s="276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64" t="s">
        <v>2022</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3325</v>
      </c>
      <c r="D30" s="2082"/>
      <c r="E30" s="2045"/>
      <c r="F30" s="2083"/>
      <c r="G30" s="2045"/>
      <c r="H30" s="2045"/>
      <c r="I30" s="2045"/>
      <c r="J30" s="2084"/>
      <c r="K30" s="1119"/>
      <c r="L30" s="3330" t="s">
        <v>1935</v>
      </c>
      <c r="M30" s="3331" t="s">
        <v>1989</v>
      </c>
      <c r="N30" s="3331" t="s">
        <v>1990</v>
      </c>
      <c r="O30" s="3331" t="s">
        <v>1991</v>
      </c>
      <c r="P30" s="3331" t="s">
        <v>1992</v>
      </c>
      <c r="Q30" s="3334"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32" t="s">
        <v>1995</v>
      </c>
      <c r="M31" s="1999">
        <v>0.25</v>
      </c>
      <c r="N31" s="1999">
        <v>0.2</v>
      </c>
      <c r="O31" s="1999">
        <v>0.15</v>
      </c>
      <c r="P31" s="1999">
        <v>0.1</v>
      </c>
      <c r="Q31" s="332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33" t="s">
        <v>1998</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2614</v>
      </c>
      <c r="D33" s="2097">
        <f>'数据-汇总表'!F31</f>
        <v>12720.57</v>
      </c>
      <c r="E33" s="773">
        <f>ROUND(C33*D33/10000,0)</f>
        <v>3325</v>
      </c>
      <c r="F33" s="3325" t="s">
        <v>3259</v>
      </c>
      <c r="G33" s="2098"/>
      <c r="H33" s="2098"/>
      <c r="I33" s="2098"/>
      <c r="J33" s="2099"/>
      <c r="K33" s="1119"/>
      <c r="L33" s="3328" t="s">
        <v>3262</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392</v>
      </c>
      <c r="D34" s="2102"/>
      <c r="E34" s="773">
        <f>ROUND(IF(B25="楼层修正",SUM(V2:V16)*M40,C34*D34/10000),0)</f>
        <v>0</v>
      </c>
      <c r="F34" s="2103" t="s">
        <v>2031</v>
      </c>
      <c r="G34" s="2104"/>
      <c r="H34" s="2104"/>
      <c r="I34" s="2104"/>
      <c r="J34" s="2105"/>
      <c r="K34" s="1119"/>
      <c r="L34" s="3328" t="s">
        <v>3263</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26" t="s">
        <v>3260</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36" t="s">
        <v>3264</v>
      </c>
      <c r="L36" s="3426">
        <f ca="1">'数据-取费表'!B40</f>
        <v>3.1E-2</v>
      </c>
      <c r="M36" s="3337">
        <f ca="1">ROUND($L$36*(1+M31),3)</f>
        <v>3.9E-2</v>
      </c>
      <c r="N36" s="3337">
        <f ca="1">ROUND($L$36*(1+N31),3)</f>
        <v>3.6999999999999998E-2</v>
      </c>
      <c r="O36" s="3337">
        <f ca="1">ROUND($L$36*(1+O31),3)</f>
        <v>3.5999999999999997E-2</v>
      </c>
      <c r="P36" s="3337">
        <f ca="1">ROUND($L$36*(1+P31),3)</f>
        <v>3.4000000000000002E-2</v>
      </c>
      <c r="Q36" s="333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64"/>
      <c r="B37" s="2112" t="s">
        <v>2035</v>
      </c>
      <c r="C37" s="175">
        <f>ROUND(D5*C22*C23*C24*C28*F37,0)</f>
        <v>1740</v>
      </c>
      <c r="D37" s="2097"/>
      <c r="E37" s="171">
        <f>ROUND(C37*D37/10000,0)</f>
        <v>0</v>
      </c>
      <c r="F37" s="171">
        <f>SUMIF(修正!A57:A68,G2,修正!B57:B68)</f>
        <v>0.6</v>
      </c>
      <c r="G37" s="171">
        <f>ROUND(IF(E2="工业",C37*$M$42,C37*$M$41),0)</f>
        <v>261</v>
      </c>
      <c r="H37" s="171">
        <f>D37</f>
        <v>0</v>
      </c>
      <c r="I37" s="171">
        <f>ROUND(G37*H37/10000,0)</f>
        <v>0</v>
      </c>
      <c r="J37" s="2991"/>
      <c r="K37" s="3338" t="s">
        <v>3265</v>
      </c>
      <c r="L37" s="3336">
        <f ca="1">L36+K38</f>
        <v>3.5999999999999997E-2</v>
      </c>
      <c r="M37" s="3337">
        <f ca="1">ROUND($L$37*(1+M31),3)</f>
        <v>4.4999999999999998E-2</v>
      </c>
      <c r="N37" s="3337">
        <f t="shared" ref="N37:Q37" ca="1" si="3">ROUND($L$37*(1+N31),3)</f>
        <v>4.2999999999999997E-2</v>
      </c>
      <c r="O37" s="3337">
        <f t="shared" ca="1" si="3"/>
        <v>4.1000000000000002E-2</v>
      </c>
      <c r="P37" s="3337">
        <f t="shared" ca="1" si="3"/>
        <v>0.04</v>
      </c>
      <c r="Q37" s="333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65"/>
      <c r="B38" s="2040" t="s">
        <v>2036</v>
      </c>
      <c r="C38" s="175">
        <f>ROUND(D5*C22*C23*C24*C28*F38,0)</f>
        <v>870</v>
      </c>
      <c r="D38" s="2097"/>
      <c r="E38" s="171">
        <f t="shared" ref="E38:E42" si="4">ROUND(C38*D38/10000,0)</f>
        <v>0</v>
      </c>
      <c r="F38" s="171">
        <f>SUMIF(修正!A57:A68,G2,修正!C57:C68)</f>
        <v>0.3</v>
      </c>
      <c r="G38" s="171">
        <f>ROUND(IF(E2="工业",C38*$M$42,C38*$M$41),0)</f>
        <v>131</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665"/>
      <c r="B39" s="2040" t="s">
        <v>3258</v>
      </c>
      <c r="C39" s="175">
        <f>ROUND(D5*C22*C23*C24*C28*F39,0)</f>
        <v>725</v>
      </c>
      <c r="D39" s="2097"/>
      <c r="E39" s="171">
        <f t="shared" si="4"/>
        <v>0</v>
      </c>
      <c r="F39" s="171">
        <f>SUMIF(修正!A57:A68,G2,修正!D57:D68)</f>
        <v>0.25</v>
      </c>
      <c r="G39" s="171">
        <f>ROUND(IF(E2="工业",C39*$M$42,C39*$M$41),0)</f>
        <v>109</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725</v>
      </c>
      <c r="D40" s="2097"/>
      <c r="E40" s="171">
        <f t="shared" si="4"/>
        <v>0</v>
      </c>
      <c r="F40" s="175">
        <f>SUMIF(修正!A57:A68,G2,修正!E57:E68)</f>
        <v>0.25</v>
      </c>
      <c r="G40" s="171">
        <f>ROUND(IF(E2="工业",C40*$M$42,C40*$M$41),0)</f>
        <v>109</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9"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K45" s="1119">
        <f>C33*666.67/10000</f>
        <v>174.267538</v>
      </c>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8" t="s">
        <v>3268</v>
      </c>
      <c r="B52" s="2133">
        <f>估价对象房地状况!C19</f>
        <v>0</v>
      </c>
      <c r="C52" s="2043"/>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2053</v>
      </c>
      <c r="B53" s="2134" t="s">
        <v>2054</v>
      </c>
      <c r="C53" s="2043"/>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2056</v>
      </c>
      <c r="B55" s="2135" t="s">
        <v>2057</v>
      </c>
      <c r="C55" s="2043"/>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2058</v>
      </c>
      <c r="B56" s="1326" t="str">
        <f>估价对象房地状况!C21</f>
        <v>估价对象所在区域公共配套设施齐备情况</v>
      </c>
      <c r="C56" s="2043"/>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8" t="s">
        <v>3268</v>
      </c>
      <c r="B63" s="2133">
        <f>估价对象房地状况!C19</f>
        <v>0</v>
      </c>
      <c r="C63" s="2043"/>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2058</v>
      </c>
      <c r="B67" s="1326" t="str">
        <f>估价对象房地状况!C21</f>
        <v>估价对象所在区域公共配套设施齐备情况</v>
      </c>
      <c r="C67" s="2043"/>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2059</v>
      </c>
      <c r="B68" s="1326" t="str">
        <f>估价对象房地状况!C22</f>
        <v>估价对象所在区域基础设施水平</v>
      </c>
      <c r="C68" s="2043"/>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48" t="s">
        <v>3268</v>
      </c>
      <c r="B74" s="2133">
        <f>估价对象房地状况!C19</f>
        <v>0</v>
      </c>
      <c r="C74" s="2043"/>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2058</v>
      </c>
      <c r="B76" s="1326" t="str">
        <f>估价对象房地状况!C21</f>
        <v>估价对象所在区域公共配套设施齐备情况</v>
      </c>
      <c r="C76" s="2043"/>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2059</v>
      </c>
      <c r="B77" s="1326" t="str">
        <f>估价对象房地状况!C22</f>
        <v>估价对象所在区域基础设施水平</v>
      </c>
      <c r="C77" s="2043"/>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2056</v>
      </c>
      <c r="B78" s="2135" t="s">
        <v>2057</v>
      </c>
      <c r="C78" s="2043"/>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2067</v>
      </c>
      <c r="B80" s="2141"/>
      <c r="C80" s="2043"/>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1.0251999999999999</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24">
      <c r="A83" s="2129" t="s">
        <v>2069</v>
      </c>
      <c r="B83" s="2133" t="str">
        <f>估价对象房地状况!G15</f>
        <v>较好</v>
      </c>
      <c r="C83" s="2043" t="s">
        <v>3400</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1"/>
      <c r="AK83" s="2052"/>
    </row>
    <row r="84" spans="1:37" ht="14.25">
      <c r="A84" s="2129" t="s">
        <v>2052</v>
      </c>
      <c r="B84" s="2133" t="str">
        <f>估价对象房地状况!G16</f>
        <v>较好</v>
      </c>
      <c r="C84" s="2043" t="s">
        <v>3400</v>
      </c>
      <c r="D84" s="1065">
        <f t="shared" si="22"/>
        <v>7.4999999999999997E-3</v>
      </c>
      <c r="E84" s="747"/>
      <c r="F84" s="1814"/>
      <c r="G84" s="1063">
        <f t="shared" ref="G84:G90" si="27">H84</f>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7"/>
      <c r="AA84" s="2052"/>
      <c r="AG84" s="1121"/>
      <c r="AK84" s="2052"/>
    </row>
    <row r="85" spans="1:37" ht="36">
      <c r="A85" s="3348" t="s">
        <v>3269</v>
      </c>
      <c r="B85" s="2133">
        <f>估价对象房地状况!G17</f>
        <v>0</v>
      </c>
      <c r="C85" s="2043" t="s">
        <v>3400</v>
      </c>
      <c r="D85" s="1065">
        <f t="shared" si="22"/>
        <v>2.5000000000000001E-3</v>
      </c>
      <c r="E85" s="747"/>
      <c r="F85" s="1814"/>
      <c r="G85" s="1063">
        <f t="shared" si="27"/>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7"/>
      <c r="AA85" s="2052"/>
      <c r="AG85" s="1121"/>
      <c r="AK85" s="2052"/>
    </row>
    <row r="86" spans="1:37" ht="14.25">
      <c r="A86" s="2129" t="s">
        <v>2066</v>
      </c>
      <c r="B86" s="2133">
        <f>估价对象房地状况!G22</f>
        <v>0</v>
      </c>
      <c r="C86" s="2043" t="s">
        <v>3414</v>
      </c>
      <c r="D86" s="1065">
        <f t="shared" si="22"/>
        <v>0</v>
      </c>
      <c r="E86" s="747"/>
      <c r="F86" s="1814"/>
      <c r="G86" s="1063">
        <f t="shared" si="27"/>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7"/>
      <c r="AA86" s="2052"/>
      <c r="AG86" s="1121"/>
      <c r="AK86" s="2052"/>
    </row>
    <row r="87" spans="1:37" ht="24">
      <c r="A87" s="2129" t="s">
        <v>2058</v>
      </c>
      <c r="B87" s="1326" t="str">
        <f>估价对象房地状况!G19</f>
        <v>一般</v>
      </c>
      <c r="C87" s="2043" t="s">
        <v>3414</v>
      </c>
      <c r="D87" s="1065">
        <f t="shared" si="22"/>
        <v>0</v>
      </c>
      <c r="E87" s="747"/>
      <c r="F87" s="1814"/>
      <c r="G87" s="1063">
        <f t="shared" si="27"/>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4">
      <c r="A88" s="2129" t="s">
        <v>2059</v>
      </c>
      <c r="B88" s="1326" t="str">
        <f>估价对象房地状况!G20</f>
        <v>七通</v>
      </c>
      <c r="C88" s="2043" t="s">
        <v>3401</v>
      </c>
      <c r="D88" s="1065">
        <f t="shared" si="22"/>
        <v>6.0000000000000001E-3</v>
      </c>
      <c r="E88" s="747"/>
      <c r="F88" s="1814"/>
      <c r="G88" s="1063">
        <f t="shared" si="27"/>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2056</v>
      </c>
      <c r="B89" s="2135" t="s">
        <v>2070</v>
      </c>
      <c r="C89" s="2043" t="s">
        <v>3400</v>
      </c>
      <c r="D89" s="1065">
        <f t="shared" si="22"/>
        <v>1.5E-3</v>
      </c>
      <c r="E89" s="747"/>
      <c r="F89" s="1814"/>
      <c r="G89" s="1063">
        <f t="shared" si="27"/>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15" thickBot="1">
      <c r="A90" s="2137" t="s">
        <v>2071</v>
      </c>
      <c r="B90" s="2142" t="str">
        <f>估价对象房地状况!G18</f>
        <v>较好</v>
      </c>
      <c r="C90" s="2043" t="s">
        <v>3400</v>
      </c>
      <c r="D90" s="1065">
        <f t="shared" si="22"/>
        <v>1.1999999999999999E-3</v>
      </c>
      <c r="E90" s="748"/>
      <c r="F90" s="1814"/>
      <c r="G90" s="1063">
        <f t="shared" si="27"/>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2611</v>
      </c>
      <c r="B91" s="3357">
        <f>1+E93</f>
        <v>1</v>
      </c>
      <c r="C91" s="3350"/>
      <c r="D91" s="3351"/>
      <c r="E91" s="1814"/>
      <c r="F91" s="1814"/>
      <c r="G91" s="3352"/>
      <c r="H91" s="3353"/>
      <c r="I91" s="3354"/>
      <c r="J91" s="3355"/>
      <c r="K91" s="3355"/>
      <c r="L91" s="3355"/>
      <c r="M91" s="3355"/>
      <c r="N91" s="3355"/>
    </row>
    <row r="92" spans="1:37" ht="24.75">
      <c r="A92" s="3358" t="s">
        <v>3270</v>
      </c>
      <c r="B92" s="3345"/>
      <c r="C92" s="3345" t="s">
        <v>3279</v>
      </c>
      <c r="D92" s="3345" t="s">
        <v>3280</v>
      </c>
      <c r="E92" s="3327" t="s">
        <v>3281</v>
      </c>
      <c r="F92" s="3360" t="s">
        <v>3282</v>
      </c>
      <c r="G92" s="3345" t="s">
        <v>3283</v>
      </c>
      <c r="H92" s="3367" t="s">
        <v>3286</v>
      </c>
      <c r="I92" s="3345" t="s">
        <v>3287</v>
      </c>
      <c r="J92" s="3368" t="s">
        <v>3288</v>
      </c>
      <c r="K92" s="3368" t="s">
        <v>3289</v>
      </c>
      <c r="L92" s="3368" t="s">
        <v>3290</v>
      </c>
      <c r="M92" s="3368" t="s">
        <v>3291</v>
      </c>
      <c r="N92" s="3368" t="s">
        <v>3292</v>
      </c>
    </row>
    <row r="93" spans="1:37" ht="24">
      <c r="A93" s="3348" t="s">
        <v>3271</v>
      </c>
      <c r="B93" s="1306"/>
      <c r="C93" s="2043"/>
      <c r="D93" s="3345">
        <f>SUMIF($J$92:$N$92,C93,J93:N93)</f>
        <v>0</v>
      </c>
      <c r="E93" s="3361">
        <f>ROUND(SUM(D93:D101),4)</f>
        <v>0</v>
      </c>
      <c r="F93" s="1814" t="str">
        <f>IF(E2="公共服务",SUMIF(L1:L12,G2,N1:N12),"——")</f>
        <v>——</v>
      </c>
      <c r="G93" s="3352"/>
      <c r="H93" s="3400" t="str">
        <f>IFERROR(ROUNDDOWN($F$93*I93/2,4),"——")</f>
        <v>——</v>
      </c>
      <c r="I93" s="3346">
        <v>0.25</v>
      </c>
      <c r="J93" s="3324">
        <f t="shared" ref="J93:J101" si="28">K93+$G93</f>
        <v>0</v>
      </c>
      <c r="K93" s="3324">
        <f t="shared" ref="K93:K101" si="29">$L93+$G93</f>
        <v>0</v>
      </c>
      <c r="L93" s="3324">
        <v>0</v>
      </c>
      <c r="M93" s="3324">
        <f t="shared" ref="M93:N101" si="30">L93-$G93</f>
        <v>0</v>
      </c>
      <c r="N93" s="3324">
        <f t="shared" si="30"/>
        <v>0</v>
      </c>
    </row>
    <row r="94" spans="1:37" ht="38.25">
      <c r="A94" s="3358" t="s">
        <v>3272</v>
      </c>
      <c r="B94" s="3349" t="str">
        <f>估价对象房地状况!C18</f>
        <v>估价对象周边道路状况、公共交通通达情况、停车便捷程度，综合评价交通便捷度较好</v>
      </c>
      <c r="C94" s="2043"/>
      <c r="D94" s="3345">
        <f t="shared" ref="D94:D101" si="31">SUMIF($J$60:$N$60,C94,J94:N94)</f>
        <v>0</v>
      </c>
      <c r="E94" s="3362"/>
      <c r="F94" s="1814"/>
      <c r="G94" s="3352"/>
      <c r="H94" s="3400" t="str">
        <f>IFERROR(ROUNDDOWN($F$93*I94/2,4),"——")</f>
        <v>——</v>
      </c>
      <c r="I94" s="3346">
        <v>0.26</v>
      </c>
      <c r="J94" s="3324">
        <f t="shared" si="28"/>
        <v>0</v>
      </c>
      <c r="K94" s="3324">
        <f t="shared" si="29"/>
        <v>0</v>
      </c>
      <c r="L94" s="3324">
        <v>0</v>
      </c>
      <c r="M94" s="3324">
        <f t="shared" si="30"/>
        <v>0</v>
      </c>
      <c r="N94" s="3324">
        <f t="shared" si="30"/>
        <v>0</v>
      </c>
    </row>
    <row r="95" spans="1:37" ht="36">
      <c r="A95" s="3348" t="s">
        <v>3268</v>
      </c>
      <c r="B95" s="3349">
        <f>估价对象房地状况!C19</f>
        <v>0</v>
      </c>
      <c r="C95" s="2043"/>
      <c r="D95" s="3345">
        <f t="shared" si="31"/>
        <v>0</v>
      </c>
      <c r="E95" s="3362"/>
      <c r="F95" s="1814"/>
      <c r="G95" s="3352"/>
      <c r="H95" s="3400" t="str">
        <f t="shared" ref="H95:H101" si="32">IFERROR(ROUNDDOWN($F$93*I95/2,4),"——")</f>
        <v>——</v>
      </c>
      <c r="I95" s="3346">
        <v>0.11</v>
      </c>
      <c r="J95" s="3324">
        <f t="shared" si="28"/>
        <v>0</v>
      </c>
      <c r="K95" s="3324">
        <f t="shared" si="29"/>
        <v>0</v>
      </c>
      <c r="L95" s="3324">
        <v>0</v>
      </c>
      <c r="M95" s="3324">
        <f t="shared" si="30"/>
        <v>0</v>
      </c>
      <c r="N95" s="3324">
        <f t="shared" si="30"/>
        <v>0</v>
      </c>
    </row>
    <row r="96" spans="1:37" ht="36.75">
      <c r="A96" s="3358" t="s">
        <v>3273</v>
      </c>
      <c r="B96" s="3364" t="s">
        <v>3284</v>
      </c>
      <c r="C96" s="2043"/>
      <c r="D96" s="3345">
        <f t="shared" si="31"/>
        <v>0</v>
      </c>
      <c r="E96" s="3362"/>
      <c r="F96" s="1814"/>
      <c r="G96" s="3352"/>
      <c r="H96" s="3400" t="str">
        <f t="shared" si="32"/>
        <v>——</v>
      </c>
      <c r="I96" s="3346">
        <v>0.05</v>
      </c>
      <c r="J96" s="3324">
        <f t="shared" si="28"/>
        <v>0</v>
      </c>
      <c r="K96" s="3324">
        <f t="shared" si="29"/>
        <v>0</v>
      </c>
      <c r="L96" s="3324">
        <v>0</v>
      </c>
      <c r="M96" s="3324">
        <f t="shared" si="30"/>
        <v>0</v>
      </c>
      <c r="N96" s="3324">
        <f t="shared" si="30"/>
        <v>0</v>
      </c>
    </row>
    <row r="97" spans="1:14" ht="24">
      <c r="A97" s="3358" t="s">
        <v>3274</v>
      </c>
      <c r="B97" s="3349">
        <f>估价对象房地状况!C24</f>
        <v>0</v>
      </c>
      <c r="C97" s="2043"/>
      <c r="D97" s="3345">
        <f t="shared" si="31"/>
        <v>0</v>
      </c>
      <c r="E97" s="3362"/>
      <c r="F97" s="1814"/>
      <c r="G97" s="3352"/>
      <c r="H97" s="3400" t="str">
        <f t="shared" si="32"/>
        <v>——</v>
      </c>
      <c r="I97" s="3346">
        <v>0.05</v>
      </c>
      <c r="J97" s="3324">
        <f t="shared" si="28"/>
        <v>0</v>
      </c>
      <c r="K97" s="3324">
        <f t="shared" si="29"/>
        <v>0</v>
      </c>
      <c r="L97" s="3324">
        <v>0</v>
      </c>
      <c r="M97" s="3324">
        <f t="shared" si="30"/>
        <v>0</v>
      </c>
      <c r="N97" s="3324">
        <f t="shared" si="30"/>
        <v>0</v>
      </c>
    </row>
    <row r="98" spans="1:14" ht="24">
      <c r="A98" s="3358" t="s">
        <v>3275</v>
      </c>
      <c r="B98" s="3365" t="s">
        <v>3285</v>
      </c>
      <c r="C98" s="2043"/>
      <c r="D98" s="3345">
        <f t="shared" si="31"/>
        <v>0</v>
      </c>
      <c r="E98" s="3362"/>
      <c r="F98" s="1814"/>
      <c r="G98" s="3352"/>
      <c r="H98" s="3400" t="str">
        <f t="shared" si="32"/>
        <v>——</v>
      </c>
      <c r="I98" s="3346">
        <v>0.06</v>
      </c>
      <c r="J98" s="3324">
        <f t="shared" si="28"/>
        <v>0</v>
      </c>
      <c r="K98" s="3324">
        <f t="shared" si="29"/>
        <v>0</v>
      </c>
      <c r="L98" s="3324">
        <v>0</v>
      </c>
      <c r="M98" s="3324">
        <f t="shared" si="30"/>
        <v>0</v>
      </c>
      <c r="N98" s="3324">
        <f t="shared" si="30"/>
        <v>0</v>
      </c>
    </row>
    <row r="99" spans="1:14" ht="25.5">
      <c r="A99" s="3358" t="s">
        <v>3276</v>
      </c>
      <c r="B99" s="3349" t="str">
        <f>估价对象房地状况!C21</f>
        <v>估价对象所在区域公共配套设施齐备情况</v>
      </c>
      <c r="C99" s="2043"/>
      <c r="D99" s="3345">
        <f t="shared" si="31"/>
        <v>0</v>
      </c>
      <c r="E99" s="3362"/>
      <c r="F99" s="1814"/>
      <c r="G99" s="3352"/>
      <c r="H99" s="3400" t="str">
        <f t="shared" si="32"/>
        <v>——</v>
      </c>
      <c r="I99" s="3346">
        <v>0.06</v>
      </c>
      <c r="J99" s="3324">
        <f t="shared" si="28"/>
        <v>0</v>
      </c>
      <c r="K99" s="3324">
        <f t="shared" si="29"/>
        <v>0</v>
      </c>
      <c r="L99" s="3324">
        <v>0</v>
      </c>
      <c r="M99" s="3324">
        <f t="shared" si="30"/>
        <v>0</v>
      </c>
      <c r="N99" s="3324">
        <f t="shared" si="30"/>
        <v>0</v>
      </c>
    </row>
    <row r="100" spans="1:14" ht="25.5">
      <c r="A100" s="3358" t="s">
        <v>3277</v>
      </c>
      <c r="B100" s="3349" t="str">
        <f>估价对象房地状况!C22</f>
        <v>估价对象所在区域基础设施水平</v>
      </c>
      <c r="C100" s="2043"/>
      <c r="D100" s="3345">
        <f t="shared" si="31"/>
        <v>0</v>
      </c>
      <c r="E100" s="3362"/>
      <c r="F100" s="1814"/>
      <c r="G100" s="3352"/>
      <c r="H100" s="3400" t="str">
        <f t="shared" si="32"/>
        <v>——</v>
      </c>
      <c r="I100" s="3346">
        <v>0.09</v>
      </c>
      <c r="J100" s="3324">
        <f t="shared" si="28"/>
        <v>0</v>
      </c>
      <c r="K100" s="3324">
        <f t="shared" si="29"/>
        <v>0</v>
      </c>
      <c r="L100" s="3324">
        <v>0</v>
      </c>
      <c r="M100" s="3324">
        <f t="shared" si="30"/>
        <v>0</v>
      </c>
      <c r="N100" s="3324">
        <f t="shared" si="30"/>
        <v>0</v>
      </c>
    </row>
    <row r="101" spans="1:14" ht="26.25" thickBot="1">
      <c r="A101" s="3359" t="s">
        <v>3278</v>
      </c>
      <c r="B101" s="3366" t="str">
        <f>估价对象房地状况!C20</f>
        <v>区域自然环境：；人文环境；综合评价环境状况一般</v>
      </c>
      <c r="C101" s="2043"/>
      <c r="D101" s="3345">
        <f t="shared" si="31"/>
        <v>0</v>
      </c>
      <c r="E101" s="3363"/>
      <c r="F101" s="1814"/>
      <c r="G101" s="3352"/>
      <c r="H101" s="3400" t="str">
        <f t="shared" si="32"/>
        <v>——</v>
      </c>
      <c r="I101" s="3347">
        <v>7.0000000000000007E-2</v>
      </c>
      <c r="J101" s="3324">
        <f t="shared" si="28"/>
        <v>0</v>
      </c>
      <c r="K101" s="3324">
        <f t="shared" si="29"/>
        <v>0</v>
      </c>
      <c r="L101" s="3324">
        <v>0</v>
      </c>
      <c r="M101" s="3324">
        <f t="shared" si="30"/>
        <v>0</v>
      </c>
      <c r="N101" s="3324">
        <f t="shared" si="30"/>
        <v>0</v>
      </c>
    </row>
    <row r="103" spans="1:14">
      <c r="A103" s="3662" t="s">
        <v>3293</v>
      </c>
      <c r="B103" s="3662"/>
      <c r="C103" s="3662"/>
      <c r="D103" s="3662"/>
      <c r="E103" s="3662"/>
      <c r="F103" s="3662"/>
      <c r="G103" s="3662"/>
      <c r="H103" s="3662"/>
      <c r="I103" s="3662"/>
      <c r="J103" s="3662"/>
      <c r="K103" s="3369"/>
      <c r="L103" s="3369"/>
      <c r="M103" s="3369"/>
      <c r="N103" s="3369"/>
    </row>
    <row r="104" spans="1:14">
      <c r="A104" s="3663" t="s">
        <v>3294</v>
      </c>
      <c r="B104" s="3663" t="s">
        <v>3295</v>
      </c>
      <c r="C104" s="3370" t="s">
        <v>3296</v>
      </c>
      <c r="D104" s="3371"/>
      <c r="E104" s="3371"/>
      <c r="F104" s="3371"/>
      <c r="G104" s="3371"/>
      <c r="H104" s="3371"/>
      <c r="I104" s="3371"/>
      <c r="J104" s="3372"/>
      <c r="K104" s="3373"/>
      <c r="L104" s="3373"/>
      <c r="M104" s="3373"/>
      <c r="N104" s="3373"/>
    </row>
    <row r="105" spans="1:14">
      <c r="A105" s="3663"/>
      <c r="B105" s="3663"/>
      <c r="C105" s="3374" t="s">
        <v>3297</v>
      </c>
      <c r="D105" s="3374" t="s">
        <v>3298</v>
      </c>
      <c r="E105" s="3374" t="s">
        <v>3299</v>
      </c>
      <c r="F105" s="3374" t="s">
        <v>3300</v>
      </c>
      <c r="G105" s="3374" t="s">
        <v>3301</v>
      </c>
      <c r="H105" s="3374" t="s">
        <v>3302</v>
      </c>
      <c r="I105" s="3374" t="s">
        <v>3303</v>
      </c>
      <c r="J105" s="3374" t="s">
        <v>3304</v>
      </c>
      <c r="K105" s="3374" t="s">
        <v>3305</v>
      </c>
      <c r="L105" s="3374" t="s">
        <v>3306</v>
      </c>
      <c r="M105" s="3374" t="s">
        <v>3307</v>
      </c>
      <c r="N105" s="3374" t="s">
        <v>3308</v>
      </c>
    </row>
    <row r="106" spans="1:14">
      <c r="A106" s="3649" t="s">
        <v>3309</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650"/>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650"/>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650"/>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650"/>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650"/>
      <c r="B111" s="3374" t="s">
        <v>3267</v>
      </c>
      <c r="C111" s="3375">
        <f>$I$3</f>
        <v>0</v>
      </c>
      <c r="D111" s="3375">
        <f t="shared" ref="D111:M111" si="33">$I$3</f>
        <v>0</v>
      </c>
      <c r="E111" s="3375">
        <f t="shared" si="33"/>
        <v>0</v>
      </c>
      <c r="F111" s="3375">
        <f t="shared" si="33"/>
        <v>0</v>
      </c>
      <c r="G111" s="3375">
        <f t="shared" si="33"/>
        <v>0</v>
      </c>
      <c r="H111" s="3375">
        <f t="shared" si="33"/>
        <v>0</v>
      </c>
      <c r="I111" s="3375">
        <f t="shared" si="33"/>
        <v>0</v>
      </c>
      <c r="J111" s="3375">
        <f t="shared" si="33"/>
        <v>0</v>
      </c>
      <c r="K111" s="3375">
        <f t="shared" si="33"/>
        <v>0</v>
      </c>
      <c r="L111" s="3375">
        <f t="shared" si="33"/>
        <v>0</v>
      </c>
      <c r="M111" s="3375">
        <f t="shared" si="33"/>
        <v>0</v>
      </c>
      <c r="N111" s="3375">
        <f>$I$3</f>
        <v>0</v>
      </c>
    </row>
    <row r="112" spans="1:14">
      <c r="A112" s="3651"/>
      <c r="B112" s="3374">
        <v>6</v>
      </c>
      <c r="C112" s="3367">
        <f>(-0.5556*(C111^2)-0.2719*C111+8944)*(10^(-4))</f>
        <v>0.89440000000000008</v>
      </c>
      <c r="D112" s="3367">
        <f>(-0.5556*(D111^2)-0.2719*D111+8944)*(10^(-4))</f>
        <v>0.89440000000000008</v>
      </c>
      <c r="E112" s="3367">
        <f>(-0.7912*(E111^2)-11.3794*E111+8482)*(10^(-4))</f>
        <v>0.84820000000000007</v>
      </c>
      <c r="F112" s="3367">
        <f t="shared" ref="F112:I112" si="34">(-0.7912*(F111^2)-11.3794*F111+8482)*(10^(-4))</f>
        <v>0.84820000000000007</v>
      </c>
      <c r="G112" s="3367">
        <f t="shared" si="34"/>
        <v>0.84820000000000007</v>
      </c>
      <c r="H112" s="3367">
        <f t="shared" si="34"/>
        <v>0.84820000000000007</v>
      </c>
      <c r="I112" s="3367">
        <f t="shared" si="34"/>
        <v>0.84820000000000007</v>
      </c>
      <c r="J112" s="3367">
        <f>(-0.989*(J111^2)-63.78*J111+7771)*(10^(-4))</f>
        <v>0.77710000000000001</v>
      </c>
      <c r="K112" s="3367">
        <f t="shared" ref="K112:N112" si="35">(-0.989*(K111^2)-63.78*K111+7771)*(10^(-4))</f>
        <v>0.77710000000000001</v>
      </c>
      <c r="L112" s="3367">
        <f t="shared" si="35"/>
        <v>0.77710000000000001</v>
      </c>
      <c r="M112" s="3367">
        <f t="shared" si="35"/>
        <v>0.77710000000000001</v>
      </c>
      <c r="N112" s="3367">
        <f t="shared" si="35"/>
        <v>0.77710000000000001</v>
      </c>
    </row>
    <row r="113" spans="1:14">
      <c r="A113" s="3652" t="s">
        <v>3310</v>
      </c>
      <c r="B113" s="3652"/>
      <c r="C113" s="3652"/>
      <c r="D113" s="3652"/>
      <c r="E113" s="3652"/>
      <c r="F113" s="3652"/>
      <c r="G113" s="3652"/>
      <c r="H113" s="3652"/>
      <c r="I113" s="3652"/>
      <c r="J113" s="3652"/>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3311</v>
      </c>
      <c r="B116" s="3395">
        <f>G3</f>
        <v>1.6</v>
      </c>
      <c r="C116" s="3379" t="s">
        <v>3312</v>
      </c>
      <c r="D116" s="3380">
        <f>SUMPRODUCT((A118:A122=F116)*(B117:M117=H116)*B118:M122)</f>
        <v>0.63239999999999996</v>
      </c>
      <c r="E116" s="1999" t="s">
        <v>3313</v>
      </c>
      <c r="F116" s="3381" t="str">
        <f>E2</f>
        <v>工业</v>
      </c>
      <c r="G116" s="1999" t="s">
        <v>3314</v>
      </c>
      <c r="H116" s="3381" t="str">
        <f>G2</f>
        <v>六级</v>
      </c>
      <c r="I116" s="1999"/>
      <c r="J116" s="3382"/>
      <c r="K116" s="3382"/>
      <c r="L116" s="3382"/>
      <c r="M116" s="3382"/>
      <c r="N116" s="3377"/>
    </row>
    <row r="117" spans="1:14">
      <c r="A117" s="3383"/>
      <c r="B117" s="3384" t="s">
        <v>3315</v>
      </c>
      <c r="C117" s="3384" t="s">
        <v>3316</v>
      </c>
      <c r="D117" s="3384" t="s">
        <v>3317</v>
      </c>
      <c r="E117" s="3385" t="s">
        <v>3318</v>
      </c>
      <c r="F117" s="3385" t="s">
        <v>3319</v>
      </c>
      <c r="G117" s="3385" t="s">
        <v>3320</v>
      </c>
      <c r="H117" s="3386" t="s">
        <v>3321</v>
      </c>
      <c r="I117" s="3386" t="s">
        <v>3322</v>
      </c>
      <c r="J117" s="3387" t="s">
        <v>3323</v>
      </c>
      <c r="K117" s="3387" t="s">
        <v>3324</v>
      </c>
      <c r="L117" s="3387" t="s">
        <v>3325</v>
      </c>
      <c r="M117" s="3388" t="s">
        <v>3326</v>
      </c>
      <c r="N117" s="3377"/>
    </row>
    <row r="118" spans="1:14">
      <c r="A118" s="3389" t="s">
        <v>3327</v>
      </c>
      <c r="B118" s="3367">
        <f>ROUND(0.9968-0.011*B116,4)</f>
        <v>0.97919999999999996</v>
      </c>
      <c r="C118" s="3367">
        <f>B118</f>
        <v>0.97919999999999996</v>
      </c>
      <c r="D118" s="3367">
        <f>ROUND(0.949-0.014*B116,4)</f>
        <v>0.92659999999999998</v>
      </c>
      <c r="E118" s="3367">
        <f>D118</f>
        <v>0.92659999999999998</v>
      </c>
      <c r="F118" s="3367">
        <f>E118</f>
        <v>0.92659999999999998</v>
      </c>
      <c r="G118" s="3367">
        <f>F118</f>
        <v>0.92659999999999998</v>
      </c>
      <c r="H118" s="3367">
        <f>G118</f>
        <v>0.92659999999999998</v>
      </c>
      <c r="I118" s="3367">
        <f>ROUND(0.8486-0.018*B116,4)</f>
        <v>0.81979999999999997</v>
      </c>
      <c r="J118" s="3367">
        <f t="shared" ref="J118:M122" si="36">I118</f>
        <v>0.81979999999999997</v>
      </c>
      <c r="K118" s="3367">
        <f t="shared" si="36"/>
        <v>0.81979999999999997</v>
      </c>
      <c r="L118" s="3367">
        <f t="shared" si="36"/>
        <v>0.81979999999999997</v>
      </c>
      <c r="M118" s="3390">
        <f t="shared" si="36"/>
        <v>0.81979999999999997</v>
      </c>
      <c r="N118" s="3377"/>
    </row>
    <row r="119" spans="1:14">
      <c r="A119" s="3389" t="s">
        <v>3328</v>
      </c>
      <c r="B119" s="3367">
        <f>ROUND(0.993-0.0112*B116,4)</f>
        <v>0.97509999999999997</v>
      </c>
      <c r="C119" s="3367">
        <f>B119</f>
        <v>0.97509999999999997</v>
      </c>
      <c r="D119" s="3367">
        <f>ROUND(0.9415-0.0142*B116,4)</f>
        <v>0.91879999999999995</v>
      </c>
      <c r="E119" s="3367">
        <f t="shared" ref="E119:H120" si="37">D119</f>
        <v>0.91879999999999995</v>
      </c>
      <c r="F119" s="3367">
        <f t="shared" si="37"/>
        <v>0.91879999999999995</v>
      </c>
      <c r="G119" s="3367">
        <f t="shared" si="37"/>
        <v>0.91879999999999995</v>
      </c>
      <c r="H119" s="3367">
        <f t="shared" si="37"/>
        <v>0.91879999999999995</v>
      </c>
      <c r="I119" s="3367">
        <f>ROUND(0.838-0.0182*B116,4)</f>
        <v>0.80889999999999995</v>
      </c>
      <c r="J119" s="3367">
        <f t="shared" si="36"/>
        <v>0.80889999999999995</v>
      </c>
      <c r="K119" s="3367">
        <f t="shared" si="36"/>
        <v>0.80889999999999995</v>
      </c>
      <c r="L119" s="3367">
        <f t="shared" si="36"/>
        <v>0.80889999999999995</v>
      </c>
      <c r="M119" s="3390">
        <f t="shared" si="36"/>
        <v>0.80889999999999995</v>
      </c>
      <c r="N119" s="3377"/>
    </row>
    <row r="120" spans="1:14">
      <c r="A120" s="3389" t="s">
        <v>3329</v>
      </c>
      <c r="B120" s="3367">
        <f>ROUND(0.9448-0.0115*B116,4)</f>
        <v>0.9264</v>
      </c>
      <c r="C120" s="3367">
        <f>B120</f>
        <v>0.9264</v>
      </c>
      <c r="D120" s="3367">
        <f>ROUND(0.937-0.0145*B116,4)</f>
        <v>0.91379999999999995</v>
      </c>
      <c r="E120" s="3367">
        <f t="shared" si="37"/>
        <v>0.91379999999999995</v>
      </c>
      <c r="F120" s="3367">
        <f t="shared" si="37"/>
        <v>0.91379999999999995</v>
      </c>
      <c r="G120" s="3367">
        <f t="shared" si="37"/>
        <v>0.91379999999999995</v>
      </c>
      <c r="H120" s="3367">
        <f t="shared" si="37"/>
        <v>0.91379999999999995</v>
      </c>
      <c r="I120" s="3367">
        <f>ROUND(0.7965-0.0185*B116,4)</f>
        <v>0.76690000000000003</v>
      </c>
      <c r="J120" s="3367">
        <f t="shared" si="36"/>
        <v>0.76690000000000003</v>
      </c>
      <c r="K120" s="3367">
        <f t="shared" si="36"/>
        <v>0.76690000000000003</v>
      </c>
      <c r="L120" s="3367">
        <f t="shared" si="36"/>
        <v>0.76690000000000003</v>
      </c>
      <c r="M120" s="3390">
        <f t="shared" si="36"/>
        <v>0.76690000000000003</v>
      </c>
      <c r="N120" s="3377"/>
    </row>
    <row r="121" spans="1:14" ht="13.5" thickBot="1">
      <c r="A121" s="3391" t="s">
        <v>3330</v>
      </c>
      <c r="B121" s="3392">
        <f>ROUND(0.7836-0.012*B116,4)</f>
        <v>0.76439999999999997</v>
      </c>
      <c r="C121" s="3392">
        <f>B121</f>
        <v>0.76439999999999997</v>
      </c>
      <c r="D121" s="3392">
        <f>ROUND(0.753-0.015*B116,4)</f>
        <v>0.72899999999999998</v>
      </c>
      <c r="E121" s="3392">
        <f>D121</f>
        <v>0.72899999999999998</v>
      </c>
      <c r="F121" s="3392">
        <f>E121</f>
        <v>0.72899999999999998</v>
      </c>
      <c r="G121" s="3392">
        <f>ROUND(0.6612-0.018*B116,4)</f>
        <v>0.63239999999999996</v>
      </c>
      <c r="H121" s="3392">
        <f>G121</f>
        <v>0.63239999999999996</v>
      </c>
      <c r="I121" s="3392">
        <f>ROUND(0.5905-0.019*B116,4)</f>
        <v>0.56010000000000004</v>
      </c>
      <c r="J121" s="3392">
        <f t="shared" si="36"/>
        <v>0.56010000000000004</v>
      </c>
      <c r="K121" s="3392">
        <f t="shared" si="36"/>
        <v>0.56010000000000004</v>
      </c>
      <c r="L121" s="3392">
        <f t="shared" si="36"/>
        <v>0.56010000000000004</v>
      </c>
      <c r="M121" s="3393">
        <f t="shared" si="36"/>
        <v>0.56010000000000004</v>
      </c>
      <c r="N121" s="3377"/>
    </row>
    <row r="122" spans="1:14">
      <c r="A122" s="3394" t="s">
        <v>2611</v>
      </c>
      <c r="B122" s="3367">
        <f>ROUND(0.9404-0.0106*B116,4)</f>
        <v>0.9234</v>
      </c>
      <c r="C122" s="3367">
        <f>B122</f>
        <v>0.9234</v>
      </c>
      <c r="D122" s="3367">
        <f>ROUND(0.8955-0.0135*B116,4)</f>
        <v>0.87390000000000001</v>
      </c>
      <c r="E122" s="3367">
        <f t="shared" ref="E122:H122" si="38">D122</f>
        <v>0.87390000000000001</v>
      </c>
      <c r="F122" s="3367">
        <f t="shared" si="38"/>
        <v>0.87390000000000001</v>
      </c>
      <c r="G122" s="3367">
        <f t="shared" si="38"/>
        <v>0.87390000000000001</v>
      </c>
      <c r="H122" s="3367">
        <f t="shared" si="38"/>
        <v>0.87390000000000001</v>
      </c>
      <c r="I122" s="3367">
        <f>ROUND(0.7632-0.0166*B116,4)</f>
        <v>0.73660000000000003</v>
      </c>
      <c r="J122" s="3367">
        <f t="shared" si="36"/>
        <v>0.73660000000000003</v>
      </c>
      <c r="K122" s="3367">
        <f t="shared" si="36"/>
        <v>0.73660000000000003</v>
      </c>
      <c r="L122" s="3367">
        <f t="shared" si="36"/>
        <v>0.73660000000000003</v>
      </c>
      <c r="M122" s="3390">
        <f t="shared" si="36"/>
        <v>0.73660000000000003</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37.69</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19463</v>
      </c>
      <c r="C2" s="1387" t="s">
        <v>805</v>
      </c>
      <c r="D2" s="1387"/>
      <c r="E2" s="1388"/>
      <c r="F2" s="1389"/>
      <c r="G2" s="2685"/>
      <c r="H2" s="2674"/>
      <c r="I2" s="2674"/>
      <c r="J2" s="2674"/>
      <c r="K2" s="2675"/>
      <c r="L2" s="2674"/>
      <c r="M2" s="2674"/>
    </row>
    <row r="3" spans="1:37" ht="18" customHeight="1" thickBot="1">
      <c r="A3" s="1390" t="s">
        <v>806</v>
      </c>
      <c r="B3" s="1391">
        <f ca="1">IF(ISERROR(B2*10000/F43),0,ROUND(B2*10000/F43,0))</f>
        <v>14321</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1085</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1084</v>
      </c>
      <c r="D6" s="155" t="s">
        <v>2108</v>
      </c>
      <c r="E6" s="302" t="s">
        <v>696</v>
      </c>
      <c r="F6" s="303">
        <f ca="1">INDIRECT("'数据-取费表'!u"&amp;$G$1)</f>
        <v>2.2999999999999998</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13590.15</v>
      </c>
      <c r="G7" s="1384"/>
      <c r="H7" s="304"/>
      <c r="I7" s="3671"/>
      <c r="J7" s="306"/>
      <c r="K7" s="307"/>
      <c r="L7" s="302" t="s">
        <v>697</v>
      </c>
      <c r="M7" s="303">
        <f ca="1">F7</f>
        <v>13590.15</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0.05</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3396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6262</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5436</v>
      </c>
      <c r="D14" s="1345" t="s">
        <v>708</v>
      </c>
      <c r="E14" s="1342"/>
      <c r="F14" s="319"/>
      <c r="G14" s="1384"/>
      <c r="H14" s="982" t="s">
        <v>398</v>
      </c>
      <c r="I14" s="302" t="s">
        <v>709</v>
      </c>
      <c r="J14" s="21">
        <f ca="1">C29</f>
        <v>7198</v>
      </c>
      <c r="K14" s="12"/>
      <c r="L14" s="807"/>
      <c r="M14" s="808"/>
    </row>
    <row r="15" spans="1:37" s="1397" customFormat="1" ht="18" customHeight="1" thickBot="1">
      <c r="A15" s="982" t="s">
        <v>399</v>
      </c>
      <c r="B15" s="302" t="s">
        <v>710</v>
      </c>
      <c r="C15" s="21">
        <f ca="1">ROUND(C14*F15,0)</f>
        <v>272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272</v>
      </c>
      <c r="D17" s="302" t="s">
        <v>717</v>
      </c>
      <c r="E17" s="302" t="s">
        <v>718</v>
      </c>
      <c r="F17" s="23">
        <f>'数据-取费表'!B35</f>
        <v>200</v>
      </c>
      <c r="G17" s="1396"/>
      <c r="H17" s="982" t="s">
        <v>398</v>
      </c>
      <c r="I17" s="302" t="s">
        <v>719</v>
      </c>
      <c r="J17" s="2315">
        <f ca="1">ROUND(IF(AND(项目基本情况!B11="自然人",项目基本情况!B10="北京市"),J6*M17/(1+'数据-取费表'!C42),J18+J19+J20),2)</f>
        <v>2.39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6089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122</v>
      </c>
      <c r="D20" s="323" t="s">
        <v>729</v>
      </c>
      <c r="E20" s="302" t="s">
        <v>712</v>
      </c>
      <c r="F20" s="322">
        <f>'数据-取费表'!B37</f>
        <v>0.02</v>
      </c>
      <c r="G20" s="1396"/>
      <c r="H20" s="982" t="s">
        <v>680</v>
      </c>
      <c r="I20" s="155" t="s">
        <v>730</v>
      </c>
      <c r="J20" s="22">
        <f ca="1">ROUND(M20*M21/10000,2)</f>
        <v>2.39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7963.76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144</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311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7198</v>
      </c>
      <c r="D29" s="1092"/>
      <c r="E29" s="1090"/>
      <c r="F29" s="1093"/>
      <c r="G29" s="1396"/>
      <c r="H29" s="334" t="s">
        <v>396</v>
      </c>
      <c r="I29" s="335" t="s">
        <v>768</v>
      </c>
      <c r="J29" s="336">
        <f ca="1">ROUND(J26/(1+F40)^F41,0)</f>
        <v>0</v>
      </c>
      <c r="K29" s="337" t="s">
        <v>769</v>
      </c>
      <c r="L29" s="338"/>
      <c r="M29" s="339">
        <f ca="1">INDIRECT("'数据-取费表'!k"&amp;$G$1)</f>
        <v>13590.15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215</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ROUND(IF(AND(项目基本情况!B11="自然人",项目基本情况!B10="北京市"),C6*F31/(1+'数据-取费表'!C42),C32+C33+C34),2)</f>
        <v>183.06</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IF(项目基本情况!B11="自然人","——",ROUND(C6*F32/(1+'数据-取费表'!C42),2))</f>
        <v>56.78</v>
      </c>
      <c r="D32" s="1344" t="s">
        <v>724</v>
      </c>
      <c r="E32" s="302" t="s">
        <v>712</v>
      </c>
      <c r="F32" s="331">
        <f>'数据-取费表'!B41</f>
        <v>5.5000000000000007E-2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123.89</v>
      </c>
      <c r="D33" s="1370" t="s">
        <v>3335</v>
      </c>
      <c r="E33" s="302" t="s">
        <v>712</v>
      </c>
      <c r="F33" s="322">
        <f>IF(D33="按票据","——",IF(D33="按租金收入计税",'数据-取费表'!B51,'数据-取费表'!B50))</f>
        <v>0.12</v>
      </c>
      <c r="G33" s="1384"/>
      <c r="H33" s="2679">
        <f>55.96*2</f>
        <v>111.92</v>
      </c>
      <c r="I33" s="1398"/>
      <c r="J33" s="1399"/>
      <c r="K33" s="2680"/>
      <c r="L33" s="2679"/>
      <c r="M33" s="2679"/>
    </row>
    <row r="34" spans="1:18" ht="18" customHeight="1">
      <c r="A34" s="1069" t="s">
        <v>680</v>
      </c>
      <c r="B34" s="155" t="s">
        <v>730</v>
      </c>
      <c r="C34" s="22">
        <f ca="1">IF(项目基本情况!B11="自然人","——",ROUND(F34*F35/10000,2))</f>
        <v>2.39</v>
      </c>
      <c r="D34" s="324" t="s">
        <v>731</v>
      </c>
      <c r="E34" s="302" t="s">
        <v>732</v>
      </c>
      <c r="F34" s="325">
        <f>'数据-取费表'!B52</f>
        <v>3</v>
      </c>
      <c r="G34" s="1384"/>
      <c r="H34" s="3458">
        <f>3.807776*2</f>
        <v>7.6155520000000001</v>
      </c>
      <c r="I34" s="1398"/>
      <c r="J34" s="1399"/>
      <c r="K34" s="2681"/>
      <c r="L34" s="2682"/>
      <c r="M34" s="2682"/>
    </row>
    <row r="35" spans="1:18" ht="18" customHeight="1">
      <c r="A35" s="1103"/>
      <c r="B35" s="1101"/>
      <c r="C35" s="26"/>
      <c r="D35" s="327"/>
      <c r="E35" s="302" t="s">
        <v>736</v>
      </c>
      <c r="F35" s="303">
        <f ca="1">INDIRECT("'数据-取费表'!r"&amp;$G$1)</f>
        <v>7963.76</v>
      </c>
      <c r="G35" s="1384"/>
      <c r="H35" s="2676"/>
      <c r="I35" s="1398"/>
      <c r="J35" s="1399"/>
      <c r="K35" s="2680"/>
      <c r="L35" s="2679"/>
      <c r="M35" s="2679"/>
    </row>
    <row r="36" spans="1:18" ht="18" customHeight="1">
      <c r="A36" s="1102" t="s">
        <v>402</v>
      </c>
      <c r="B36" s="302" t="s">
        <v>738</v>
      </c>
      <c r="C36" s="21">
        <f ca="1">ROUND(C29*F36,2)</f>
        <v>14.4</v>
      </c>
      <c r="D36" s="1344" t="s">
        <v>771</v>
      </c>
      <c r="E36" s="302" t="s">
        <v>712</v>
      </c>
      <c r="F36" s="328">
        <f ca="1">INDIRECT("'数据-取费表'!Ak"&amp;$G$1)</f>
        <v>2E-3</v>
      </c>
      <c r="G36" s="1384"/>
      <c r="H36" s="2679"/>
      <c r="I36" s="1398"/>
      <c r="J36" s="1399"/>
      <c r="K36" s="2524"/>
      <c r="L36" s="2679"/>
      <c r="M36" s="2679"/>
    </row>
    <row r="37" spans="1:18" ht="18" customHeight="1">
      <c r="A37" s="982" t="s">
        <v>437</v>
      </c>
      <c r="B37" s="302" t="s">
        <v>742</v>
      </c>
      <c r="C37" s="21">
        <f ca="1">ROUND(C13*F37,2)</f>
        <v>6.26</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10.85</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870</v>
      </c>
      <c r="D39" s="1095" t="s">
        <v>773</v>
      </c>
      <c r="E39" s="1096"/>
      <c r="F39" s="1097"/>
      <c r="G39" s="1384"/>
      <c r="H39" s="2679">
        <f ca="1">C39/C6</f>
        <v>0.80258302583025831</v>
      </c>
      <c r="I39" s="1398"/>
      <c r="J39" s="1399"/>
      <c r="K39" s="2683"/>
      <c r="L39" s="2679"/>
      <c r="M39" s="2679"/>
    </row>
    <row r="40" spans="1:18" ht="18" customHeight="1">
      <c r="A40" s="299" t="s">
        <v>395</v>
      </c>
      <c r="B40" s="300" t="s">
        <v>774</v>
      </c>
      <c r="C40" s="301">
        <f ca="1">ROUND(C39*(1-((1+F42)/(1+F40))^F41)/(F40-F42),0)</f>
        <v>19274</v>
      </c>
      <c r="D40" s="324" t="s">
        <v>758</v>
      </c>
      <c r="E40" s="302" t="s">
        <v>759</v>
      </c>
      <c r="F40" s="312">
        <f ca="1">INDIRECT("'数据-取费表'!I"&amp;$G$1)</f>
        <v>0.05</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37.69</v>
      </c>
      <c r="G41" s="1384"/>
      <c r="H41" s="1191"/>
      <c r="I41" s="1398"/>
      <c r="J41" s="1399"/>
      <c r="K41" s="2524"/>
      <c r="L41" s="1191"/>
      <c r="M41" s="1191"/>
    </row>
    <row r="42" spans="1:18" ht="18" customHeight="1">
      <c r="A42" s="308"/>
      <c r="B42" s="309"/>
      <c r="C42" s="310"/>
      <c r="D42" s="327"/>
      <c r="E42" s="302" t="s">
        <v>766</v>
      </c>
      <c r="F42" s="312">
        <f ca="1">INDIRECT("'数据-取费表'!v"&amp;$G$1)</f>
        <v>0.02</v>
      </c>
      <c r="G42" s="1384"/>
      <c r="H42" s="1191"/>
      <c r="I42" s="1398"/>
      <c r="J42" s="1399"/>
      <c r="K42" s="2524"/>
      <c r="L42" s="1191"/>
      <c r="M42" s="1191"/>
    </row>
    <row r="43" spans="1:18" ht="18" customHeight="1" thickBot="1">
      <c r="A43" s="334" t="s">
        <v>396</v>
      </c>
      <c r="B43" s="335" t="s">
        <v>776</v>
      </c>
      <c r="C43" s="336">
        <f ca="1">ROUND(C40*10000/F43,0)</f>
        <v>14182</v>
      </c>
      <c r="D43" s="337" t="s">
        <v>777</v>
      </c>
      <c r="E43" s="338" t="s">
        <v>778</v>
      </c>
      <c r="F43" s="339">
        <f ca="1">INDIRECT("'数据-取费表'!k"&amp;$G$1)</f>
        <v>13590.15</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-19661</v>
      </c>
      <c r="D46" s="1406" t="str">
        <f>C2</f>
        <v>万元</v>
      </c>
      <c r="E46" s="1400"/>
      <c r="F46" s="1400"/>
      <c r="I46" s="1407" t="s">
        <v>810</v>
      </c>
      <c r="J46" s="1408"/>
      <c r="K46" s="1409"/>
      <c r="L46" s="1410">
        <f ca="1">IF(M47="住宅",0,IF(L48&gt;J51,L60,J60))</f>
        <v>189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19274</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37.69</v>
      </c>
      <c r="O48" s="1418" t="s">
        <v>404</v>
      </c>
      <c r="P48" s="1419" t="s">
        <v>821</v>
      </c>
      <c r="Q48" s="1420">
        <f ca="1">J60</f>
        <v>189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2014</v>
      </c>
      <c r="K49" s="1423" t="s">
        <v>824</v>
      </c>
      <c r="L49" s="1427"/>
      <c r="O49" s="1428" t="s">
        <v>405</v>
      </c>
      <c r="P49" s="1419" t="s">
        <v>825</v>
      </c>
      <c r="Q49" s="1420">
        <f ca="1">C29</f>
        <v>7198</v>
      </c>
      <c r="R49" s="1420" t="s">
        <v>818</v>
      </c>
    </row>
    <row r="50" spans="1:18" s="1384" customFormat="1" ht="13.5" thickBot="1">
      <c r="A50" s="976"/>
      <c r="B50" s="979"/>
      <c r="C50" s="1118"/>
      <c r="D50" s="953"/>
      <c r="E50" s="1056" t="s">
        <v>697</v>
      </c>
      <c r="F50" s="1057">
        <f ca="1">F7</f>
        <v>13590.15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8530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37.69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37.69</v>
      </c>
      <c r="K53" s="3668" t="s">
        <v>837</v>
      </c>
      <c r="L53" s="3669"/>
      <c r="O53" s="1418" t="s">
        <v>409</v>
      </c>
      <c r="P53" s="1419" t="s">
        <v>838</v>
      </c>
      <c r="Q53" s="1420">
        <f ca="1">Q47+Q48</f>
        <v>19463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6262</v>
      </c>
      <c r="D56" s="1447"/>
      <c r="E56" s="1448"/>
      <c r="F56" s="1440"/>
      <c r="I56" s="1449" t="s">
        <v>842</v>
      </c>
      <c r="J56" s="1450" t="s">
        <v>3399</v>
      </c>
      <c r="K56" s="1421" t="s">
        <v>843</v>
      </c>
      <c r="L56" s="1424" t="str">
        <f ca="1">IF(L48&lt;J51,"——",L48-J53)</f>
        <v>——</v>
      </c>
      <c r="O56" s="1418" t="s">
        <v>403</v>
      </c>
      <c r="P56" s="1419" t="s">
        <v>817</v>
      </c>
      <c r="Q56" s="1420">
        <f ca="1">C40+J29</f>
        <v>19274</v>
      </c>
      <c r="R56" s="1420" t="s">
        <v>818</v>
      </c>
    </row>
    <row r="57" spans="1:18" s="1384" customFormat="1" ht="24.75" thickBot="1">
      <c r="A57" s="1451"/>
      <c r="B57" s="950" t="s">
        <v>767</v>
      </c>
      <c r="C57" s="238">
        <f ca="1">C29</f>
        <v>7198</v>
      </c>
      <c r="D57" s="1452"/>
      <c r="E57" s="1453"/>
      <c r="F57" s="1454"/>
      <c r="I57" s="1455" t="s">
        <v>844</v>
      </c>
      <c r="J57" s="1456">
        <f ca="1">IF(OR(M47="住宅",J51&lt;L48,J56="是"),"——",J51-L48)</f>
        <v>12.310000000000002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2879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2.39</v>
      </c>
      <c r="D62" s="965" t="s">
        <v>786</v>
      </c>
      <c r="E62" s="950" t="s">
        <v>787</v>
      </c>
      <c r="F62" s="325">
        <f t="shared" si="0"/>
        <v>3</v>
      </c>
      <c r="I62" s="1462" t="s">
        <v>858</v>
      </c>
      <c r="J62" s="1463" t="s">
        <v>859</v>
      </c>
      <c r="K62" s="1463" t="s">
        <v>860</v>
      </c>
      <c r="L62" s="1463" t="s">
        <v>861</v>
      </c>
      <c r="M62" s="1464" t="s">
        <v>862</v>
      </c>
      <c r="O62" s="1418" t="s">
        <v>409</v>
      </c>
      <c r="P62" s="1419" t="s">
        <v>863</v>
      </c>
      <c r="Q62" s="1420">
        <f ca="1">Q56+Q57</f>
        <v>19274</v>
      </c>
      <c r="R62" s="1420" t="s">
        <v>410</v>
      </c>
    </row>
    <row r="63" spans="1:18" s="1384" customFormat="1" ht="13.5" thickBot="1">
      <c r="A63" s="326"/>
      <c r="B63" s="956"/>
      <c r="C63" s="26"/>
      <c r="D63" s="966"/>
      <c r="E63" s="950" t="s">
        <v>788</v>
      </c>
      <c r="F63" s="303">
        <f t="shared" ca="1" si="0"/>
        <v>7963.76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6.26</v>
      </c>
      <c r="D65" s="964" t="s">
        <v>743</v>
      </c>
      <c r="E65" s="950" t="s">
        <v>744</v>
      </c>
      <c r="F65" s="330">
        <f t="shared" ca="1" si="0"/>
        <v>1E-3</v>
      </c>
      <c r="I65" s="1462" t="s">
        <v>867</v>
      </c>
      <c r="J65" s="1463">
        <v>40</v>
      </c>
      <c r="K65" s="1463">
        <v>30</v>
      </c>
      <c r="L65" s="1463">
        <v>50</v>
      </c>
      <c r="M65" s="1465">
        <v>0.02</v>
      </c>
      <c r="O65" s="1418" t="s">
        <v>403</v>
      </c>
      <c r="P65" s="1419" t="s">
        <v>868</v>
      </c>
      <c r="Q65" s="1420">
        <f ca="1">C40+J29</f>
        <v>19274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v>
      </c>
      <c r="D67" s="963" t="s">
        <v>753</v>
      </c>
      <c r="E67" s="968"/>
      <c r="F67" s="969"/>
      <c r="O67" s="1428" t="s">
        <v>405</v>
      </c>
      <c r="P67" s="1419" t="s">
        <v>850</v>
      </c>
      <c r="Q67" s="1466">
        <f ca="1">L51</f>
        <v>8530</v>
      </c>
      <c r="R67" s="1420" t="s">
        <v>870</v>
      </c>
    </row>
    <row r="68" spans="1:18" s="1384" customFormat="1" ht="16.5" thickBot="1">
      <c r="A68" s="947" t="s">
        <v>395</v>
      </c>
      <c r="B68" s="948" t="s">
        <v>774</v>
      </c>
      <c r="C68" s="301">
        <f ca="1">ROUND(C67*(1-((1+F70)/(1+F68))^F69)/(F68-F70),0)</f>
        <v>-387</v>
      </c>
      <c r="D68" s="965" t="s">
        <v>758</v>
      </c>
      <c r="E68" s="950" t="s">
        <v>759</v>
      </c>
      <c r="F68" s="312">
        <f ca="1">F40</f>
        <v>0.05</v>
      </c>
      <c r="O68" s="1428" t="s">
        <v>406</v>
      </c>
      <c r="P68" s="1467" t="s">
        <v>871</v>
      </c>
      <c r="Q68" s="1420">
        <f ca="1">ROUND(Q69-Q70*Q71,0)</f>
        <v>432</v>
      </c>
      <c r="R68" s="1420" t="s">
        <v>414</v>
      </c>
    </row>
    <row r="69" spans="1:18" s="1384" customFormat="1" ht="13.5" thickBot="1">
      <c r="A69" s="951"/>
      <c r="B69" s="952"/>
      <c r="C69" s="306"/>
      <c r="D69" s="970" t="s">
        <v>762</v>
      </c>
      <c r="E69" s="950" t="s">
        <v>763</v>
      </c>
      <c r="F69" s="333">
        <f ca="1">F41</f>
        <v>37.69</v>
      </c>
      <c r="O69" s="1428" t="s">
        <v>411</v>
      </c>
      <c r="P69" s="1467" t="s">
        <v>872</v>
      </c>
      <c r="Q69" s="1420">
        <f ca="1">C39</f>
        <v>870</v>
      </c>
      <c r="R69" s="1420" t="s">
        <v>818</v>
      </c>
    </row>
    <row r="70" spans="1:18" s="1384" customFormat="1" ht="13.5" thickBot="1">
      <c r="A70" s="954"/>
      <c r="B70" s="955"/>
      <c r="C70" s="310"/>
      <c r="D70" s="966"/>
      <c r="E70" s="950" t="s">
        <v>766</v>
      </c>
      <c r="F70" s="1054"/>
      <c r="O70" s="1428" t="s">
        <v>412</v>
      </c>
      <c r="P70" s="1467" t="s">
        <v>873</v>
      </c>
      <c r="Q70" s="1420">
        <f ca="1">C13</f>
        <v>6262</v>
      </c>
      <c r="R70" s="1420" t="s">
        <v>818</v>
      </c>
    </row>
    <row r="71" spans="1:18" s="1384" customFormat="1" ht="13.5" thickBot="1">
      <c r="A71" s="971" t="s">
        <v>396</v>
      </c>
      <c r="B71" s="972" t="s">
        <v>776</v>
      </c>
      <c r="C71" s="336">
        <f ca="1">ROUND(C68*10000/F71,0)</f>
        <v>-285</v>
      </c>
      <c r="D71" s="973" t="s">
        <v>777</v>
      </c>
      <c r="E71" s="974" t="s">
        <v>778</v>
      </c>
      <c r="F71" s="339">
        <f ca="1">F43</f>
        <v>13590.15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438</v>
      </c>
      <c r="D75" s="1384"/>
      <c r="E75" s="1384"/>
      <c r="F75" s="1384"/>
      <c r="K75" s="1402"/>
      <c r="L75" s="1384"/>
      <c r="O75" s="1418" t="s">
        <v>409</v>
      </c>
      <c r="P75" s="1419" t="s">
        <v>838</v>
      </c>
      <c r="Q75" s="1420">
        <f ca="1">Q65+Q66</f>
        <v>19274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0.497</v>
      </c>
    </row>
    <row r="80" spans="1:18">
      <c r="B80" s="340" t="s">
        <v>800</v>
      </c>
      <c r="C80" s="274">
        <f ca="1">ROUND(C75/C39,3)</f>
        <v>0.503</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3</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3351</v>
      </c>
      <c r="B45" s="1400"/>
      <c r="C45" s="1472" t="e">
        <f ca="1">ROUND((C68-C40)/10000,4)</f>
        <v>#DIV/0!</v>
      </c>
      <c r="D45" s="3411"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2434</v>
      </c>
      <c r="B1" s="2811"/>
      <c r="C1" s="2823"/>
      <c r="D1" s="2823"/>
      <c r="E1" s="2812"/>
      <c r="F1" s="2813"/>
      <c r="G1" s="2814"/>
      <c r="J1" s="2817" t="s">
        <v>2313</v>
      </c>
      <c r="K1" s="2818"/>
      <c r="L1" s="2818"/>
      <c r="M1" s="2818"/>
      <c r="N1" s="2818"/>
      <c r="O1" s="2818"/>
      <c r="P1" s="2818"/>
      <c r="Q1" s="2818"/>
      <c r="R1" s="2819"/>
      <c r="S1" s="2820"/>
      <c r="T1" s="2820"/>
      <c r="U1" s="2820"/>
    </row>
    <row r="2" spans="1:22" s="2832" customFormat="1" ht="13.15" customHeight="1">
      <c r="A2" s="1385" t="s">
        <v>2314</v>
      </c>
      <c r="B2" s="2822" t="e">
        <f>IF(D2="——",C40,C40+E2)</f>
        <v>#DIV/0!</v>
      </c>
      <c r="C2" s="2823" t="s">
        <v>2315</v>
      </c>
      <c r="D2" s="3422" t="s">
        <v>3358</v>
      </c>
      <c r="E2" s="3423"/>
      <c r="F2" s="2825"/>
      <c r="G2" s="2826"/>
      <c r="H2" s="2827"/>
      <c r="I2" s="2828"/>
      <c r="J2" s="3679" t="s">
        <v>2316</v>
      </c>
      <c r="K2" s="3680"/>
      <c r="L2" s="2829" t="s">
        <v>2317</v>
      </c>
      <c r="M2" s="2829" t="s">
        <v>2318</v>
      </c>
      <c r="N2" s="2829" t="s">
        <v>2319</v>
      </c>
      <c r="O2" s="2829" t="s">
        <v>2320</v>
      </c>
      <c r="P2" s="2829" t="s">
        <v>2321</v>
      </c>
      <c r="Q2" s="2830" t="s">
        <v>2322</v>
      </c>
      <c r="R2" s="2831" t="s">
        <v>2323</v>
      </c>
      <c r="S2" s="2820"/>
      <c r="T2" s="2820"/>
      <c r="U2" s="2820"/>
      <c r="V2" s="2828"/>
    </row>
    <row r="3" spans="1:22" s="2832" customFormat="1" ht="13.15" customHeight="1">
      <c r="A3" s="2833" t="s">
        <v>2324</v>
      </c>
      <c r="B3" s="2834" t="e">
        <f>ROUND(B2*10000/B4,0)</f>
        <v>#DIV/0!</v>
      </c>
      <c r="C3" s="2823" t="s">
        <v>2325</v>
      </c>
      <c r="D3" s="2823"/>
      <c r="E3" s="2824"/>
      <c r="F3" s="2825"/>
      <c r="G3" s="2826"/>
      <c r="H3" s="2827"/>
      <c r="I3" s="2828"/>
      <c r="J3" s="3681" t="s">
        <v>2326</v>
      </c>
      <c r="K3" s="3682"/>
      <c r="L3" s="2835"/>
      <c r="M3" s="2835"/>
      <c r="N3" s="2835"/>
      <c r="O3" s="2835"/>
      <c r="P3" s="2835"/>
      <c r="Q3" s="2836"/>
      <c r="R3" s="2837">
        <f>SUM(L3:Q3)</f>
        <v>0</v>
      </c>
      <c r="S3" s="2820"/>
      <c r="T3" s="2820"/>
      <c r="U3" s="2820"/>
      <c r="V3" s="2828"/>
    </row>
    <row r="4" spans="1:22" s="2832" customFormat="1" ht="13.15" customHeight="1">
      <c r="A4" s="2838" t="s">
        <v>2327</v>
      </c>
      <c r="B4" s="2839"/>
      <c r="C4" s="2823"/>
      <c r="D4" s="2823"/>
      <c r="E4" s="2824"/>
      <c r="F4" s="2825"/>
      <c r="G4" s="2826"/>
      <c r="H4" s="2827"/>
      <c r="I4" s="2828"/>
      <c r="J4" s="3681" t="s">
        <v>2328</v>
      </c>
      <c r="K4" s="3682"/>
      <c r="L4" s="2840"/>
      <c r="M4" s="2840"/>
      <c r="N4" s="2840"/>
      <c r="O4" s="2840"/>
      <c r="P4" s="2840"/>
      <c r="Q4" s="2841"/>
      <c r="R4" s="2842">
        <f>SUM(L4:Q4)</f>
        <v>0</v>
      </c>
      <c r="S4" s="2820"/>
      <c r="T4" s="2820"/>
      <c r="U4" s="2820"/>
      <c r="V4" s="2828"/>
    </row>
    <row r="5" spans="1:22" s="2832" customFormat="1" ht="13.15" customHeight="1" thickBot="1">
      <c r="A5" s="2843" t="s">
        <v>2329</v>
      </c>
      <c r="B5" s="2844"/>
      <c r="C5" s="2823"/>
      <c r="D5" s="2845"/>
      <c r="E5" s="2825"/>
      <c r="F5" s="2825"/>
      <c r="G5" s="2826"/>
      <c r="H5" s="2827"/>
      <c r="I5" s="2828"/>
      <c r="J5" s="2846" t="s">
        <v>2330</v>
      </c>
      <c r="K5" s="2847"/>
      <c r="L5" s="2847"/>
      <c r="M5" s="2848"/>
      <c r="N5" s="2848"/>
      <c r="O5" s="2848"/>
      <c r="P5" s="2848"/>
      <c r="Q5" s="2848"/>
      <c r="R5" s="2831">
        <f>SUM(R14,R19,R24,R25,R27,R28)</f>
        <v>0</v>
      </c>
      <c r="S5" s="2820"/>
      <c r="T5" s="2820" t="s">
        <v>2331</v>
      </c>
      <c r="U5" s="2820" t="e">
        <f>ROUND(R5*10000/365/R3,1)</f>
        <v>#DIV/0!</v>
      </c>
      <c r="V5" s="2828"/>
    </row>
    <row r="6" spans="1:22" s="2832" customFormat="1" ht="13.15" customHeight="1" thickBot="1">
      <c r="A6" s="3687" t="s">
        <v>2332</v>
      </c>
      <c r="B6" s="3688"/>
      <c r="C6" s="3689"/>
      <c r="D6" s="2849"/>
      <c r="E6" s="2850"/>
      <c r="F6" s="2851"/>
      <c r="G6" s="2852"/>
      <c r="H6" s="2827"/>
      <c r="I6" s="2828"/>
      <c r="J6" s="3673">
        <v>1</v>
      </c>
      <c r="K6" s="3674" t="s">
        <v>2333</v>
      </c>
      <c r="L6" s="2853" t="s">
        <v>2334</v>
      </c>
      <c r="M6" s="2854" t="s">
        <v>2335</v>
      </c>
      <c r="N6" s="2854" t="s">
        <v>2336</v>
      </c>
      <c r="O6" s="2854" t="s">
        <v>2337</v>
      </c>
      <c r="P6" s="2854" t="s">
        <v>2338</v>
      </c>
      <c r="Q6" s="2854" t="s">
        <v>2339</v>
      </c>
      <c r="R6" s="2837" t="s">
        <v>2340</v>
      </c>
      <c r="S6" s="2820"/>
      <c r="T6" s="2820" t="s">
        <v>2341</v>
      </c>
      <c r="U6" s="2820"/>
      <c r="V6" s="2828"/>
    </row>
    <row r="7" spans="1:22" s="2832" customFormat="1" ht="13.15" customHeight="1">
      <c r="A7" s="2855" t="s">
        <v>2342</v>
      </c>
      <c r="B7" s="2856"/>
      <c r="C7" s="2857"/>
      <c r="D7" s="2858">
        <f>SUM(D9,D10,D11,D17,0)</f>
        <v>0</v>
      </c>
      <c r="E7" s="2859" t="e">
        <f>E9+E10+E11+E17</f>
        <v>#DIV/0!</v>
      </c>
      <c r="F7" s="2860"/>
      <c r="G7" s="2861"/>
      <c r="H7" s="2827"/>
      <c r="I7" s="2828"/>
      <c r="J7" s="3673"/>
      <c r="K7" s="3675"/>
      <c r="L7" s="2862" t="s">
        <v>2343</v>
      </c>
      <c r="M7" s="2863"/>
      <c r="N7" s="2839"/>
      <c r="O7" s="2864"/>
      <c r="P7" s="2864"/>
      <c r="Q7" s="2865">
        <v>365</v>
      </c>
      <c r="R7" s="2866">
        <f>ROUND(M7*N7*O7*P7*Q7/10000,0)</f>
        <v>0</v>
      </c>
      <c r="S7" s="2820"/>
      <c r="T7" s="2820" t="s">
        <v>2344</v>
      </c>
      <c r="U7" s="2820"/>
      <c r="V7" s="2828"/>
    </row>
    <row r="8" spans="1:22" s="2832" customFormat="1" ht="13.15" customHeight="1">
      <c r="A8" s="2867" t="s">
        <v>2345</v>
      </c>
      <c r="B8" s="3690" t="s">
        <v>2346</v>
      </c>
      <c r="C8" s="3691"/>
      <c r="D8" s="2868" t="s">
        <v>2347</v>
      </c>
      <c r="E8" s="2869" t="s">
        <v>2348</v>
      </c>
      <c r="F8" s="2870" t="s">
        <v>2349</v>
      </c>
      <c r="G8" s="2871"/>
      <c r="H8" s="2827"/>
      <c r="I8" s="2828"/>
      <c r="J8" s="3673"/>
      <c r="K8" s="3675"/>
      <c r="L8" s="2862" t="s">
        <v>2350</v>
      </c>
      <c r="M8" s="2863"/>
      <c r="N8" s="2839"/>
      <c r="O8" s="2864"/>
      <c r="P8" s="2864"/>
      <c r="Q8" s="2865">
        <v>365</v>
      </c>
      <c r="R8" s="2866">
        <f t="shared" ref="R8:R13" si="0">ROUND(M8*N8*O8*P8*Q8/10000,0)</f>
        <v>0</v>
      </c>
      <c r="S8" s="2820"/>
      <c r="T8" s="2820" t="s">
        <v>2351</v>
      </c>
      <c r="U8" s="2820"/>
      <c r="V8" s="2828"/>
    </row>
    <row r="9" spans="1:22" s="2832" customFormat="1" ht="13.15" customHeight="1">
      <c r="A9" s="2867">
        <v>1</v>
      </c>
      <c r="B9" s="3690" t="s">
        <v>2352</v>
      </c>
      <c r="C9" s="3691"/>
      <c r="D9" s="2868">
        <f>ROUND(D6*E9,0)</f>
        <v>0</v>
      </c>
      <c r="E9" s="2872"/>
      <c r="F9" s="2873" t="s">
        <v>2353</v>
      </c>
      <c r="G9" s="2852"/>
      <c r="H9" s="2827"/>
      <c r="I9" s="2828"/>
      <c r="J9" s="3673"/>
      <c r="K9" s="3675"/>
      <c r="L9" s="2862" t="s">
        <v>2354</v>
      </c>
      <c r="M9" s="2863"/>
      <c r="N9" s="2839"/>
      <c r="O9" s="2864"/>
      <c r="P9" s="2864"/>
      <c r="Q9" s="2865">
        <v>365</v>
      </c>
      <c r="R9" s="2866">
        <f t="shared" si="0"/>
        <v>0</v>
      </c>
      <c r="S9" s="2820"/>
      <c r="T9" s="2820"/>
      <c r="U9" s="2820"/>
      <c r="V9" s="2828"/>
    </row>
    <row r="10" spans="1:22" s="2832" customFormat="1" ht="13.15" customHeight="1">
      <c r="A10" s="2867">
        <v>2</v>
      </c>
      <c r="B10" s="3690" t="s">
        <v>2355</v>
      </c>
      <c r="C10" s="3691"/>
      <c r="D10" s="2868">
        <f>ROUND(D6*E10,0)</f>
        <v>0</v>
      </c>
      <c r="E10" s="2872"/>
      <c r="F10" s="2873" t="s">
        <v>2356</v>
      </c>
      <c r="G10" s="2852"/>
      <c r="H10" s="2827"/>
      <c r="I10" s="2828"/>
      <c r="J10" s="3673"/>
      <c r="K10" s="3675"/>
      <c r="L10" s="2862" t="s">
        <v>2357</v>
      </c>
      <c r="M10" s="2863"/>
      <c r="N10" s="2839"/>
      <c r="O10" s="2864"/>
      <c r="P10" s="2864"/>
      <c r="Q10" s="2865">
        <v>365</v>
      </c>
      <c r="R10" s="2866">
        <f t="shared" si="0"/>
        <v>0</v>
      </c>
      <c r="S10" s="2820"/>
      <c r="T10" s="2820"/>
      <c r="U10" s="2820"/>
      <c r="V10" s="2828"/>
    </row>
    <row r="11" spans="1:22" s="2832" customFormat="1" ht="13.15" customHeight="1">
      <c r="A11" s="2867">
        <v>3</v>
      </c>
      <c r="B11" s="3690" t="s">
        <v>2358</v>
      </c>
      <c r="C11" s="3691"/>
      <c r="D11" s="2868">
        <f>D12+D14+D15+D16</f>
        <v>0</v>
      </c>
      <c r="E11" s="2874" t="e">
        <f>D11/D6</f>
        <v>#DIV/0!</v>
      </c>
      <c r="F11" s="2870"/>
      <c r="G11" s="2871"/>
      <c r="H11" s="2827"/>
      <c r="I11" s="2828"/>
      <c r="J11" s="3673"/>
      <c r="K11" s="3675"/>
      <c r="L11" s="2862" t="s">
        <v>2359</v>
      </c>
      <c r="M11" s="2863"/>
      <c r="N11" s="2839"/>
      <c r="O11" s="2864"/>
      <c r="P11" s="2864"/>
      <c r="Q11" s="2865">
        <v>365</v>
      </c>
      <c r="R11" s="2866">
        <f t="shared" si="0"/>
        <v>0</v>
      </c>
      <c r="S11" s="2820"/>
      <c r="T11" s="2820"/>
      <c r="U11" s="2820"/>
      <c r="V11" s="2828"/>
    </row>
    <row r="12" spans="1:22" s="2832" customFormat="1" ht="13.15" customHeight="1">
      <c r="A12" s="2875" t="s">
        <v>2360</v>
      </c>
      <c r="B12" s="3683" t="s">
        <v>2361</v>
      </c>
      <c r="C12" s="3684"/>
      <c r="D12" s="2876">
        <f>ROUND(D13*1.2%*(1-30%),0)</f>
        <v>0</v>
      </c>
      <c r="E12" s="2877">
        <v>1.2E-2</v>
      </c>
      <c r="F12" s="2870" t="s">
        <v>2362</v>
      </c>
      <c r="G12" s="2871"/>
      <c r="H12" s="2827"/>
      <c r="I12" s="2828"/>
      <c r="J12" s="3673"/>
      <c r="K12" s="3675"/>
      <c r="L12" s="2862" t="s">
        <v>2363</v>
      </c>
      <c r="M12" s="2863"/>
      <c r="N12" s="2839"/>
      <c r="O12" s="2864"/>
      <c r="P12" s="2864"/>
      <c r="Q12" s="2865">
        <v>365</v>
      </c>
      <c r="R12" s="2866">
        <f t="shared" si="0"/>
        <v>0</v>
      </c>
      <c r="S12" s="2820"/>
      <c r="T12" s="2820"/>
      <c r="U12" s="2820"/>
      <c r="V12" s="2828"/>
    </row>
    <row r="13" spans="1:22" s="2832" customFormat="1" ht="13.15" customHeight="1">
      <c r="A13" s="2875"/>
      <c r="B13" s="2878"/>
      <c r="C13" s="2879" t="s">
        <v>2364</v>
      </c>
      <c r="D13" s="2880"/>
      <c r="E13" s="2881"/>
      <c r="F13" s="2870"/>
      <c r="G13" s="2871"/>
      <c r="H13" s="2827"/>
      <c r="I13" s="2828"/>
      <c r="J13" s="3673"/>
      <c r="K13" s="3675"/>
      <c r="L13" s="2862" t="s">
        <v>2365</v>
      </c>
      <c r="M13" s="2863"/>
      <c r="N13" s="2839"/>
      <c r="O13" s="2864"/>
      <c r="P13" s="2864"/>
      <c r="Q13" s="2865">
        <v>365</v>
      </c>
      <c r="R13" s="2866">
        <f t="shared" si="0"/>
        <v>0</v>
      </c>
      <c r="S13" s="2820"/>
      <c r="T13" s="2820"/>
      <c r="U13" s="2820"/>
      <c r="V13" s="2828"/>
    </row>
    <row r="14" spans="1:22" s="2832" customFormat="1" ht="13.15" customHeight="1">
      <c r="A14" s="2875" t="s">
        <v>2366</v>
      </c>
      <c r="B14" s="3683" t="s">
        <v>2367</v>
      </c>
      <c r="C14" s="3684"/>
      <c r="D14" s="2876">
        <f>ROUND(E14*B5/10000,0)</f>
        <v>0</v>
      </c>
      <c r="E14" s="2865"/>
      <c r="F14" s="2870" t="s">
        <v>2368</v>
      </c>
      <c r="G14" s="2871"/>
      <c r="H14" s="2827"/>
      <c r="I14" s="2828"/>
      <c r="J14" s="3673"/>
      <c r="K14" s="3676"/>
      <c r="L14" s="2882" t="s">
        <v>2369</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2370</v>
      </c>
      <c r="B15" s="3683" t="s">
        <v>2371</v>
      </c>
      <c r="C15" s="3684"/>
      <c r="D15" s="2876">
        <f>ROUND(D6*E15,0)</f>
        <v>0</v>
      </c>
      <c r="E15" s="2877">
        <v>5.5E-2</v>
      </c>
      <c r="F15" s="2870" t="s">
        <v>2372</v>
      </c>
      <c r="G15" s="2852"/>
      <c r="H15" s="2827"/>
      <c r="I15" s="2828"/>
      <c r="J15" s="3673">
        <v>2</v>
      </c>
      <c r="K15" s="3674" t="s">
        <v>2373</v>
      </c>
      <c r="L15" s="2862" t="s">
        <v>2374</v>
      </c>
      <c r="M15" s="2863" t="s">
        <v>2375</v>
      </c>
      <c r="N15" s="2863" t="s">
        <v>2376</v>
      </c>
      <c r="O15" s="2864" t="s">
        <v>2377</v>
      </c>
      <c r="P15" s="2864" t="s">
        <v>2339</v>
      </c>
      <c r="Q15" s="2839" t="s">
        <v>2378</v>
      </c>
      <c r="R15" s="2886" t="s">
        <v>2340</v>
      </c>
      <c r="S15" s="2820"/>
      <c r="T15" s="2820"/>
      <c r="U15" s="2820"/>
      <c r="V15" s="2828"/>
    </row>
    <row r="16" spans="1:22" s="2832" customFormat="1" ht="13.15" customHeight="1">
      <c r="A16" s="2875" t="s">
        <v>2379</v>
      </c>
      <c r="B16" s="3683" t="s">
        <v>2380</v>
      </c>
      <c r="C16" s="3684"/>
      <c r="D16" s="2887">
        <f>D6*E16</f>
        <v>0</v>
      </c>
      <c r="E16" s="2888"/>
      <c r="F16" s="2873" t="s">
        <v>2381</v>
      </c>
      <c r="G16" s="2852"/>
      <c r="H16" s="2827"/>
      <c r="I16" s="2828"/>
      <c r="J16" s="3673"/>
      <c r="K16" s="3675"/>
      <c r="L16" s="2862" t="s">
        <v>2382</v>
      </c>
      <c r="M16" s="2863"/>
      <c r="N16" s="2863"/>
      <c r="O16" s="2864"/>
      <c r="P16" s="2865">
        <v>365</v>
      </c>
      <c r="Q16" s="2839"/>
      <c r="R16" s="2886">
        <f>ROUND(M16*N16*O16*P16/10000,0)</f>
        <v>0</v>
      </c>
      <c r="S16" s="2820"/>
      <c r="T16" s="2820"/>
      <c r="U16" s="2820"/>
      <c r="V16" s="2828"/>
    </row>
    <row r="17" spans="1:22" s="2832" customFormat="1" ht="13.15" customHeight="1" thickBot="1">
      <c r="A17" s="2889">
        <v>4</v>
      </c>
      <c r="B17" s="3685" t="s">
        <v>2383</v>
      </c>
      <c r="C17" s="3686"/>
      <c r="D17" s="2890">
        <f>ROUND(D6*E17,0)</f>
        <v>0</v>
      </c>
      <c r="E17" s="2891"/>
      <c r="F17" s="2892" t="s">
        <v>2384</v>
      </c>
      <c r="G17" s="2852"/>
      <c r="H17" s="2827"/>
      <c r="I17" s="2828"/>
      <c r="J17" s="3673"/>
      <c r="K17" s="3675"/>
      <c r="L17" s="2862" t="s">
        <v>2385</v>
      </c>
      <c r="M17" s="2863"/>
      <c r="N17" s="2863"/>
      <c r="O17" s="2864"/>
      <c r="P17" s="2865">
        <v>365</v>
      </c>
      <c r="Q17" s="2839"/>
      <c r="R17" s="2886">
        <f>ROUND(M17*N17*O17*P17/10000,0)</f>
        <v>0</v>
      </c>
      <c r="S17" s="2820"/>
      <c r="T17" s="2820"/>
      <c r="U17" s="2820"/>
      <c r="V17" s="2828"/>
    </row>
    <row r="18" spans="1:22" s="2832" customFormat="1" ht="13.15" customHeight="1" thickBot="1">
      <c r="A18" s="2855" t="s">
        <v>2386</v>
      </c>
      <c r="B18" s="2856"/>
      <c r="C18" s="2856"/>
      <c r="D18" s="2893">
        <f>ROUND(D6*E18,0)</f>
        <v>0</v>
      </c>
      <c r="E18" s="2894"/>
      <c r="F18" s="2895" t="s">
        <v>2387</v>
      </c>
      <c r="G18" s="2852"/>
      <c r="H18" s="2827"/>
      <c r="I18" s="2828"/>
      <c r="J18" s="3673"/>
      <c r="K18" s="3675"/>
      <c r="L18" s="2862" t="s">
        <v>2388</v>
      </c>
      <c r="M18" s="2863"/>
      <c r="N18" s="2863"/>
      <c r="O18" s="2864"/>
      <c r="P18" s="2865">
        <v>365</v>
      </c>
      <c r="Q18" s="2839"/>
      <c r="R18" s="2886">
        <f>ROUND(M18*N18*O18*P18/10000,0)</f>
        <v>0</v>
      </c>
      <c r="S18" s="2820"/>
      <c r="T18" s="2820"/>
      <c r="U18" s="2820"/>
      <c r="V18" s="2828"/>
    </row>
    <row r="19" spans="1:22" s="2832" customFormat="1" ht="13.15" customHeight="1" thickBot="1">
      <c r="A19" s="2896" t="s">
        <v>2389</v>
      </c>
      <c r="B19" s="2850"/>
      <c r="C19" s="2850"/>
      <c r="D19" s="2850"/>
      <c r="E19" s="2850"/>
      <c r="F19" s="2851"/>
      <c r="G19" s="2871"/>
      <c r="H19" s="2827"/>
      <c r="I19" s="2828"/>
      <c r="J19" s="3673"/>
      <c r="K19" s="3676"/>
      <c r="L19" s="2882" t="s">
        <v>2369</v>
      </c>
      <c r="M19" s="2883"/>
      <c r="N19" s="2883">
        <f>SUM(N16:N18)</f>
        <v>0</v>
      </c>
      <c r="O19" s="2884"/>
      <c r="P19" s="2897" t="s">
        <v>2433</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73">
        <v>3</v>
      </c>
      <c r="K20" s="3674" t="s">
        <v>2390</v>
      </c>
      <c r="L20" s="2862" t="s">
        <v>2391</v>
      </c>
      <c r="M20" s="2863" t="s">
        <v>2392</v>
      </c>
      <c r="N20" s="2900" t="s">
        <v>2393</v>
      </c>
      <c r="O20" s="2864" t="s">
        <v>2394</v>
      </c>
      <c r="P20" s="2865" t="s">
        <v>2395</v>
      </c>
      <c r="Q20" s="2839" t="s">
        <v>2396</v>
      </c>
      <c r="R20" s="2886" t="s">
        <v>2397</v>
      </c>
      <c r="S20" s="2901"/>
      <c r="T20" s="2901"/>
      <c r="U20" s="2901"/>
      <c r="V20" s="2828"/>
    </row>
    <row r="21" spans="1:22" s="2832" customFormat="1" ht="13.15" customHeight="1">
      <c r="A21" s="2855"/>
      <c r="B21" s="2856"/>
      <c r="C21" s="2902" t="s">
        <v>2398</v>
      </c>
      <c r="D21" s="2903" t="s">
        <v>2399</v>
      </c>
      <c r="E21" s="2904" t="s">
        <v>2400</v>
      </c>
      <c r="F21" s="2899"/>
      <c r="G21" s="2871"/>
      <c r="H21" s="2827"/>
      <c r="I21" s="2828"/>
      <c r="J21" s="3673"/>
      <c r="K21" s="3675"/>
      <c r="L21" s="2862" t="s">
        <v>2401</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2402</v>
      </c>
      <c r="D22" s="2907" t="s">
        <v>2403</v>
      </c>
      <c r="E22" s="2908" t="s">
        <v>2404</v>
      </c>
      <c r="F22" s="2899"/>
      <c r="G22" s="2909"/>
      <c r="H22" s="2827"/>
      <c r="I22" s="2828"/>
      <c r="J22" s="3673"/>
      <c r="K22" s="3675"/>
      <c r="L22" s="2862" t="s">
        <v>2405</v>
      </c>
      <c r="M22" s="2863"/>
      <c r="N22" s="2863"/>
      <c r="O22" s="2864"/>
      <c r="P22" s="2865">
        <v>365</v>
      </c>
      <c r="Q22" s="2839"/>
      <c r="R22" s="2905">
        <f>ROUND(M22*N22*O22*P22/10000,0)</f>
        <v>0</v>
      </c>
      <c r="S22" s="2901"/>
      <c r="T22" s="2901"/>
      <c r="U22" s="2901"/>
      <c r="V22" s="2828"/>
    </row>
    <row r="23" spans="1:22" s="2832" customFormat="1" ht="13.15" customHeight="1">
      <c r="A23" s="2910">
        <v>1</v>
      </c>
      <c r="B23" s="2911" t="s">
        <v>2406</v>
      </c>
      <c r="C23" s="2912">
        <f>D6</f>
        <v>0</v>
      </c>
      <c r="D23" s="2913">
        <f>C23*(1+D24)</f>
        <v>0</v>
      </c>
      <c r="E23" s="2914">
        <f>D23*(1+E24)</f>
        <v>0</v>
      </c>
      <c r="F23" s="2915"/>
      <c r="G23" s="2916"/>
      <c r="H23" s="2827"/>
      <c r="I23" s="2828"/>
      <c r="J23" s="3673"/>
      <c r="K23" s="3675"/>
      <c r="L23" s="2862" t="s">
        <v>2407</v>
      </c>
      <c r="M23" s="2863"/>
      <c r="N23" s="2863"/>
      <c r="O23" s="2864"/>
      <c r="P23" s="2865">
        <v>365</v>
      </c>
      <c r="Q23" s="2839"/>
      <c r="R23" s="2905">
        <f>ROUND(M23*N23*O23*P23/10000,0)</f>
        <v>0</v>
      </c>
      <c r="S23" s="2820"/>
      <c r="T23" s="2820"/>
      <c r="U23" s="2820"/>
      <c r="V23" s="2828"/>
    </row>
    <row r="24" spans="1:22" s="2832" customFormat="1" ht="13.15" customHeight="1">
      <c r="A24" s="2917"/>
      <c r="B24" s="2918" t="s">
        <v>2408</v>
      </c>
      <c r="C24" s="2919"/>
      <c r="D24" s="2920"/>
      <c r="E24" s="2921"/>
      <c r="F24" s="2922"/>
      <c r="G24" s="2916"/>
      <c r="H24" s="2827"/>
      <c r="I24" s="2828"/>
      <c r="J24" s="3673"/>
      <c r="K24" s="3676"/>
      <c r="L24" s="2882" t="s">
        <v>2369</v>
      </c>
      <c r="M24" s="2883">
        <f>SUM(M21:M23)</f>
        <v>0</v>
      </c>
      <c r="N24" s="2883"/>
      <c r="O24" s="2884"/>
      <c r="P24" s="2897" t="s">
        <v>2433</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2409</v>
      </c>
      <c r="L25" s="2925"/>
      <c r="M25" s="2925"/>
      <c r="N25" s="2925"/>
      <c r="O25" s="2925"/>
      <c r="P25" s="2926"/>
      <c r="Q25" s="2927">
        <v>0</v>
      </c>
      <c r="R25" s="2898">
        <f>ROUND(R14*Q25,0)</f>
        <v>0</v>
      </c>
      <c r="S25" s="2820"/>
      <c r="T25" s="2820"/>
      <c r="U25" s="2820"/>
      <c r="V25" s="2928"/>
    </row>
    <row r="26" spans="1:22" s="2929" customFormat="1" ht="13.15" customHeight="1">
      <c r="A26" s="2910">
        <v>2</v>
      </c>
      <c r="B26" s="2911" t="s">
        <v>2410</v>
      </c>
      <c r="C26" s="2912">
        <f>D7</f>
        <v>0</v>
      </c>
      <c r="D26" s="2913">
        <f>D23*D27</f>
        <v>0</v>
      </c>
      <c r="E26" s="2914">
        <f>E23*E27</f>
        <v>0</v>
      </c>
      <c r="F26" s="2915"/>
      <c r="G26" s="2916"/>
      <c r="H26" s="2827"/>
      <c r="I26" s="2828"/>
      <c r="J26" s="3677">
        <v>5</v>
      </c>
      <c r="K26" s="2930" t="s">
        <v>2411</v>
      </c>
      <c r="L26" s="2931"/>
      <c r="M26" s="2932"/>
      <c r="N26" s="2933" t="s">
        <v>2412</v>
      </c>
      <c r="O26" s="2933" t="s">
        <v>2413</v>
      </c>
      <c r="P26" s="2934" t="s">
        <v>2414</v>
      </c>
      <c r="Q26" s="2934" t="s">
        <v>2415</v>
      </c>
      <c r="R26" s="2837" t="s">
        <v>2340</v>
      </c>
      <c r="S26" s="2935"/>
      <c r="T26" s="2935"/>
      <c r="U26" s="2935"/>
      <c r="V26" s="2928"/>
    </row>
    <row r="27" spans="1:22" s="2832" customFormat="1" ht="13.15" customHeight="1">
      <c r="A27" s="2917"/>
      <c r="B27" s="2918" t="s">
        <v>2416</v>
      </c>
      <c r="C27" s="2936" t="e">
        <f>E7</f>
        <v>#DIV/0!</v>
      </c>
      <c r="D27" s="2920"/>
      <c r="E27" s="2921"/>
      <c r="F27" s="2922"/>
      <c r="G27" s="2916"/>
      <c r="H27" s="2937"/>
      <c r="I27" s="2928"/>
      <c r="J27" s="3678"/>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2417</v>
      </c>
      <c r="F28" s="2922"/>
      <c r="G28" s="2909"/>
      <c r="H28" s="2937"/>
      <c r="I28" s="2928"/>
      <c r="J28" s="2943">
        <v>6</v>
      </c>
      <c r="K28" s="2944" t="s">
        <v>2418</v>
      </c>
      <c r="L28" s="2945" t="s">
        <v>2419</v>
      </c>
      <c r="M28" s="2946"/>
      <c r="N28" s="2945" t="s">
        <v>2420</v>
      </c>
      <c r="O28" s="2947"/>
      <c r="P28" s="2945" t="s">
        <v>2421</v>
      </c>
      <c r="Q28" s="2948">
        <v>1.4999999999999999E-2</v>
      </c>
      <c r="R28" s="2949"/>
      <c r="S28" s="2901"/>
      <c r="T28" s="2901"/>
      <c r="U28" s="2901"/>
      <c r="V28" s="2928"/>
    </row>
    <row r="29" spans="1:22" s="2929" customFormat="1" ht="13.15" customHeight="1">
      <c r="A29" s="2910">
        <v>3</v>
      </c>
      <c r="B29" s="2911" t="s">
        <v>2422</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2416</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2423</v>
      </c>
      <c r="K31" s="2818"/>
      <c r="L31" s="2818"/>
      <c r="M31" s="2818"/>
      <c r="N31" s="2818"/>
      <c r="O31" s="2818"/>
      <c r="P31" s="2818"/>
      <c r="Q31" s="2818"/>
      <c r="R31" s="2819"/>
      <c r="S31" s="2901"/>
      <c r="T31" s="2820"/>
      <c r="U31" s="2820"/>
      <c r="V31" s="2928"/>
    </row>
    <row r="32" spans="1:22" s="2929" customFormat="1" ht="13.15" customHeight="1">
      <c r="A32" s="2910">
        <v>4</v>
      </c>
      <c r="B32" s="2911" t="s">
        <v>2424</v>
      </c>
      <c r="C32" s="2912">
        <f>C23-C26-C29</f>
        <v>0</v>
      </c>
      <c r="D32" s="2913">
        <f>D23-D26-D29</f>
        <v>0</v>
      </c>
      <c r="E32" s="2914">
        <f>E23-E26-E29</f>
        <v>0</v>
      </c>
      <c r="F32" s="2915"/>
      <c r="G32" s="2909"/>
      <c r="H32" s="2827"/>
      <c r="I32" s="2828"/>
      <c r="J32" s="3679" t="s">
        <v>2316</v>
      </c>
      <c r="K32" s="3680"/>
      <c r="L32" s="2829" t="s">
        <v>2317</v>
      </c>
      <c r="M32" s="2829" t="s">
        <v>2318</v>
      </c>
      <c r="N32" s="2829" t="s">
        <v>2319</v>
      </c>
      <c r="O32" s="2829" t="s">
        <v>2320</v>
      </c>
      <c r="P32" s="2829" t="s">
        <v>2321</v>
      </c>
      <c r="Q32" s="2830" t="s">
        <v>2322</v>
      </c>
      <c r="R32" s="2952" t="s">
        <v>2323</v>
      </c>
      <c r="S32" s="2901"/>
      <c r="T32" s="2820"/>
      <c r="U32" s="2820"/>
      <c r="V32" s="2928"/>
    </row>
    <row r="33" spans="1:23" s="2832" customFormat="1" ht="13.15" customHeight="1">
      <c r="A33" s="2910"/>
      <c r="B33" s="2911"/>
      <c r="C33" s="2912"/>
      <c r="D33" s="2953"/>
      <c r="E33" s="2954"/>
      <c r="F33" s="2915"/>
      <c r="G33" s="2909"/>
      <c r="H33" s="2937"/>
      <c r="I33" s="2928"/>
      <c r="J33" s="3681" t="s">
        <v>2326</v>
      </c>
      <c r="K33" s="3682"/>
      <c r="L33" s="2835"/>
      <c r="M33" s="2835"/>
      <c r="N33" s="2835"/>
      <c r="O33" s="2835"/>
      <c r="P33" s="2835"/>
      <c r="Q33" s="2836"/>
      <c r="R33" s="2955">
        <f>SUM(L33:Q33)</f>
        <v>0</v>
      </c>
      <c r="S33" s="2901"/>
      <c r="T33" s="2820"/>
      <c r="U33" s="2820"/>
      <c r="V33" s="2828"/>
    </row>
    <row r="34" spans="1:23" s="2832" customFormat="1" ht="13.15" customHeight="1">
      <c r="A34" s="2910">
        <v>5</v>
      </c>
      <c r="B34" s="2911" t="s">
        <v>2425</v>
      </c>
      <c r="C34" s="2956"/>
      <c r="D34" s="2957"/>
      <c r="E34" s="2958"/>
      <c r="F34" s="2915"/>
      <c r="G34" s="2909"/>
      <c r="H34" s="2937"/>
      <c r="I34" s="2928"/>
      <c r="J34" s="3681" t="s">
        <v>2328</v>
      </c>
      <c r="K34" s="3682"/>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2426</v>
      </c>
      <c r="C35" s="2960"/>
      <c r="D35" s="2961"/>
      <c r="E35" s="2962"/>
      <c r="F35" s="2915"/>
      <c r="G35" s="2963"/>
      <c r="H35" s="2827"/>
      <c r="I35" s="2928"/>
      <c r="J35" s="2846" t="s">
        <v>2330</v>
      </c>
      <c r="K35" s="2847"/>
      <c r="L35" s="2847"/>
      <c r="M35" s="2848"/>
      <c r="N35" s="2848"/>
      <c r="O35" s="2848"/>
      <c r="P35" s="2848"/>
      <c r="Q35" s="2848"/>
      <c r="R35" s="2964">
        <f>R40+R41+R43</f>
        <v>0</v>
      </c>
      <c r="S35" s="2901"/>
      <c r="T35" s="2820" t="s">
        <v>2331</v>
      </c>
      <c r="U35" s="2820"/>
      <c r="V35" s="2828"/>
    </row>
    <row r="36" spans="1:23" s="2832" customFormat="1" ht="13.15" customHeight="1" thickBot="1">
      <c r="A36" s="2910">
        <v>7</v>
      </c>
      <c r="B36" s="2965" t="s">
        <v>2427</v>
      </c>
      <c r="C36" s="2966"/>
      <c r="D36" s="2967"/>
      <c r="E36" s="2968"/>
      <c r="F36" s="2969">
        <f>C36+D36+E36</f>
        <v>0</v>
      </c>
      <c r="G36" s="2909"/>
      <c r="H36" s="2827"/>
      <c r="I36" s="2828"/>
      <c r="J36" s="3673">
        <v>1</v>
      </c>
      <c r="K36" s="3674" t="s">
        <v>2428</v>
      </c>
      <c r="L36" s="2853"/>
      <c r="M36" s="2854"/>
      <c r="N36" s="2854"/>
      <c r="O36" s="2854"/>
      <c r="P36" s="2854"/>
      <c r="Q36" s="2854"/>
      <c r="R36" s="2837" t="s">
        <v>2340</v>
      </c>
      <c r="S36" s="2901"/>
      <c r="T36" s="2820" t="s">
        <v>2341</v>
      </c>
      <c r="U36" s="2820"/>
      <c r="V36" s="2828"/>
    </row>
    <row r="37" spans="1:23" s="2832" customFormat="1" ht="13.15" customHeight="1">
      <c r="A37" s="2910"/>
      <c r="B37" s="2911"/>
      <c r="C37" s="2911"/>
      <c r="D37" s="2911"/>
      <c r="E37" s="2911"/>
      <c r="F37" s="2915"/>
      <c r="G37" s="2909"/>
      <c r="H37" s="2827"/>
      <c r="I37" s="2828"/>
      <c r="J37" s="3673"/>
      <c r="K37" s="3675"/>
      <c r="L37" s="2862"/>
      <c r="M37" s="2863"/>
      <c r="N37" s="2839"/>
      <c r="O37" s="2864"/>
      <c r="P37" s="2864"/>
      <c r="Q37" s="2865"/>
      <c r="R37" s="2866"/>
      <c r="S37" s="2901"/>
      <c r="T37" s="2820" t="s">
        <v>2344</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73"/>
      <c r="K38" s="3675"/>
      <c r="L38" s="2862"/>
      <c r="M38" s="2863"/>
      <c r="N38" s="2839"/>
      <c r="O38" s="2864"/>
      <c r="P38" s="2864"/>
      <c r="Q38" s="2865"/>
      <c r="R38" s="2866"/>
      <c r="S38" s="2901"/>
      <c r="T38" s="2820" t="s">
        <v>2351</v>
      </c>
      <c r="U38" s="2820"/>
      <c r="V38" s="2828"/>
    </row>
    <row r="39" spans="1:23" s="2832" customFormat="1" ht="13.15" customHeight="1">
      <c r="A39" s="2910">
        <v>9</v>
      </c>
      <c r="B39" s="2911" t="s">
        <v>2429</v>
      </c>
      <c r="C39" s="2876" t="e">
        <f>C38</f>
        <v>#DIV/0!</v>
      </c>
      <c r="D39" s="2911">
        <f>D38/(1+D34)^C36</f>
        <v>0</v>
      </c>
      <c r="E39" s="2911">
        <f>E38/(1+E34)^(C36+D36)</f>
        <v>0</v>
      </c>
      <c r="F39" s="2915"/>
      <c r="G39" s="2970"/>
      <c r="H39" s="2827"/>
      <c r="I39" s="2828"/>
      <c r="J39" s="3673"/>
      <c r="K39" s="3675"/>
      <c r="L39" s="2862"/>
      <c r="M39" s="2863"/>
      <c r="N39" s="2839"/>
      <c r="O39" s="2864"/>
      <c r="P39" s="2864"/>
      <c r="Q39" s="2865"/>
      <c r="R39" s="2866"/>
      <c r="S39" s="2901"/>
      <c r="T39" s="2820"/>
      <c r="U39" s="2820"/>
      <c r="V39" s="2828"/>
    </row>
    <row r="40" spans="1:23" s="2832" customFormat="1" ht="13.15" customHeight="1">
      <c r="A40" s="2971">
        <v>10</v>
      </c>
      <c r="B40" s="2911" t="s">
        <v>2430</v>
      </c>
      <c r="C40" s="2972" t="e">
        <f>C39+D39+E39</f>
        <v>#DIV/0!</v>
      </c>
      <c r="D40" s="2973"/>
      <c r="E40" s="2973"/>
      <c r="F40" s="2974"/>
      <c r="G40" s="2909"/>
      <c r="H40" s="2827"/>
      <c r="I40" s="2828"/>
      <c r="J40" s="3673"/>
      <c r="K40" s="3676"/>
      <c r="L40" s="2882" t="s">
        <v>2369</v>
      </c>
      <c r="M40" s="2883"/>
      <c r="N40" s="2883"/>
      <c r="O40" s="2884"/>
      <c r="P40" s="2884"/>
      <c r="Q40" s="2885"/>
      <c r="R40" s="2831">
        <f>SUM(R37:R39)</f>
        <v>0</v>
      </c>
      <c r="S40" s="2901"/>
      <c r="T40" s="2820"/>
      <c r="U40" s="2820"/>
      <c r="V40" s="2828"/>
    </row>
    <row r="41" spans="1:23" s="2832" customFormat="1" ht="13.15" customHeight="1" thickBot="1">
      <c r="A41" s="2975">
        <v>11</v>
      </c>
      <c r="B41" s="2976" t="s">
        <v>2431</v>
      </c>
      <c r="C41" s="2976" t="e">
        <f>ROUND(C40*10000/B4,0)</f>
        <v>#DIV/0!</v>
      </c>
      <c r="D41" s="2977"/>
      <c r="E41" s="2977"/>
      <c r="F41" s="2978"/>
      <c r="G41" s="2979"/>
      <c r="H41" s="2827"/>
      <c r="I41" s="2828"/>
      <c r="J41" s="2923">
        <v>2</v>
      </c>
      <c r="K41" s="2924" t="s">
        <v>2409</v>
      </c>
      <c r="L41" s="2925"/>
      <c r="M41" s="2925"/>
      <c r="N41" s="2925"/>
      <c r="O41" s="2925"/>
      <c r="P41" s="2926"/>
      <c r="Q41" s="2927"/>
      <c r="R41" s="2898">
        <f>ROUND(R40*Q41,0)</f>
        <v>0</v>
      </c>
      <c r="S41" s="2901"/>
      <c r="T41" s="2820"/>
      <c r="U41" s="2935"/>
      <c r="V41" s="2828"/>
    </row>
    <row r="42" spans="1:23" s="2832" customFormat="1" ht="13.15" customHeight="1">
      <c r="G42" s="2979"/>
      <c r="H42" s="2827"/>
      <c r="I42" s="2828"/>
      <c r="J42" s="3677">
        <v>3</v>
      </c>
      <c r="K42" s="2930" t="s">
        <v>2411</v>
      </c>
      <c r="L42" s="2931"/>
      <c r="M42" s="2932"/>
      <c r="N42" s="2933" t="s">
        <v>2412</v>
      </c>
      <c r="O42" s="2933" t="s">
        <v>2413</v>
      </c>
      <c r="P42" s="2934" t="s">
        <v>2414</v>
      </c>
      <c r="Q42" s="2934" t="s">
        <v>2415</v>
      </c>
      <c r="R42" s="2837" t="s">
        <v>2340</v>
      </c>
      <c r="S42" s="2935"/>
      <c r="T42" s="2935"/>
      <c r="U42" s="2820"/>
      <c r="V42" s="2828"/>
    </row>
    <row r="43" spans="1:23" ht="13.15" customHeight="1">
      <c r="A43" s="2832"/>
      <c r="B43" s="2832"/>
      <c r="C43" s="2832"/>
      <c r="D43" s="2832"/>
      <c r="E43" s="2832"/>
      <c r="F43" s="2832"/>
      <c r="I43" s="2815"/>
      <c r="J43" s="3678"/>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2418</v>
      </c>
      <c r="L44" s="2983" t="s">
        <v>2419</v>
      </c>
      <c r="M44" s="2946"/>
      <c r="N44" s="2983" t="s">
        <v>2420</v>
      </c>
      <c r="O44" s="2946"/>
      <c r="P44" s="2983" t="s">
        <v>2421</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686"/>
      <c r="G1" s="1489"/>
      <c r="H1" s="1489"/>
      <c r="I1" s="1489"/>
      <c r="J1" s="1489"/>
      <c r="K1" s="1489"/>
      <c r="L1" s="1489"/>
      <c r="M1" s="1489"/>
      <c r="N1" s="1489"/>
      <c r="O1" s="1489"/>
      <c r="P1" s="1489"/>
      <c r="Q1" s="1489"/>
      <c r="R1" s="1489"/>
      <c r="S1" s="1489"/>
    </row>
    <row r="2" spans="1:22" ht="15.75">
      <c r="A2" s="1869" t="s">
        <v>1461</v>
      </c>
      <c r="B2" s="1870">
        <f ca="1">SUMIF(B6:B13,"&lt;&gt;#ref!",B6:B13)</f>
        <v>19463</v>
      </c>
      <c r="C2" s="1871" t="s">
        <v>1650</v>
      </c>
      <c r="D2" s="1872" t="s">
        <v>1651</v>
      </c>
      <c r="E2" s="2586">
        <f>SUM(E6:E13)</f>
        <v>13590.15</v>
      </c>
      <c r="F2" s="2686"/>
      <c r="G2" s="1489"/>
      <c r="H2" s="1489"/>
      <c r="I2" s="1489"/>
      <c r="J2" s="1489"/>
      <c r="K2" s="1489"/>
      <c r="L2" s="1489"/>
      <c r="M2" s="1489"/>
      <c r="N2" s="1489"/>
      <c r="O2" s="1489"/>
      <c r="P2" s="1489"/>
      <c r="Q2" s="1489"/>
      <c r="R2" s="1489"/>
      <c r="S2" s="1489"/>
    </row>
    <row r="3" spans="1:22" ht="15.75">
      <c r="A3" s="1869" t="s">
        <v>686</v>
      </c>
      <c r="B3" s="2580">
        <f ca="1">ROUND(B2*10000/E2,0)</f>
        <v>14321</v>
      </c>
      <c r="C3" s="1871" t="s">
        <v>1658</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1652</v>
      </c>
      <c r="B5" s="3692" t="s">
        <v>1653</v>
      </c>
      <c r="C5" s="3693"/>
      <c r="D5" s="2687"/>
      <c r="E5" s="1873" t="s">
        <v>1654</v>
      </c>
      <c r="F5" s="1874" t="s">
        <v>1655</v>
      </c>
      <c r="G5" s="1489"/>
      <c r="H5" s="1489"/>
      <c r="I5" s="1489"/>
      <c r="J5" s="1489"/>
      <c r="K5" s="1489"/>
      <c r="L5" s="1489"/>
      <c r="M5" s="1489"/>
      <c r="N5" s="1489"/>
      <c r="O5" s="1489"/>
      <c r="P5" s="1489"/>
      <c r="Q5" s="1489"/>
      <c r="R5" s="1489"/>
      <c r="S5" s="1489"/>
    </row>
    <row r="6" spans="1:22">
      <c r="A6" s="2583" t="str">
        <f>'数据-取费表'!AN6</f>
        <v>收益法</v>
      </c>
      <c r="B6" s="2581">
        <f ca="1">IF(F6="是",'数据-取费表'!AO6,0)</f>
        <v>19463</v>
      </c>
      <c r="C6" s="1871" t="s">
        <v>1650</v>
      </c>
      <c r="D6" s="2688"/>
      <c r="E6" s="2585">
        <f>IF(OR(A6=0,F6="否"),0,'数据-取费表'!K6+'数据-取费表'!S6)</f>
        <v>13590.15</v>
      </c>
      <c r="F6" s="1875" t="s">
        <v>1656</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1" t="s">
        <v>1650</v>
      </c>
      <c r="D7" s="2688"/>
      <c r="E7" s="2585">
        <f>IF(OR(A7=0,F7="否"),0,'数据-取费表'!K7+'数据-取费表'!S7)</f>
        <v>0</v>
      </c>
      <c r="F7" s="1875" t="s">
        <v>1656</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1" t="s">
        <v>1650</v>
      </c>
      <c r="D8" s="2688"/>
      <c r="E8" s="2585">
        <f>IF(OR(A8=0,F8="否"),0,'数据-取费表'!K8+'数据-取费表'!S8)</f>
        <v>0</v>
      </c>
      <c r="F8" s="1875" t="s">
        <v>1656</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1" t="s">
        <v>1650</v>
      </c>
      <c r="D9" s="2688"/>
      <c r="E9" s="2585">
        <f>IF(OR(A9=0,F9="否"),0,'数据-取费表'!K9+'数据-取费表'!S9)</f>
        <v>0</v>
      </c>
      <c r="F9" s="1875" t="s">
        <v>1656</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1" t="s">
        <v>1650</v>
      </c>
      <c r="D10" s="2688"/>
      <c r="E10" s="258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1" t="s">
        <v>1650</v>
      </c>
      <c r="D11" s="2688"/>
      <c r="E11" s="258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1" t="s">
        <v>1650</v>
      </c>
      <c r="D12" s="2688"/>
      <c r="E12" s="258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6" t="s">
        <v>1650</v>
      </c>
      <c r="D13" s="2689"/>
      <c r="E13" s="258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05"/>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692"/>
      <c r="M2" s="2693"/>
      <c r="N2" s="2693"/>
      <c r="O2" s="269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13590.15</v>
      </c>
      <c r="E3" s="907"/>
      <c r="F3" s="1887"/>
      <c r="G3" s="907"/>
      <c r="H3" s="907"/>
      <c r="I3" s="907"/>
      <c r="J3" s="907"/>
      <c r="K3" s="1883"/>
      <c r="L3" s="2692"/>
      <c r="M3" s="2693"/>
      <c r="N3" s="2693"/>
      <c r="O3" s="2693"/>
      <c r="P3" s="1884"/>
      <c r="Q3" s="1885"/>
      <c r="R3" s="1885"/>
      <c r="S3" s="1885"/>
      <c r="T3" s="1885"/>
      <c r="U3" s="1885"/>
      <c r="V3" s="1885"/>
      <c r="W3" s="1885"/>
      <c r="X3" s="1885"/>
      <c r="Y3" s="1885"/>
      <c r="Z3" s="1885"/>
      <c r="AA3" s="1885"/>
      <c r="AB3" s="1885"/>
      <c r="AC3" s="1061"/>
    </row>
    <row r="4" spans="1:29" ht="15">
      <c r="A4" s="355" t="s">
        <v>1665</v>
      </c>
      <c r="B4" s="356"/>
      <c r="C4" s="3712" t="s">
        <v>1666</v>
      </c>
      <c r="D4" s="3713"/>
      <c r="E4" s="3714" t="s">
        <v>1667</v>
      </c>
      <c r="F4" s="3715"/>
      <c r="G4" s="3712" t="s">
        <v>1668</v>
      </c>
      <c r="H4" s="3713"/>
      <c r="I4" s="3712" t="s">
        <v>1669</v>
      </c>
      <c r="J4" s="3713"/>
      <c r="K4" s="1888" t="s">
        <v>1670</v>
      </c>
      <c r="L4" s="2694"/>
      <c r="M4" s="2695"/>
      <c r="N4" s="2695"/>
      <c r="O4" s="2695"/>
      <c r="P4" s="3716" t="s">
        <v>1671</v>
      </c>
      <c r="Q4" s="3717"/>
      <c r="R4" s="3722" t="s">
        <v>1667</v>
      </c>
      <c r="S4" s="3723"/>
      <c r="T4" s="3722" t="s">
        <v>1668</v>
      </c>
      <c r="U4" s="3723"/>
      <c r="V4" s="3728" t="s">
        <v>1669</v>
      </c>
      <c r="W4" s="3728"/>
      <c r="X4" s="1355"/>
      <c r="Y4" s="3722" t="s">
        <v>1671</v>
      </c>
      <c r="Z4" s="3723"/>
      <c r="AA4" s="3709" t="s">
        <v>1667</v>
      </c>
      <c r="AB4" s="3709" t="s">
        <v>1668</v>
      </c>
      <c r="AC4" s="3709" t="s">
        <v>1669</v>
      </c>
    </row>
    <row r="5" spans="1:29" ht="15">
      <c r="A5" s="358"/>
      <c r="B5" s="359"/>
      <c r="C5" s="3731" t="s">
        <v>1672</v>
      </c>
      <c r="D5" s="3732"/>
      <c r="E5" s="3738" t="s">
        <v>1673</v>
      </c>
      <c r="F5" s="3739"/>
      <c r="G5" s="3731" t="s">
        <v>1674</v>
      </c>
      <c r="H5" s="3732"/>
      <c r="I5" s="3731" t="s">
        <v>1675</v>
      </c>
      <c r="J5" s="3732"/>
      <c r="K5" s="1889"/>
      <c r="L5" s="2694"/>
      <c r="M5" s="2695"/>
      <c r="N5" s="2695"/>
      <c r="O5" s="2695"/>
      <c r="P5" s="3718"/>
      <c r="Q5" s="3719"/>
      <c r="R5" s="3724"/>
      <c r="S5" s="3725"/>
      <c r="T5" s="3724"/>
      <c r="U5" s="3725"/>
      <c r="V5" s="3728"/>
      <c r="W5" s="3728"/>
      <c r="X5" s="1355"/>
      <c r="Y5" s="3724"/>
      <c r="Z5" s="3725"/>
      <c r="AA5" s="3710"/>
      <c r="AB5" s="3710"/>
      <c r="AC5" s="3710"/>
    </row>
    <row r="6" spans="1:29" ht="15.75" thickBot="1">
      <c r="A6" s="360"/>
      <c r="B6" s="361"/>
      <c r="C6" s="3729" t="s">
        <v>1676</v>
      </c>
      <c r="D6" s="3730"/>
      <c r="E6" s="3736" t="s">
        <v>1676</v>
      </c>
      <c r="F6" s="3737"/>
      <c r="G6" s="3729" t="s">
        <v>1676</v>
      </c>
      <c r="H6" s="3730"/>
      <c r="I6" s="3729" t="s">
        <v>1676</v>
      </c>
      <c r="J6" s="3730"/>
      <c r="K6" s="1889" t="s">
        <v>1677</v>
      </c>
      <c r="L6" s="2694"/>
      <c r="M6" s="2695"/>
      <c r="N6" s="2695"/>
      <c r="O6" s="2695"/>
      <c r="P6" s="3720"/>
      <c r="Q6" s="3721"/>
      <c r="R6" s="3724"/>
      <c r="S6" s="3725"/>
      <c r="T6" s="3726"/>
      <c r="U6" s="3727"/>
      <c r="V6" s="3728"/>
      <c r="W6" s="3728"/>
      <c r="X6" s="1355"/>
      <c r="Y6" s="3726"/>
      <c r="Z6" s="3727"/>
      <c r="AA6" s="3711"/>
      <c r="AB6" s="3711"/>
      <c r="AC6" s="3711"/>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0"/>
      <c r="L7" s="2696"/>
      <c r="M7" s="2697"/>
      <c r="N7" s="2697"/>
      <c r="O7" s="2697"/>
      <c r="P7" s="3733" t="s">
        <v>1679</v>
      </c>
      <c r="Q7" s="3735"/>
      <c r="R7" s="701" t="s">
        <v>20</v>
      </c>
      <c r="S7" s="702">
        <f t="shared" ref="S7:S15" si="0">F7</f>
        <v>0</v>
      </c>
      <c r="T7" s="701" t="s">
        <v>20</v>
      </c>
      <c r="U7" s="702">
        <f t="shared" ref="U7:U15" si="1">H7</f>
        <v>0</v>
      </c>
      <c r="V7" s="701" t="s">
        <v>20</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696"/>
      <c r="M8" s="2697"/>
      <c r="N8" s="2697"/>
      <c r="O8" s="2697"/>
      <c r="P8" s="3733" t="s">
        <v>1682</v>
      </c>
      <c r="Q8" s="3734"/>
      <c r="R8" s="701" t="s">
        <v>20</v>
      </c>
      <c r="S8" s="702">
        <f t="shared" si="0"/>
        <v>100</v>
      </c>
      <c r="T8" s="701" t="s">
        <v>20</v>
      </c>
      <c r="U8" s="702">
        <f t="shared" si="1"/>
        <v>100</v>
      </c>
      <c r="V8" s="701" t="s">
        <v>20</v>
      </c>
      <c r="W8" s="702">
        <f t="shared" si="2"/>
        <v>100</v>
      </c>
      <c r="X8" s="703"/>
      <c r="Y8" s="3733" t="s">
        <v>1682</v>
      </c>
      <c r="Z8" s="373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696"/>
      <c r="M9" s="2697"/>
      <c r="N9" s="2697"/>
      <c r="O9" s="2697"/>
      <c r="P9" s="3708"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1890"/>
      <c r="L10" s="2698"/>
      <c r="M10" s="2699"/>
      <c r="N10" s="2699"/>
      <c r="O10" s="2699"/>
      <c r="P10" s="3708"/>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08"/>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6"/>
      <c r="M12" s="2697"/>
      <c r="N12" s="2697"/>
      <c r="O12" s="2697"/>
      <c r="P12" s="3708"/>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1"/>
      <c r="M13" s="2695"/>
      <c r="N13" s="2695"/>
      <c r="O13" s="2695"/>
      <c r="P13" s="3708"/>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1"/>
      <c r="M14" s="2695"/>
      <c r="N14" s="2695"/>
      <c r="O14" s="2695"/>
      <c r="P14" s="3708"/>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06" t="s">
        <v>1690</v>
      </c>
      <c r="Q15" s="1352" t="str">
        <f t="shared" si="6"/>
        <v>居住社区成熟度</v>
      </c>
      <c r="R15" s="705" t="s">
        <v>18</v>
      </c>
      <c r="S15" s="706">
        <f t="shared" si="0"/>
        <v>100</v>
      </c>
      <c r="T15" s="705" t="s">
        <v>18</v>
      </c>
      <c r="U15" s="706">
        <f t="shared" si="1"/>
        <v>100</v>
      </c>
      <c r="V15" s="705" t="s">
        <v>18</v>
      </c>
      <c r="W15" s="706">
        <f t="shared" si="2"/>
        <v>100</v>
      </c>
      <c r="X15" s="1355"/>
      <c r="Y15" s="3699"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01"/>
      <c r="M16" s="2695"/>
      <c r="N16" s="2695"/>
      <c r="O16" s="2695"/>
      <c r="P16" s="3707"/>
      <c r="Q16" s="1352"/>
      <c r="R16" s="705"/>
      <c r="S16" s="706"/>
      <c r="T16" s="705"/>
      <c r="U16" s="706"/>
      <c r="V16" s="705"/>
      <c r="W16" s="706"/>
      <c r="X16" s="1355"/>
      <c r="Y16" s="3700"/>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01"/>
      <c r="M18" s="2695"/>
      <c r="N18" s="2695"/>
      <c r="O18" s="2695"/>
      <c r="P18" s="3707"/>
      <c r="Q18" s="1352"/>
      <c r="R18" s="705"/>
      <c r="S18" s="706"/>
      <c r="T18" s="705"/>
      <c r="U18" s="706"/>
      <c r="V18" s="705"/>
      <c r="W18" s="706"/>
      <c r="X18" s="1355"/>
      <c r="Y18" s="3700"/>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01"/>
      <c r="M20" s="2695"/>
      <c r="N20" s="2695"/>
      <c r="O20" s="2695"/>
      <c r="P20" s="3707"/>
      <c r="Q20" s="1352"/>
      <c r="R20" s="705"/>
      <c r="S20" s="706"/>
      <c r="T20" s="705"/>
      <c r="U20" s="706"/>
      <c r="V20" s="705"/>
      <c r="W20" s="706"/>
      <c r="X20" s="1355"/>
      <c r="Y20" s="3700"/>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01"/>
      <c r="M22" s="2695"/>
      <c r="N22" s="2695"/>
      <c r="O22" s="2695"/>
      <c r="P22" s="3707"/>
      <c r="Q22" s="1352"/>
      <c r="R22" s="705"/>
      <c r="S22" s="706"/>
      <c r="T22" s="705"/>
      <c r="U22" s="706"/>
      <c r="V22" s="705"/>
      <c r="W22" s="706"/>
      <c r="X22" s="1355"/>
      <c r="Y22" s="3700"/>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01"/>
      <c r="M24" s="2695"/>
      <c r="N24" s="2695"/>
      <c r="O24" s="2695"/>
      <c r="P24" s="3707"/>
      <c r="Q24" s="1352"/>
      <c r="R24" s="705"/>
      <c r="S24" s="706"/>
      <c r="T24" s="705"/>
      <c r="U24" s="706"/>
      <c r="V24" s="705"/>
      <c r="W24" s="706"/>
      <c r="X24" s="1355"/>
      <c r="Y24" s="3700"/>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01"/>
      <c r="M25" s="2695"/>
      <c r="N25" s="2695"/>
      <c r="O25" s="2695"/>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01"/>
      <c r="M26" s="2695"/>
      <c r="N26" s="2695"/>
      <c r="O26" s="2695"/>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6"/>
      <c r="M27" s="2697"/>
      <c r="N27" s="2697"/>
      <c r="O27" s="2697"/>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1"/>
      <c r="M28" s="2695"/>
      <c r="N28" s="2695"/>
      <c r="O28" s="2695"/>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1"/>
      <c r="M29" s="2695"/>
      <c r="N29" s="2695"/>
      <c r="O29" s="2695"/>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1"/>
      <c r="M30" s="2695"/>
      <c r="N30" s="2695"/>
      <c r="O30" s="2695"/>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1"/>
      <c r="M31" s="2695"/>
      <c r="N31" s="2695"/>
      <c r="O31" s="2695"/>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1"/>
      <c r="M32" s="2695"/>
      <c r="N32" s="2695"/>
      <c r="O32" s="2695"/>
      <c r="P32" s="3701" t="s">
        <v>1695</v>
      </c>
      <c r="Q32" s="1352" t="str">
        <f t="shared" si="11"/>
        <v>建筑类型</v>
      </c>
      <c r="R32" s="705" t="s">
        <v>18</v>
      </c>
      <c r="S32" s="706">
        <f t="shared" si="12"/>
        <v>100</v>
      </c>
      <c r="T32" s="705" t="s">
        <v>18</v>
      </c>
      <c r="U32" s="706">
        <f t="shared" si="13"/>
        <v>100</v>
      </c>
      <c r="V32" s="705" t="s">
        <v>18</v>
      </c>
      <c r="W32" s="706">
        <f t="shared" si="14"/>
        <v>100</v>
      </c>
      <c r="X32" s="1355"/>
      <c r="Y32" s="370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0"/>
      <c r="M33" s="2702"/>
      <c r="N33" s="2702"/>
      <c r="O33" s="2702"/>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1"/>
      <c r="M34" s="2695"/>
      <c r="N34" s="2695"/>
      <c r="O34" s="2695"/>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1"/>
      <c r="M35" s="2695"/>
      <c r="N35" s="2695"/>
      <c r="O35" s="2695"/>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1"/>
      <c r="M36" s="2695"/>
      <c r="N36" s="2695"/>
      <c r="O36" s="2695"/>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1"/>
      <c r="M38" s="2695"/>
      <c r="N38" s="2695"/>
      <c r="O38" s="2695"/>
      <c r="P38" s="3702" t="s">
        <v>1695</v>
      </c>
      <c r="Q38" s="1352" t="str">
        <f t="shared" si="11"/>
        <v>物业管理</v>
      </c>
      <c r="R38" s="705" t="s">
        <v>18</v>
      </c>
      <c r="S38" s="706">
        <f t="shared" si="12"/>
        <v>100</v>
      </c>
      <c r="T38" s="705" t="s">
        <v>18</v>
      </c>
      <c r="U38" s="706">
        <f t="shared" si="13"/>
        <v>100</v>
      </c>
      <c r="V38" s="705" t="s">
        <v>18</v>
      </c>
      <c r="W38" s="706">
        <f t="shared" si="14"/>
        <v>100</v>
      </c>
      <c r="X38" s="1355"/>
      <c r="Y38" s="3704"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1"/>
      <c r="M39" s="2695"/>
      <c r="N39" s="2695"/>
      <c r="O39" s="2695"/>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1"/>
      <c r="M40" s="2695"/>
      <c r="N40" s="2695"/>
      <c r="O40" s="2695"/>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0"/>
      <c r="M41" s="2702"/>
      <c r="N41" s="2702"/>
      <c r="O41" s="270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1"/>
      <c r="M42" s="2695"/>
      <c r="N42" s="2695"/>
      <c r="O42" s="2695"/>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1"/>
      <c r="M43" s="2695"/>
      <c r="N43" s="2695"/>
      <c r="O43" s="2695"/>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6"/>
      <c r="M44" s="2697"/>
      <c r="N44" s="2697"/>
      <c r="O44" s="2697"/>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1"/>
      <c r="M45" s="2695"/>
      <c r="N45" s="2695"/>
      <c r="O45" s="2695"/>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1"/>
      <c r="M46" s="2695"/>
      <c r="N46" s="2695"/>
      <c r="O46" s="2695"/>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03"/>
      <c r="M47" s="2704"/>
      <c r="N47" s="2695"/>
      <c r="O47" s="2704"/>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03"/>
      <c r="M48" s="2704"/>
      <c r="N48" s="2704"/>
      <c r="O48" s="270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03"/>
      <c r="M49" s="2704"/>
      <c r="N49" s="2704"/>
      <c r="O49" s="270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6"/>
    </row>
    <row r="55" spans="1:29" s="451" customFormat="1">
      <c r="A55" s="2707"/>
      <c r="B55" s="2710"/>
      <c r="C55" s="2711"/>
      <c r="D55" s="2707"/>
      <c r="E55" s="2707"/>
      <c r="F55" s="2707"/>
      <c r="G55" s="2707"/>
      <c r="H55" s="2707"/>
      <c r="I55" s="2707"/>
      <c r="J55" s="2707"/>
      <c r="K55" s="2712"/>
      <c r="L55" s="2706"/>
      <c r="M55" s="2707"/>
      <c r="N55" s="2707"/>
      <c r="O55" s="2707"/>
      <c r="P55" s="1916"/>
    </row>
    <row r="56" spans="1:29">
      <c r="A56" s="2704"/>
      <c r="B56" s="2710"/>
      <c r="C56" s="2711"/>
      <c r="D56" s="2704"/>
      <c r="E56" s="2704"/>
      <c r="F56" s="2704"/>
      <c r="G56" s="2704"/>
      <c r="H56" s="2704"/>
      <c r="I56" s="2704"/>
      <c r="J56" s="2704"/>
      <c r="K56" s="2709"/>
      <c r="L56" s="2705"/>
      <c r="M56" s="2704"/>
      <c r="N56" s="2704"/>
      <c r="O56" s="270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05"/>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13590.15</v>
      </c>
      <c r="E3" s="1953"/>
      <c r="F3" s="909"/>
      <c r="G3" s="908"/>
      <c r="H3" s="908"/>
      <c r="I3" s="908"/>
      <c r="J3" s="908"/>
      <c r="K3" s="910"/>
      <c r="L3" s="2713"/>
      <c r="M3" s="2714"/>
      <c r="N3" s="2714"/>
      <c r="O3" s="2714"/>
      <c r="P3" s="1951"/>
      <c r="Q3" s="912"/>
      <c r="R3" s="912"/>
      <c r="S3" s="912"/>
      <c r="T3" s="912"/>
      <c r="U3" s="912"/>
      <c r="V3" s="912"/>
      <c r="W3" s="912"/>
      <c r="X3" s="912"/>
      <c r="Y3" s="912"/>
      <c r="Z3" s="912"/>
      <c r="AA3" s="912"/>
      <c r="AB3" s="912"/>
      <c r="AC3" s="195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722" t="s">
        <v>1770</v>
      </c>
      <c r="S4" s="3723"/>
      <c r="T4" s="3722" t="s">
        <v>1771</v>
      </c>
      <c r="U4" s="3723"/>
      <c r="V4" s="3728" t="s">
        <v>1772</v>
      </c>
      <c r="W4" s="3728"/>
      <c r="X4" s="1355"/>
      <c r="Y4" s="3722" t="s">
        <v>1774</v>
      </c>
      <c r="Z4" s="3723"/>
      <c r="AA4" s="3709" t="s">
        <v>1770</v>
      </c>
      <c r="AB4" s="3728" t="s">
        <v>1771</v>
      </c>
      <c r="AC4" s="3709" t="s">
        <v>1772</v>
      </c>
    </row>
    <row r="5" spans="1:29" ht="15">
      <c r="A5" s="358"/>
      <c r="B5" s="359"/>
      <c r="C5" s="3731" t="s">
        <v>1672</v>
      </c>
      <c r="D5" s="3732"/>
      <c r="E5" s="3738" t="s">
        <v>1673</v>
      </c>
      <c r="F5" s="3739"/>
      <c r="G5" s="3731" t="s">
        <v>1674</v>
      </c>
      <c r="H5" s="3732"/>
      <c r="I5" s="3731" t="s">
        <v>1675</v>
      </c>
      <c r="J5" s="3732"/>
      <c r="K5" s="559"/>
      <c r="L5" s="2694"/>
      <c r="M5" s="2695"/>
      <c r="N5" s="2695"/>
      <c r="O5" s="2695"/>
      <c r="P5" s="3718"/>
      <c r="Q5" s="3719"/>
      <c r="R5" s="3724"/>
      <c r="S5" s="3725"/>
      <c r="T5" s="3724"/>
      <c r="U5" s="3725"/>
      <c r="V5" s="3728"/>
      <c r="W5" s="3728"/>
      <c r="X5" s="1355"/>
      <c r="Y5" s="3724"/>
      <c r="Z5" s="3725"/>
      <c r="AA5" s="3710"/>
      <c r="AB5" s="3728"/>
      <c r="AC5" s="3710"/>
    </row>
    <row r="6" spans="1:29" ht="15.75" thickBot="1">
      <c r="A6" s="360"/>
      <c r="B6" s="361"/>
      <c r="C6" s="3729" t="s">
        <v>1676</v>
      </c>
      <c r="D6" s="3730"/>
      <c r="E6" s="3736" t="s">
        <v>1676</v>
      </c>
      <c r="F6" s="3737"/>
      <c r="G6" s="3729" t="s">
        <v>1676</v>
      </c>
      <c r="H6" s="3730"/>
      <c r="I6" s="3729" t="s">
        <v>1676</v>
      </c>
      <c r="J6" s="3730"/>
      <c r="K6" s="559" t="s">
        <v>1677</v>
      </c>
      <c r="L6" s="2694"/>
      <c r="M6" s="2695"/>
      <c r="N6" s="2695"/>
      <c r="O6" s="2695"/>
      <c r="P6" s="3720"/>
      <c r="Q6" s="3721"/>
      <c r="R6" s="3724"/>
      <c r="S6" s="3725"/>
      <c r="T6" s="3726"/>
      <c r="U6" s="3727"/>
      <c r="V6" s="3728"/>
      <c r="W6" s="3728"/>
      <c r="X6" s="1355"/>
      <c r="Y6" s="3726"/>
      <c r="Z6" s="3727"/>
      <c r="AA6" s="3711"/>
      <c r="AB6" s="3728"/>
      <c r="AC6" s="3711"/>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733" t="s">
        <v>1679</v>
      </c>
      <c r="Q7" s="3735"/>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733" t="s">
        <v>1682</v>
      </c>
      <c r="Q8" s="3734"/>
      <c r="R8" s="701" t="s">
        <v>14</v>
      </c>
      <c r="S8" s="702">
        <f t="shared" si="0"/>
        <v>100</v>
      </c>
      <c r="T8" s="701" t="s">
        <v>14</v>
      </c>
      <c r="U8" s="702">
        <f t="shared" si="1"/>
        <v>100</v>
      </c>
      <c r="V8" s="701" t="s">
        <v>14</v>
      </c>
      <c r="W8" s="702">
        <f t="shared" si="2"/>
        <v>100</v>
      </c>
      <c r="X8" s="703"/>
      <c r="Y8" s="3733" t="s">
        <v>1682</v>
      </c>
      <c r="Z8" s="373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708"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708"/>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708"/>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08"/>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08"/>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08"/>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06" t="s">
        <v>1690</v>
      </c>
      <c r="Q15" s="1352" t="str">
        <f t="shared" si="6"/>
        <v>商业繁华度</v>
      </c>
      <c r="R15" s="705" t="s">
        <v>14</v>
      </c>
      <c r="S15" s="706">
        <f t="shared" si="0"/>
        <v>100</v>
      </c>
      <c r="T15" s="705" t="s">
        <v>14</v>
      </c>
      <c r="U15" s="706">
        <f t="shared" si="1"/>
        <v>100</v>
      </c>
      <c r="V15" s="705" t="s">
        <v>14</v>
      </c>
      <c r="W15" s="706">
        <f t="shared" si="2"/>
        <v>100</v>
      </c>
      <c r="X15" s="1355"/>
      <c r="Y15" s="369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07"/>
      <c r="Q16" s="1352"/>
      <c r="R16" s="705"/>
      <c r="S16" s="706"/>
      <c r="T16" s="705"/>
      <c r="U16" s="706"/>
      <c r="V16" s="705"/>
      <c r="W16" s="706"/>
      <c r="X16" s="1355"/>
      <c r="Y16" s="3700"/>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01"/>
      <c r="M18" s="2695"/>
      <c r="N18" s="2695"/>
      <c r="O18" s="2695"/>
      <c r="P18" s="3707"/>
      <c r="Q18" s="1352"/>
      <c r="R18" s="705"/>
      <c r="S18" s="706"/>
      <c r="T18" s="705"/>
      <c r="U18" s="706"/>
      <c r="V18" s="705"/>
      <c r="W18" s="706"/>
      <c r="X18" s="1355"/>
      <c r="Y18" s="3700"/>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01"/>
      <c r="M20" s="2695"/>
      <c r="N20" s="2695"/>
      <c r="O20" s="2695"/>
      <c r="P20" s="3707"/>
      <c r="Q20" s="1352"/>
      <c r="R20" s="705"/>
      <c r="S20" s="706"/>
      <c r="T20" s="705"/>
      <c r="U20" s="706"/>
      <c r="V20" s="705"/>
      <c r="W20" s="706"/>
      <c r="X20" s="1355"/>
      <c r="Y20" s="3700"/>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01"/>
      <c r="M22" s="2695"/>
      <c r="N22" s="2695"/>
      <c r="O22" s="2695"/>
      <c r="P22" s="3707"/>
      <c r="Q22" s="1352"/>
      <c r="R22" s="705"/>
      <c r="S22" s="706"/>
      <c r="T22" s="705"/>
      <c r="U22" s="706"/>
      <c r="V22" s="705"/>
      <c r="W22" s="706"/>
      <c r="X22" s="1355"/>
      <c r="Y22" s="3700"/>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01"/>
      <c r="M24" s="2695"/>
      <c r="N24" s="2695"/>
      <c r="O24" s="2695"/>
      <c r="P24" s="3707"/>
      <c r="Q24" s="1352"/>
      <c r="R24" s="705"/>
      <c r="S24" s="706"/>
      <c r="T24" s="705"/>
      <c r="U24" s="706"/>
      <c r="V24" s="705"/>
      <c r="W24" s="706"/>
      <c r="X24" s="1355"/>
      <c r="Y24" s="370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696"/>
      <c r="M27" s="2697"/>
      <c r="N27" s="2697"/>
      <c r="O27" s="2697"/>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1"/>
      <c r="M32" s="2695"/>
      <c r="N32" s="2695"/>
      <c r="O32" s="2695"/>
      <c r="P32" s="3701" t="s">
        <v>1695</v>
      </c>
      <c r="Q32" s="1352" t="str">
        <f t="shared" si="11"/>
        <v>商业类型</v>
      </c>
      <c r="R32" s="705" t="s">
        <v>14</v>
      </c>
      <c r="S32" s="706">
        <f t="shared" si="12"/>
        <v>100</v>
      </c>
      <c r="T32" s="705" t="s">
        <v>14</v>
      </c>
      <c r="U32" s="706">
        <f t="shared" si="13"/>
        <v>100</v>
      </c>
      <c r="V32" s="705" t="s">
        <v>14</v>
      </c>
      <c r="W32" s="706">
        <f t="shared" si="14"/>
        <v>100</v>
      </c>
      <c r="X32" s="1355"/>
      <c r="Y32" s="370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1"/>
      <c r="M34" s="2695"/>
      <c r="N34" s="2695"/>
      <c r="O34" s="2695"/>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1"/>
      <c r="M35" s="2695"/>
      <c r="N35" s="2695"/>
      <c r="O35" s="2695"/>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6"/>
      <c r="M37" s="2697"/>
      <c r="N37" s="2697"/>
      <c r="O37" s="2697"/>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1"/>
      <c r="M38" s="2695"/>
      <c r="N38" s="2695"/>
      <c r="O38" s="2695"/>
      <c r="P38" s="3702" t="s">
        <v>1695</v>
      </c>
      <c r="Q38" s="1352" t="str">
        <f t="shared" si="11"/>
        <v>业态</v>
      </c>
      <c r="R38" s="705" t="s">
        <v>14</v>
      </c>
      <c r="S38" s="706">
        <f t="shared" si="12"/>
        <v>100</v>
      </c>
      <c r="T38" s="705" t="s">
        <v>14</v>
      </c>
      <c r="U38" s="706">
        <f t="shared" si="13"/>
        <v>100</v>
      </c>
      <c r="V38" s="705" t="s">
        <v>14</v>
      </c>
      <c r="W38" s="706">
        <f t="shared" si="14"/>
        <v>100</v>
      </c>
      <c r="X38" s="1355"/>
      <c r="Y38" s="3704"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1"/>
      <c r="M39" s="2695"/>
      <c r="N39" s="2695"/>
      <c r="O39" s="2695"/>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1"/>
      <c r="M42" s="2695"/>
      <c r="N42" s="2695"/>
      <c r="O42" s="2695"/>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1"/>
      <c r="M43" s="2695"/>
      <c r="N43" s="2695"/>
      <c r="O43" s="2695"/>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03"/>
      <c r="M47" s="2704"/>
      <c r="N47" s="2695"/>
      <c r="O47" s="2704"/>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03"/>
      <c r="M48" s="2704"/>
      <c r="N48" s="2695"/>
      <c r="O48" s="270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03"/>
      <c r="M49" s="2704"/>
      <c r="N49" s="2695"/>
      <c r="O49" s="270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1797</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1715</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1680</v>
      </c>
      <c r="B61" s="459"/>
      <c r="C61" s="471" t="s">
        <v>1775</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1718</v>
      </c>
      <c r="B63" s="477" t="s">
        <v>1684</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1687</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1689</v>
      </c>
      <c r="B76" s="477" t="s">
        <v>1719</v>
      </c>
      <c r="C76" s="522" t="s">
        <v>1720</v>
      </c>
      <c r="D76" s="522" t="s">
        <v>1721</v>
      </c>
      <c r="E76" s="522" t="s">
        <v>1722</v>
      </c>
      <c r="F76" s="522" t="s">
        <v>1723</v>
      </c>
      <c r="G76" s="522" t="s">
        <v>1724</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1725</v>
      </c>
      <c r="C78" s="527" t="s">
        <v>1720</v>
      </c>
      <c r="D78" s="527" t="s">
        <v>1721</v>
      </c>
      <c r="E78" s="527" t="s">
        <v>1722</v>
      </c>
      <c r="F78" s="527" t="s">
        <v>1723</v>
      </c>
      <c r="G78" s="527" t="s">
        <v>1724</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1726</v>
      </c>
      <c r="C80" s="527" t="s">
        <v>1720</v>
      </c>
      <c r="D80" s="527" t="s">
        <v>1721</v>
      </c>
      <c r="E80" s="527" t="s">
        <v>1722</v>
      </c>
      <c r="F80" s="527" t="s">
        <v>1723</v>
      </c>
      <c r="G80" s="527" t="s">
        <v>1724</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1778</v>
      </c>
      <c r="C82" s="608" t="s">
        <v>1798</v>
      </c>
      <c r="D82" s="608" t="s">
        <v>1799</v>
      </c>
      <c r="E82" s="608" t="s">
        <v>1800</v>
      </c>
      <c r="F82" s="608" t="s">
        <v>1801</v>
      </c>
      <c r="G82" s="608" t="s">
        <v>1802</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1732</v>
      </c>
      <c r="C84" s="527" t="s">
        <v>1720</v>
      </c>
      <c r="D84" s="527" t="s">
        <v>1721</v>
      </c>
      <c r="E84" s="527" t="s">
        <v>1722</v>
      </c>
      <c r="F84" s="527" t="s">
        <v>1723</v>
      </c>
      <c r="G84" s="527" t="s">
        <v>1724</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1803</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6"/>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7"/>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1693</v>
      </c>
      <c r="B100" s="477" t="s">
        <v>1804</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1737</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1739</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1741</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1805</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1806</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1807</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1808</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1743</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7"/>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13590.15</v>
      </c>
      <c r="E3" s="1953"/>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46" t="s">
        <v>1774</v>
      </c>
      <c r="Q4" s="3747"/>
      <c r="R4" s="3750" t="s">
        <v>1770</v>
      </c>
      <c r="S4" s="3751"/>
      <c r="T4" s="3750" t="s">
        <v>1771</v>
      </c>
      <c r="U4" s="3751"/>
      <c r="V4" s="3752" t="s">
        <v>1772</v>
      </c>
      <c r="W4" s="3752"/>
      <c r="X4" s="1957"/>
      <c r="Y4" s="3750" t="s">
        <v>1774</v>
      </c>
      <c r="Z4" s="3751"/>
      <c r="AA4" s="3754" t="s">
        <v>1770</v>
      </c>
      <c r="AB4" s="3754" t="s">
        <v>1771</v>
      </c>
      <c r="AC4" s="3743" t="s">
        <v>1772</v>
      </c>
    </row>
    <row r="5" spans="1:29" ht="15">
      <c r="A5" s="358"/>
      <c r="B5" s="359"/>
      <c r="C5" s="3731" t="s">
        <v>1672</v>
      </c>
      <c r="D5" s="3732"/>
      <c r="E5" s="3738" t="s">
        <v>1673</v>
      </c>
      <c r="F5" s="3739"/>
      <c r="G5" s="3731" t="s">
        <v>1674</v>
      </c>
      <c r="H5" s="3732"/>
      <c r="I5" s="3731" t="s">
        <v>1675</v>
      </c>
      <c r="J5" s="3732"/>
      <c r="K5" s="559"/>
      <c r="L5" s="2694"/>
      <c r="M5" s="2695"/>
      <c r="N5" s="2695"/>
      <c r="O5" s="2695"/>
      <c r="P5" s="3748"/>
      <c r="Q5" s="3719"/>
      <c r="R5" s="3724"/>
      <c r="S5" s="3725"/>
      <c r="T5" s="3724"/>
      <c r="U5" s="3725"/>
      <c r="V5" s="3728"/>
      <c r="W5" s="3728"/>
      <c r="X5" s="1355"/>
      <c r="Y5" s="3724"/>
      <c r="Z5" s="3725"/>
      <c r="AA5" s="3710"/>
      <c r="AB5" s="3710"/>
      <c r="AC5" s="3744"/>
    </row>
    <row r="6" spans="1:29" ht="15.75" thickBot="1">
      <c r="A6" s="360"/>
      <c r="B6" s="361"/>
      <c r="C6" s="3729" t="s">
        <v>1676</v>
      </c>
      <c r="D6" s="3730"/>
      <c r="E6" s="3736" t="s">
        <v>1676</v>
      </c>
      <c r="F6" s="3737"/>
      <c r="G6" s="3729" t="s">
        <v>1676</v>
      </c>
      <c r="H6" s="3730"/>
      <c r="I6" s="3729" t="s">
        <v>1676</v>
      </c>
      <c r="J6" s="3730"/>
      <c r="K6" s="559" t="s">
        <v>1677</v>
      </c>
      <c r="L6" s="2694"/>
      <c r="M6" s="2695"/>
      <c r="N6" s="2695"/>
      <c r="O6" s="2695"/>
      <c r="P6" s="3749"/>
      <c r="Q6" s="3721"/>
      <c r="R6" s="3724"/>
      <c r="S6" s="3725"/>
      <c r="T6" s="3726"/>
      <c r="U6" s="3727"/>
      <c r="V6" s="3728"/>
      <c r="W6" s="3728"/>
      <c r="X6" s="1355"/>
      <c r="Y6" s="3726"/>
      <c r="Z6" s="3727"/>
      <c r="AA6" s="3711"/>
      <c r="AB6" s="3711"/>
      <c r="AC6" s="3745"/>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53" t="s">
        <v>1679</v>
      </c>
      <c r="Q7" s="3735"/>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53" t="s">
        <v>1682</v>
      </c>
      <c r="Q8" s="3734"/>
      <c r="R8" s="701" t="s">
        <v>14</v>
      </c>
      <c r="S8" s="702">
        <f t="shared" si="0"/>
        <v>100</v>
      </c>
      <c r="T8" s="701" t="s">
        <v>14</v>
      </c>
      <c r="U8" s="702">
        <f t="shared" si="1"/>
        <v>100</v>
      </c>
      <c r="V8" s="701" t="s">
        <v>14</v>
      </c>
      <c r="W8" s="702">
        <f t="shared" si="2"/>
        <v>100</v>
      </c>
      <c r="X8" s="703"/>
      <c r="Y8" s="3733" t="s">
        <v>1682</v>
      </c>
      <c r="Z8" s="3734"/>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708"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1958">
        <f t="shared" si="5"/>
        <v>1</v>
      </c>
    </row>
    <row r="10" spans="1:29" s="378" customFormat="1" ht="27">
      <c r="A10" s="374"/>
      <c r="B10" s="375" t="s">
        <v>1687</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708"/>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08"/>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6"/>
      <c r="M12" s="2697"/>
      <c r="N12" s="2697"/>
      <c r="O12" s="2697"/>
      <c r="P12" s="3708"/>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1"/>
      <c r="M13" s="2695"/>
      <c r="N13" s="2695"/>
      <c r="O13" s="2695"/>
      <c r="P13" s="3708"/>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1"/>
      <c r="M14" s="2695"/>
      <c r="N14" s="2695"/>
      <c r="O14" s="2695"/>
      <c r="P14" s="3708"/>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06" t="s">
        <v>1690</v>
      </c>
      <c r="Q15" s="1352" t="str">
        <f t="shared" si="6"/>
        <v>办公集聚程度</v>
      </c>
      <c r="R15" s="705" t="s">
        <v>14</v>
      </c>
      <c r="S15" s="706">
        <f t="shared" si="0"/>
        <v>100</v>
      </c>
      <c r="T15" s="705" t="s">
        <v>14</v>
      </c>
      <c r="U15" s="706">
        <f t="shared" si="1"/>
        <v>100</v>
      </c>
      <c r="V15" s="705" t="s">
        <v>14</v>
      </c>
      <c r="W15" s="706">
        <f t="shared" si="2"/>
        <v>100</v>
      </c>
      <c r="X15" s="1355"/>
      <c r="Y15" s="3699"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01"/>
      <c r="M16" s="2695"/>
      <c r="N16" s="2695"/>
      <c r="O16" s="2695"/>
      <c r="P16" s="3707"/>
      <c r="Q16" s="1352"/>
      <c r="R16" s="705"/>
      <c r="S16" s="706"/>
      <c r="T16" s="705"/>
      <c r="U16" s="706"/>
      <c r="V16" s="705"/>
      <c r="W16" s="706"/>
      <c r="X16" s="1355"/>
      <c r="Y16" s="3700"/>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01"/>
      <c r="M18" s="2695"/>
      <c r="N18" s="2695"/>
      <c r="O18" s="2695"/>
      <c r="P18" s="3707"/>
      <c r="Q18" s="1352"/>
      <c r="R18" s="705"/>
      <c r="S18" s="706"/>
      <c r="T18" s="705"/>
      <c r="U18" s="706"/>
      <c r="V18" s="705"/>
      <c r="W18" s="706"/>
      <c r="X18" s="1355"/>
      <c r="Y18" s="3700"/>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01"/>
      <c r="M20" s="2695"/>
      <c r="N20" s="2695"/>
      <c r="O20" s="2695"/>
      <c r="P20" s="3707"/>
      <c r="Q20" s="1352"/>
      <c r="R20" s="705"/>
      <c r="S20" s="706"/>
      <c r="T20" s="705"/>
      <c r="U20" s="706"/>
      <c r="V20" s="705"/>
      <c r="W20" s="706"/>
      <c r="X20" s="1355"/>
      <c r="Y20" s="3700"/>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01"/>
      <c r="M22" s="2695"/>
      <c r="N22" s="2695"/>
      <c r="O22" s="2695"/>
      <c r="P22" s="3707"/>
      <c r="Q22" s="1352"/>
      <c r="R22" s="705"/>
      <c r="S22" s="706"/>
      <c r="T22" s="705"/>
      <c r="U22" s="706"/>
      <c r="V22" s="705"/>
      <c r="W22" s="706"/>
      <c r="X22" s="1355"/>
      <c r="Y22" s="3700"/>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01"/>
      <c r="M24" s="2695"/>
      <c r="N24" s="2695"/>
      <c r="O24" s="2695"/>
      <c r="P24" s="3707"/>
      <c r="Q24" s="1352"/>
      <c r="R24" s="705"/>
      <c r="S24" s="706"/>
      <c r="T24" s="705"/>
      <c r="U24" s="706"/>
      <c r="V24" s="705"/>
      <c r="W24" s="706"/>
      <c r="X24" s="1355"/>
      <c r="Y24" s="3700"/>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01"/>
      <c r="M25" s="2695"/>
      <c r="N25" s="2695"/>
      <c r="O25" s="2695"/>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01"/>
      <c r="M26" s="2695"/>
      <c r="N26" s="2695"/>
      <c r="O26" s="2695"/>
      <c r="P26" s="3707"/>
      <c r="Q26" s="1352"/>
      <c r="R26" s="705"/>
      <c r="S26" s="706"/>
      <c r="T26" s="705"/>
      <c r="U26" s="706"/>
      <c r="V26" s="705"/>
      <c r="W26" s="706"/>
      <c r="X26" s="1355"/>
      <c r="Y26" s="3700"/>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696"/>
      <c r="M28" s="2697"/>
      <c r="N28" s="2697"/>
      <c r="O28" s="2697"/>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1"/>
      <c r="M29" s="2695"/>
      <c r="N29" s="2695"/>
      <c r="O29" s="2695"/>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1"/>
      <c r="M30" s="2695"/>
      <c r="N30" s="2695"/>
      <c r="O30" s="269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1"/>
      <c r="M31" s="2695"/>
      <c r="N31" s="2695"/>
      <c r="O31" s="269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1"/>
      <c r="M32" s="2695"/>
      <c r="N32" s="2695"/>
      <c r="O32" s="2695"/>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1"/>
      <c r="M33" s="2695"/>
      <c r="N33" s="2695"/>
      <c r="O33" s="2695"/>
      <c r="P33" s="3701" t="s">
        <v>1695</v>
      </c>
      <c r="Q33" s="1352" t="str">
        <f t="shared" si="11"/>
        <v>建筑类型</v>
      </c>
      <c r="R33" s="705" t="s">
        <v>14</v>
      </c>
      <c r="S33" s="706">
        <f t="shared" si="12"/>
        <v>100</v>
      </c>
      <c r="T33" s="705" t="s">
        <v>14</v>
      </c>
      <c r="U33" s="706">
        <f t="shared" si="13"/>
        <v>100</v>
      </c>
      <c r="V33" s="705" t="s">
        <v>14</v>
      </c>
      <c r="W33" s="706">
        <f t="shared" si="14"/>
        <v>100</v>
      </c>
      <c r="X33" s="1355"/>
      <c r="Y33" s="3704"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02" t="s">
        <v>1695</v>
      </c>
      <c r="Q39" s="1352" t="str">
        <f t="shared" si="11"/>
        <v>物业管理</v>
      </c>
      <c r="R39" s="705" t="s">
        <v>14</v>
      </c>
      <c r="S39" s="706">
        <f t="shared" si="12"/>
        <v>100</v>
      </c>
      <c r="T39" s="705" t="s">
        <v>14</v>
      </c>
      <c r="U39" s="706">
        <f t="shared" si="13"/>
        <v>100</v>
      </c>
      <c r="V39" s="705" t="s">
        <v>14</v>
      </c>
      <c r="W39" s="706">
        <f t="shared" si="14"/>
        <v>100</v>
      </c>
      <c r="X39" s="1355"/>
      <c r="Y39" s="3704"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1"/>
      <c r="M44" s="2695"/>
      <c r="N44" s="2695"/>
      <c r="O44" s="2695"/>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03"/>
      <c r="M48" s="2695"/>
      <c r="N48" s="2695"/>
      <c r="O48" s="2695"/>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03"/>
      <c r="M49" s="2695"/>
      <c r="N49" s="2695"/>
      <c r="O49" s="2695"/>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03"/>
      <c r="M50" s="2695"/>
      <c r="N50" s="2695"/>
      <c r="O50" s="269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1797</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1715</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1680</v>
      </c>
      <c r="B62" s="459"/>
      <c r="C62" s="471" t="s">
        <v>1775</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1718</v>
      </c>
      <c r="B64" s="477" t="s">
        <v>1684</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1687</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1689</v>
      </c>
      <c r="B77" s="477" t="s">
        <v>1820</v>
      </c>
      <c r="C77" s="522" t="s">
        <v>1720</v>
      </c>
      <c r="D77" s="522" t="s">
        <v>1721</v>
      </c>
      <c r="E77" s="522" t="s">
        <v>1722</v>
      </c>
      <c r="F77" s="522" t="s">
        <v>1723</v>
      </c>
      <c r="G77" s="522" t="s">
        <v>1724</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1725</v>
      </c>
      <c r="C79" s="527" t="s">
        <v>1720</v>
      </c>
      <c r="D79" s="527" t="s">
        <v>1721</v>
      </c>
      <c r="E79" s="527" t="s">
        <v>1722</v>
      </c>
      <c r="F79" s="527" t="s">
        <v>1723</v>
      </c>
      <c r="G79" s="527" t="s">
        <v>1724</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1726</v>
      </c>
      <c r="C81" s="527" t="s">
        <v>1720</v>
      </c>
      <c r="D81" s="527" t="s">
        <v>1721</v>
      </c>
      <c r="E81" s="527" t="s">
        <v>1722</v>
      </c>
      <c r="F81" s="527" t="s">
        <v>1723</v>
      </c>
      <c r="G81" s="527" t="s">
        <v>1724</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1812</v>
      </c>
      <c r="C83" s="608" t="s">
        <v>1798</v>
      </c>
      <c r="D83" s="608" t="s">
        <v>1799</v>
      </c>
      <c r="E83" s="608" t="s">
        <v>1800</v>
      </c>
      <c r="F83" s="608" t="s">
        <v>1801</v>
      </c>
      <c r="G83" s="608" t="s">
        <v>1802</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1821</v>
      </c>
      <c r="C85" s="527" t="s">
        <v>1720</v>
      </c>
      <c r="D85" s="527" t="s">
        <v>1721</v>
      </c>
      <c r="E85" s="527" t="s">
        <v>1722</v>
      </c>
      <c r="F85" s="527" t="s">
        <v>1723</v>
      </c>
      <c r="G85" s="527" t="s">
        <v>1724</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1822</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6"/>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7"/>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1693</v>
      </c>
      <c r="B101" s="477" t="s">
        <v>1735</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1737</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1739</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1823</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1740</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1741</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1824</v>
      </c>
      <c r="C119" s="532"/>
      <c r="D119" s="532"/>
      <c r="E119" s="532"/>
      <c r="F119" s="532"/>
      <c r="G119" s="532"/>
      <c r="H119" s="532"/>
      <c r="I119" s="532"/>
      <c r="J119" s="532"/>
      <c r="K119" s="532"/>
      <c r="L119" s="1967"/>
      <c r="M119" s="1968"/>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1807</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1743</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7"/>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估价对象为北京市房地产，为所有。根据《国有土地使用证》[]，估价对象（分摊）出让国有建设用地使用权面积为7963.76平方米，建筑面积为13590.15平方米。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估价对象为北京市房地产,为开发建设的，该项目尚在开发建设中。根据《国有土地使用证》[]，估价对象（分摊）出让国有建设用地使用权面积为7963.76平方米，规划建筑面积为13590.15平方米。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13590.15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722" t="s">
        <v>1770</v>
      </c>
      <c r="S4" s="3723"/>
      <c r="T4" s="3722" t="s">
        <v>1771</v>
      </c>
      <c r="U4" s="3723"/>
      <c r="V4" s="3728" t="s">
        <v>1772</v>
      </c>
      <c r="W4" s="3728"/>
      <c r="X4" s="1355"/>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1679</v>
      </c>
      <c r="Q7" s="3735"/>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1682</v>
      </c>
      <c r="Q8" s="3734"/>
      <c r="R8" s="701" t="s">
        <v>14</v>
      </c>
      <c r="S8" s="702">
        <f t="shared" si="0"/>
        <v>100</v>
      </c>
      <c r="T8" s="701" t="s">
        <v>14</v>
      </c>
      <c r="U8" s="702">
        <f t="shared" si="1"/>
        <v>100</v>
      </c>
      <c r="V8" s="701" t="s">
        <v>14</v>
      </c>
      <c r="W8" s="702">
        <f t="shared" si="2"/>
        <v>100</v>
      </c>
      <c r="X8" s="703"/>
      <c r="Y8" s="3733" t="s">
        <v>1682</v>
      </c>
      <c r="Z8" s="373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1689</v>
      </c>
      <c r="B15" s="61" t="s">
        <v>1826</v>
      </c>
      <c r="C15" s="1970"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15">
      <c r="A19" s="379"/>
      <c r="B19" s="402" t="s">
        <v>1811</v>
      </c>
      <c r="C19" s="1899"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15">
      <c r="A21" s="379"/>
      <c r="B21" s="1131"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7.7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5" t="s">
        <v>1695</v>
      </c>
      <c r="Q29" s="1352" t="str">
        <f t="shared" si="11"/>
        <v>建筑类型</v>
      </c>
      <c r="R29" s="705" t="s">
        <v>14</v>
      </c>
      <c r="S29" s="706">
        <f t="shared" si="12"/>
        <v>100</v>
      </c>
      <c r="T29" s="705" t="s">
        <v>14</v>
      </c>
      <c r="U29" s="706">
        <f t="shared" si="13"/>
        <v>100</v>
      </c>
      <c r="V29" s="705" t="s">
        <v>14</v>
      </c>
      <c r="W29" s="706">
        <f t="shared" si="14"/>
        <v>100</v>
      </c>
      <c r="X29" s="1355"/>
      <c r="Y29" s="370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1695</v>
      </c>
      <c r="Q35" s="1352" t="str">
        <f t="shared" si="11"/>
        <v>市政基础设施</v>
      </c>
      <c r="R35" s="705" t="s">
        <v>14</v>
      </c>
      <c r="S35" s="706">
        <f t="shared" si="12"/>
        <v>100</v>
      </c>
      <c r="T35" s="705" t="s">
        <v>14</v>
      </c>
      <c r="U35" s="706">
        <f t="shared" si="13"/>
        <v>100</v>
      </c>
      <c r="V35" s="705" t="s">
        <v>14</v>
      </c>
      <c r="W35" s="706">
        <f t="shared" si="14"/>
        <v>100</v>
      </c>
      <c r="X35" s="1355"/>
      <c r="Y35" s="370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49"/>
      <c r="O54" s="275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12"/>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722" t="s">
        <v>1770</v>
      </c>
      <c r="S4" s="3723"/>
      <c r="T4" s="3722" t="s">
        <v>1771</v>
      </c>
      <c r="U4" s="3723"/>
      <c r="V4" s="3728" t="s">
        <v>1772</v>
      </c>
      <c r="W4" s="3728"/>
      <c r="X4" s="1355"/>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694"/>
      <c r="M5" s="2695"/>
      <c r="N5" s="2695"/>
      <c r="O5" s="2695"/>
      <c r="P5" s="3718"/>
      <c r="Q5" s="3719"/>
      <c r="R5" s="3724"/>
      <c r="S5" s="3725"/>
      <c r="T5" s="3724"/>
      <c r="U5" s="3725"/>
      <c r="V5" s="3728"/>
      <c r="W5" s="3728"/>
      <c r="X5" s="1355"/>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2694"/>
      <c r="M6" s="2695"/>
      <c r="N6" s="2695"/>
      <c r="O6" s="2695"/>
      <c r="P6" s="3720"/>
      <c r="Q6" s="3721"/>
      <c r="R6" s="3724"/>
      <c r="S6" s="3725"/>
      <c r="T6" s="3726"/>
      <c r="U6" s="3727"/>
      <c r="V6" s="3728"/>
      <c r="W6" s="3728"/>
      <c r="X6" s="1355"/>
      <c r="Y6" s="3726"/>
      <c r="Z6" s="3727"/>
      <c r="AA6" s="3711"/>
      <c r="AB6" s="3711"/>
      <c r="AC6" s="3711"/>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733" t="s">
        <v>1679</v>
      </c>
      <c r="Q7" s="3735"/>
      <c r="R7" s="701" t="s">
        <v>14</v>
      </c>
      <c r="S7" s="702">
        <f t="shared" ref="S7:S14" si="0">F7</f>
        <v>0</v>
      </c>
      <c r="T7" s="701" t="s">
        <v>14</v>
      </c>
      <c r="U7" s="702">
        <f t="shared" ref="U7:U14" si="1">H7</f>
        <v>0</v>
      </c>
      <c r="V7" s="701" t="s">
        <v>14</v>
      </c>
      <c r="W7" s="702">
        <f t="shared" ref="W7:W14"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733" t="s">
        <v>1682</v>
      </c>
      <c r="Q8" s="3734"/>
      <c r="R8" s="701" t="s">
        <v>14</v>
      </c>
      <c r="S8" s="702">
        <f t="shared" si="0"/>
        <v>100</v>
      </c>
      <c r="T8" s="701" t="s">
        <v>14</v>
      </c>
      <c r="U8" s="702">
        <f t="shared" si="1"/>
        <v>100</v>
      </c>
      <c r="V8" s="701" t="s">
        <v>14</v>
      </c>
      <c r="W8" s="702">
        <f t="shared" si="2"/>
        <v>100</v>
      </c>
      <c r="X8" s="703"/>
      <c r="Y8" s="3733" t="s">
        <v>1682</v>
      </c>
      <c r="Z8" s="373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97" t="s">
        <v>1685</v>
      </c>
      <c r="Q9" s="1343" t="str">
        <f t="shared" ref="Q9:Q14" si="6">B9</f>
        <v>用途</v>
      </c>
      <c r="R9" s="701" t="s">
        <v>14</v>
      </c>
      <c r="S9" s="702">
        <f t="shared" si="0"/>
        <v>100</v>
      </c>
      <c r="T9" s="701" t="s">
        <v>14</v>
      </c>
      <c r="U9" s="702">
        <f t="shared" si="1"/>
        <v>100</v>
      </c>
      <c r="V9" s="701" t="s">
        <v>14</v>
      </c>
      <c r="W9" s="702">
        <f t="shared" si="2"/>
        <v>100</v>
      </c>
      <c r="X9" s="703"/>
      <c r="Y9" s="3549" t="s">
        <v>1686</v>
      </c>
      <c r="Z9" s="52" t="str">
        <f t="shared" ref="Z9:Z14" si="7">Q9</f>
        <v>用途</v>
      </c>
      <c r="AA9" s="704">
        <f t="shared" si="3"/>
        <v>1</v>
      </c>
      <c r="AB9" s="704">
        <f t="shared" si="4"/>
        <v>1</v>
      </c>
      <c r="AC9" s="704">
        <f t="shared" si="5"/>
        <v>1</v>
      </c>
    </row>
    <row r="10" spans="1:29" s="378" customFormat="1" ht="27">
      <c r="A10" s="589"/>
      <c r="B10" s="590" t="s">
        <v>1687</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97"/>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97"/>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97"/>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97"/>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00"/>
      <c r="Q15" s="1352"/>
      <c r="R15" s="705"/>
      <c r="S15" s="706"/>
      <c r="T15" s="705"/>
      <c r="U15" s="706"/>
      <c r="V15" s="705"/>
      <c r="W15" s="706"/>
      <c r="X15" s="1355"/>
      <c r="Y15" s="3700"/>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01"/>
      <c r="M17" s="2695"/>
      <c r="N17" s="2695"/>
      <c r="O17" s="2695"/>
      <c r="P17" s="3700"/>
      <c r="Q17" s="1352"/>
      <c r="R17" s="705"/>
      <c r="S17" s="706"/>
      <c r="T17" s="705"/>
      <c r="U17" s="706"/>
      <c r="V17" s="705"/>
      <c r="W17" s="706"/>
      <c r="X17" s="1355"/>
      <c r="Y17" s="3700"/>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01"/>
      <c r="M19" s="2695"/>
      <c r="N19" s="2695"/>
      <c r="O19" s="2695"/>
      <c r="P19" s="3700"/>
      <c r="Q19" s="1352"/>
      <c r="R19" s="705"/>
      <c r="S19" s="706"/>
      <c r="T19" s="705"/>
      <c r="U19" s="706"/>
      <c r="V19" s="705"/>
      <c r="W19" s="706"/>
      <c r="X19" s="1355"/>
      <c r="Y19" s="3700"/>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00"/>
      <c r="Q21" s="1352"/>
      <c r="R21" s="705"/>
      <c r="S21" s="706"/>
      <c r="T21" s="705"/>
      <c r="U21" s="706"/>
      <c r="V21" s="705"/>
      <c r="W21" s="706"/>
      <c r="X21" s="1355"/>
      <c r="Y21" s="370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7.7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04" t="s">
        <v>1695</v>
      </c>
      <c r="Q32" s="1352" t="str">
        <f t="shared" si="11"/>
        <v>车位类型</v>
      </c>
      <c r="R32" s="705" t="s">
        <v>14</v>
      </c>
      <c r="S32" s="706">
        <f t="shared" si="12"/>
        <v>100</v>
      </c>
      <c r="T32" s="705" t="s">
        <v>14</v>
      </c>
      <c r="U32" s="706">
        <f t="shared" si="13"/>
        <v>100</v>
      </c>
      <c r="V32" s="705" t="s">
        <v>14</v>
      </c>
      <c r="W32" s="706">
        <f t="shared" si="14"/>
        <v>100</v>
      </c>
      <c r="X32" s="1355"/>
      <c r="Y32" s="370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1843</v>
      </c>
      <c r="B37" s="1972" t="s">
        <v>3353</v>
      </c>
      <c r="C37" s="1154" t="s">
        <v>0</v>
      </c>
      <c r="D37" s="1155"/>
      <c r="E37" s="1156"/>
      <c r="F37" s="1157"/>
      <c r="G37" s="1158"/>
      <c r="H37" s="1159"/>
      <c r="I37" s="1156"/>
      <c r="J37" s="1159"/>
      <c r="K37" s="568"/>
      <c r="L37" s="2703"/>
      <c r="M37" s="2704"/>
      <c r="N37" s="2695"/>
      <c r="O37" s="2704"/>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03"/>
      <c r="M38" s="2704"/>
      <c r="N38" s="2704"/>
      <c r="O38" s="2704"/>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03"/>
      <c r="M39" s="2704"/>
      <c r="N39" s="2704"/>
      <c r="O39" s="2704"/>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1849</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1715</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1680</v>
      </c>
      <c r="B51" s="459"/>
      <c r="C51" s="471" t="s">
        <v>1775</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1718</v>
      </c>
      <c r="B53" s="477" t="s">
        <v>1684</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1687</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1726</v>
      </c>
      <c r="C65" s="527" t="s">
        <v>1720</v>
      </c>
      <c r="D65" s="527" t="s">
        <v>1721</v>
      </c>
      <c r="E65" s="527" t="s">
        <v>1722</v>
      </c>
      <c r="F65" s="527" t="s">
        <v>1723</v>
      </c>
      <c r="G65" s="527" t="s">
        <v>1724</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1812</v>
      </c>
      <c r="C67" s="608" t="s">
        <v>1798</v>
      </c>
      <c r="D67" s="608" t="s">
        <v>1799</v>
      </c>
      <c r="E67" s="608" t="s">
        <v>1800</v>
      </c>
      <c r="F67" s="608" t="s">
        <v>1801</v>
      </c>
      <c r="G67" s="608" t="s">
        <v>1802</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1732</v>
      </c>
      <c r="C69" s="527" t="s">
        <v>1720</v>
      </c>
      <c r="D69" s="527" t="s">
        <v>1721</v>
      </c>
      <c r="E69" s="527" t="s">
        <v>1722</v>
      </c>
      <c r="F69" s="527" t="s">
        <v>1723</v>
      </c>
      <c r="G69" s="527" t="s">
        <v>1724</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1851</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1693</v>
      </c>
      <c r="B79" s="477" t="s">
        <v>1852</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1853</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1739</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1855</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1857</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1858</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722" t="s">
        <v>1770</v>
      </c>
      <c r="S4" s="3723"/>
      <c r="T4" s="3722" t="s">
        <v>1771</v>
      </c>
      <c r="U4" s="3723"/>
      <c r="V4" s="3728" t="s">
        <v>1772</v>
      </c>
      <c r="W4" s="3728"/>
      <c r="X4" s="1355"/>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694"/>
      <c r="M5" s="2695"/>
      <c r="N5" s="2695"/>
      <c r="O5" s="2695"/>
      <c r="P5" s="3718"/>
      <c r="Q5" s="3719"/>
      <c r="R5" s="3724"/>
      <c r="S5" s="3725"/>
      <c r="T5" s="3724"/>
      <c r="U5" s="3725"/>
      <c r="V5" s="3728"/>
      <c r="W5" s="3728"/>
      <c r="X5" s="1355"/>
      <c r="Y5" s="3724"/>
      <c r="Z5" s="3725"/>
      <c r="AA5" s="3710"/>
      <c r="AB5" s="3710"/>
      <c r="AC5" s="3710"/>
    </row>
    <row r="6" spans="1:29" ht="15.75" thickBot="1">
      <c r="A6" s="360"/>
      <c r="B6" s="361"/>
      <c r="C6" s="3729" t="s">
        <v>1676</v>
      </c>
      <c r="D6" s="3730"/>
      <c r="E6" s="3736" t="s">
        <v>1676</v>
      </c>
      <c r="F6" s="3737"/>
      <c r="G6" s="3729" t="s">
        <v>1676</v>
      </c>
      <c r="H6" s="3730"/>
      <c r="I6" s="3729" t="s">
        <v>1676</v>
      </c>
      <c r="J6" s="3730"/>
      <c r="K6" s="559" t="s">
        <v>1677</v>
      </c>
      <c r="L6" s="2694"/>
      <c r="M6" s="2695"/>
      <c r="N6" s="2695"/>
      <c r="O6" s="2695"/>
      <c r="P6" s="3720"/>
      <c r="Q6" s="3721"/>
      <c r="R6" s="3724"/>
      <c r="S6" s="3725"/>
      <c r="T6" s="3726"/>
      <c r="U6" s="3727"/>
      <c r="V6" s="3728"/>
      <c r="W6" s="3728"/>
      <c r="X6" s="1355"/>
      <c r="Y6" s="3726"/>
      <c r="Z6" s="3727"/>
      <c r="AA6" s="3711"/>
      <c r="AB6" s="3711"/>
      <c r="AC6" s="3711"/>
    </row>
    <row r="7" spans="1:29" s="108" customFormat="1" ht="15.75" thickBot="1">
      <c r="A7" s="362" t="s">
        <v>1678</v>
      </c>
      <c r="B7" s="363"/>
      <c r="C7" s="364">
        <f>'数据-取费表'!B2</f>
        <v>45631</v>
      </c>
      <c r="D7" s="365">
        <v>100</v>
      </c>
      <c r="E7" s="366"/>
      <c r="F7" s="367">
        <f>SUMIF(46:46,YEAR(E7)&amp;"-"&amp;MONTH(E7),47:47)</f>
        <v>0</v>
      </c>
      <c r="G7" s="1973"/>
      <c r="H7" s="365">
        <f>SUMIF(46:46,YEAR(G7)&amp;"-"&amp;MONTH(G7),47:47)</f>
        <v>0</v>
      </c>
      <c r="I7" s="366"/>
      <c r="J7" s="365">
        <f>SUMIF(46:46,YEAR(I7)&amp;"-"&amp;MONTH(I7),47:47)</f>
        <v>0</v>
      </c>
      <c r="K7" s="560"/>
      <c r="L7" s="2696"/>
      <c r="M7" s="2697"/>
      <c r="N7" s="2697"/>
      <c r="O7" s="2697"/>
      <c r="P7" s="3733" t="s">
        <v>1679</v>
      </c>
      <c r="Q7" s="3735"/>
      <c r="R7" s="701" t="s">
        <v>14</v>
      </c>
      <c r="S7" s="702">
        <f t="shared" ref="S7:S14" si="0">F7</f>
        <v>0</v>
      </c>
      <c r="T7" s="701" t="s">
        <v>14</v>
      </c>
      <c r="U7" s="702">
        <f t="shared" ref="U7:U14" si="1">H7</f>
        <v>0</v>
      </c>
      <c r="V7" s="701" t="s">
        <v>14</v>
      </c>
      <c r="W7" s="702">
        <f t="shared" ref="W7:W14"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733" t="s">
        <v>1682</v>
      </c>
      <c r="Q8" s="3734"/>
      <c r="R8" s="701" t="s">
        <v>14</v>
      </c>
      <c r="S8" s="702">
        <f t="shared" si="0"/>
        <v>100</v>
      </c>
      <c r="T8" s="701" t="s">
        <v>14</v>
      </c>
      <c r="U8" s="702">
        <f t="shared" si="1"/>
        <v>100</v>
      </c>
      <c r="V8" s="701" t="s">
        <v>14</v>
      </c>
      <c r="W8" s="702">
        <f t="shared" si="2"/>
        <v>100</v>
      </c>
      <c r="X8" s="703"/>
      <c r="Y8" s="3733" t="s">
        <v>1682</v>
      </c>
      <c r="Z8" s="373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97" t="s">
        <v>1685</v>
      </c>
      <c r="Q9" s="1343" t="str">
        <f t="shared" ref="Q9:Q14" si="6">B9</f>
        <v>用途</v>
      </c>
      <c r="R9" s="701" t="s">
        <v>14</v>
      </c>
      <c r="S9" s="702">
        <f t="shared" si="0"/>
        <v>100</v>
      </c>
      <c r="T9" s="701" t="s">
        <v>14</v>
      </c>
      <c r="U9" s="702">
        <f t="shared" si="1"/>
        <v>100</v>
      </c>
      <c r="V9" s="701" t="s">
        <v>14</v>
      </c>
      <c r="W9" s="702">
        <f t="shared" si="2"/>
        <v>100</v>
      </c>
      <c r="X9" s="703"/>
      <c r="Y9" s="3549" t="s">
        <v>1686</v>
      </c>
      <c r="Z9" s="52" t="str">
        <f t="shared" ref="Z9:Z14" si="7">Q9</f>
        <v>用途</v>
      </c>
      <c r="AA9" s="704">
        <f t="shared" si="3"/>
        <v>1</v>
      </c>
      <c r="AB9" s="704">
        <f t="shared" si="4"/>
        <v>1</v>
      </c>
      <c r="AC9" s="704">
        <f t="shared" si="5"/>
        <v>1</v>
      </c>
    </row>
    <row r="10" spans="1:29" s="378" customFormat="1" ht="27">
      <c r="A10" s="374"/>
      <c r="B10" s="375" t="s">
        <v>1687</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97"/>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97"/>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97"/>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1"/>
      <c r="M13" s="2695"/>
      <c r="N13" s="2695"/>
      <c r="O13" s="2753"/>
      <c r="P13" s="3697"/>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00"/>
      <c r="Q15" s="1352"/>
      <c r="R15" s="705"/>
      <c r="S15" s="706"/>
      <c r="T15" s="705"/>
      <c r="U15" s="706"/>
      <c r="V15" s="705"/>
      <c r="W15" s="706"/>
      <c r="X15" s="1355"/>
      <c r="Y15" s="3700"/>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01"/>
      <c r="M17" s="2695"/>
      <c r="N17" s="2695"/>
      <c r="O17" s="2753"/>
      <c r="P17" s="3700"/>
      <c r="Q17" s="1352"/>
      <c r="R17" s="705"/>
      <c r="S17" s="706"/>
      <c r="T17" s="705"/>
      <c r="U17" s="706"/>
      <c r="V17" s="705"/>
      <c r="W17" s="706"/>
      <c r="X17" s="1355"/>
      <c r="Y17" s="3700"/>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01"/>
      <c r="M19" s="2695"/>
      <c r="N19" s="2695"/>
      <c r="O19" s="2753"/>
      <c r="P19" s="3700"/>
      <c r="Q19" s="1352"/>
      <c r="R19" s="705"/>
      <c r="S19" s="706"/>
      <c r="T19" s="705"/>
      <c r="U19" s="706"/>
      <c r="V19" s="705"/>
      <c r="W19" s="706"/>
      <c r="X19" s="1355"/>
      <c r="Y19" s="3700"/>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00"/>
      <c r="Q21" s="1352"/>
      <c r="R21" s="705"/>
      <c r="S21" s="706"/>
      <c r="T21" s="705"/>
      <c r="U21" s="706"/>
      <c r="V21" s="705"/>
      <c r="W21" s="706"/>
      <c r="X21" s="1355"/>
      <c r="Y21" s="370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6"/>
      <c r="M25" s="2697"/>
      <c r="N25" s="2697"/>
      <c r="O25" s="275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7.7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01"/>
      <c r="M26" s="2695"/>
      <c r="N26" s="2695"/>
      <c r="O26" s="2753"/>
      <c r="P26" s="37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04" t="s">
        <v>1695</v>
      </c>
      <c r="Q32" s="1352">
        <f t="shared" si="11"/>
        <v>111</v>
      </c>
      <c r="R32" s="705" t="s">
        <v>14</v>
      </c>
      <c r="S32" s="706">
        <f t="shared" si="12"/>
        <v>100</v>
      </c>
      <c r="T32" s="705" t="s">
        <v>14</v>
      </c>
      <c r="U32" s="706">
        <f t="shared" si="13"/>
        <v>100</v>
      </c>
      <c r="V32" s="705" t="s">
        <v>14</v>
      </c>
      <c r="W32" s="706">
        <f t="shared" si="14"/>
        <v>100</v>
      </c>
      <c r="X32" s="1355"/>
      <c r="Y32" s="3704"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1"/>
      <c r="M34" s="2695"/>
      <c r="N34" s="2695"/>
      <c r="O34" s="275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03"/>
      <c r="M35" s="2704"/>
      <c r="N35" s="2695"/>
      <c r="O35" s="2704"/>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03"/>
      <c r="M36" s="2704"/>
      <c r="N36" s="2695"/>
      <c r="O36" s="270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03"/>
      <c r="M37" s="2704"/>
      <c r="N37" s="2704"/>
      <c r="O37" s="2704"/>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1797</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1715</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1680</v>
      </c>
      <c r="B49" s="459"/>
      <c r="C49" s="471" t="s">
        <v>1775</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1718</v>
      </c>
      <c r="B51" s="477" t="s">
        <v>1684</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1687</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1862</v>
      </c>
      <c r="C63" s="527" t="s">
        <v>1720</v>
      </c>
      <c r="D63" s="527" t="s">
        <v>1721</v>
      </c>
      <c r="E63" s="527" t="s">
        <v>1722</v>
      </c>
      <c r="F63" s="527" t="s">
        <v>1723</v>
      </c>
      <c r="G63" s="527" t="s">
        <v>1724</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1812</v>
      </c>
      <c r="C65" s="608" t="s">
        <v>1798</v>
      </c>
      <c r="D65" s="608" t="s">
        <v>1799</v>
      </c>
      <c r="E65" s="608" t="s">
        <v>1800</v>
      </c>
      <c r="F65" s="608" t="s">
        <v>1801</v>
      </c>
      <c r="G65" s="608" t="s">
        <v>1802</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1732</v>
      </c>
      <c r="C67" s="527" t="s">
        <v>1720</v>
      </c>
      <c r="D67" s="527" t="s">
        <v>1721</v>
      </c>
      <c r="E67" s="527" t="s">
        <v>1722</v>
      </c>
      <c r="F67" s="527" t="s">
        <v>1723</v>
      </c>
      <c r="G67" s="527" t="s">
        <v>1724</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1851</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1693</v>
      </c>
      <c r="B77" s="477" t="s">
        <v>1739</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1855</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1863</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1865</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722" t="s">
        <v>1770</v>
      </c>
      <c r="S4" s="3723"/>
      <c r="T4" s="3722" t="s">
        <v>1771</v>
      </c>
      <c r="U4" s="3723"/>
      <c r="V4" s="3728" t="s">
        <v>1772</v>
      </c>
      <c r="W4" s="3728"/>
      <c r="X4" s="1355"/>
      <c r="Y4" s="3722" t="s">
        <v>1774</v>
      </c>
      <c r="Z4" s="3723"/>
      <c r="AA4" s="3709" t="s">
        <v>1770</v>
      </c>
      <c r="AB4" s="3710" t="s">
        <v>1771</v>
      </c>
      <c r="AC4" s="3709" t="s">
        <v>1772</v>
      </c>
    </row>
    <row r="5" spans="1:30" ht="15">
      <c r="A5" s="358"/>
      <c r="B5" s="359"/>
      <c r="C5" s="3731" t="s">
        <v>1672</v>
      </c>
      <c r="D5" s="3732"/>
      <c r="E5" s="3738" t="s">
        <v>1673</v>
      </c>
      <c r="F5" s="3739"/>
      <c r="G5" s="3731" t="s">
        <v>1674</v>
      </c>
      <c r="H5" s="3732"/>
      <c r="I5" s="3731" t="s">
        <v>1675</v>
      </c>
      <c r="J5" s="3732"/>
      <c r="K5" s="559"/>
      <c r="L5" s="2694"/>
      <c r="M5" s="2695"/>
      <c r="N5" s="2695"/>
      <c r="O5" s="2695"/>
      <c r="P5" s="3718"/>
      <c r="Q5" s="3719"/>
      <c r="R5" s="3724"/>
      <c r="S5" s="3725"/>
      <c r="T5" s="3724"/>
      <c r="U5" s="3725"/>
      <c r="V5" s="3728"/>
      <c r="W5" s="3728"/>
      <c r="X5" s="1355"/>
      <c r="Y5" s="3724"/>
      <c r="Z5" s="3725"/>
      <c r="AA5" s="3710"/>
      <c r="AB5" s="3710"/>
      <c r="AC5" s="3710"/>
    </row>
    <row r="6" spans="1:30" ht="15.75" thickBot="1">
      <c r="A6" s="360"/>
      <c r="B6" s="361"/>
      <c r="C6" s="3729" t="s">
        <v>1676</v>
      </c>
      <c r="D6" s="3730"/>
      <c r="E6" s="3736" t="s">
        <v>1676</v>
      </c>
      <c r="F6" s="3737"/>
      <c r="G6" s="3729" t="s">
        <v>1676</v>
      </c>
      <c r="H6" s="3730"/>
      <c r="I6" s="3729" t="s">
        <v>1676</v>
      </c>
      <c r="J6" s="3730"/>
      <c r="K6" s="559" t="s">
        <v>1677</v>
      </c>
      <c r="L6" s="2694"/>
      <c r="M6" s="2695"/>
      <c r="N6" s="2695"/>
      <c r="O6" s="2695"/>
      <c r="P6" s="3720"/>
      <c r="Q6" s="3721"/>
      <c r="R6" s="3724"/>
      <c r="S6" s="3725"/>
      <c r="T6" s="3726"/>
      <c r="U6" s="3727"/>
      <c r="V6" s="3728"/>
      <c r="W6" s="3728"/>
      <c r="X6" s="1355"/>
      <c r="Y6" s="3726"/>
      <c r="Z6" s="3727"/>
      <c r="AA6" s="3711"/>
      <c r="AB6" s="3711"/>
      <c r="AC6" s="3711"/>
    </row>
    <row r="7" spans="1:30" s="108" customFormat="1" ht="15.75" thickBot="1">
      <c r="A7" s="362" t="s">
        <v>1678</v>
      </c>
      <c r="B7" s="363"/>
      <c r="C7" s="364">
        <f>'数据-取费表'!B2</f>
        <v>45631</v>
      </c>
      <c r="D7" s="365">
        <v>100</v>
      </c>
      <c r="E7" s="366"/>
      <c r="F7" s="367">
        <f>SUMIF(69:69,YEAR(E7)&amp;"-"&amp;INT((MONTH(E7)+2)/3),70:70)</f>
        <v>0</v>
      </c>
      <c r="G7" s="1973"/>
      <c r="H7" s="365">
        <f>SUMIF(69:69,YEAR(G7)&amp;"-"&amp;INT((MONTH(G7)+2)/3),70:70)</f>
        <v>0</v>
      </c>
      <c r="I7" s="1973"/>
      <c r="J7" s="365">
        <f>SUMIF(69:69,YEAR(I7)&amp;"-"&amp;INT((MONTH(I7)+2)/3),70:70)</f>
        <v>0</v>
      </c>
      <c r="K7" s="560"/>
      <c r="L7" s="2696"/>
      <c r="M7" s="2697"/>
      <c r="N7" s="2697"/>
      <c r="O7" s="2697"/>
      <c r="P7" s="3733" t="s">
        <v>1679</v>
      </c>
      <c r="Q7" s="3735"/>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733" t="s">
        <v>1682</v>
      </c>
      <c r="Q8" s="3734"/>
      <c r="R8" s="701" t="s">
        <v>14</v>
      </c>
      <c r="S8" s="702">
        <f t="shared" si="0"/>
        <v>0</v>
      </c>
      <c r="T8" s="701" t="s">
        <v>14</v>
      </c>
      <c r="U8" s="702">
        <f t="shared" si="1"/>
        <v>0</v>
      </c>
      <c r="V8" s="701" t="s">
        <v>14</v>
      </c>
      <c r="W8" s="702">
        <f t="shared" si="2"/>
        <v>0</v>
      </c>
      <c r="X8" s="703"/>
      <c r="Y8" s="3733" t="s">
        <v>1682</v>
      </c>
      <c r="Z8" s="3734"/>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696"/>
      <c r="M9" s="2697"/>
      <c r="N9" s="2697"/>
      <c r="O9" s="2751"/>
      <c r="P9" s="3697"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698"/>
      <c r="M10" s="2699"/>
      <c r="N10" s="2699"/>
      <c r="O10" s="2752"/>
      <c r="P10" s="3697"/>
      <c r="Q10" s="1343" t="str">
        <f t="shared" si="6"/>
        <v>土地使用年限（年）</v>
      </c>
      <c r="R10" s="701" t="s">
        <v>14</v>
      </c>
      <c r="S10" s="702">
        <f t="shared" si="0"/>
        <v>110</v>
      </c>
      <c r="T10" s="701" t="s">
        <v>14</v>
      </c>
      <c r="U10" s="702">
        <f t="shared" si="1"/>
        <v>110</v>
      </c>
      <c r="V10" s="701" t="s">
        <v>14</v>
      </c>
      <c r="W10" s="702">
        <f t="shared" si="2"/>
        <v>110</v>
      </c>
      <c r="X10" s="703"/>
      <c r="Y10" s="3549"/>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97"/>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97"/>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97"/>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97"/>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99" t="s">
        <v>1690</v>
      </c>
      <c r="Q15" s="1352" t="str">
        <f t="shared" si="6"/>
        <v>居住社区成熟度</v>
      </c>
      <c r="R15" s="705" t="s">
        <v>14</v>
      </c>
      <c r="S15" s="706">
        <f t="shared" si="0"/>
        <v>100</v>
      </c>
      <c r="T15" s="705" t="s">
        <v>14</v>
      </c>
      <c r="U15" s="706">
        <f t="shared" si="1"/>
        <v>100</v>
      </c>
      <c r="V15" s="705" t="s">
        <v>14</v>
      </c>
      <c r="W15" s="706">
        <f t="shared" si="2"/>
        <v>100</v>
      </c>
      <c r="X15" s="1355"/>
      <c r="Y15" s="3699"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01"/>
      <c r="M16" s="2695"/>
      <c r="N16" s="2695"/>
      <c r="O16" s="2753"/>
      <c r="P16" s="3700"/>
      <c r="Q16" s="1352"/>
      <c r="R16" s="705"/>
      <c r="S16" s="706"/>
      <c r="T16" s="705"/>
      <c r="U16" s="706"/>
      <c r="V16" s="705"/>
      <c r="W16" s="706"/>
      <c r="X16" s="1355"/>
      <c r="Y16" s="3700"/>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01"/>
      <c r="M18" s="2695"/>
      <c r="N18" s="2695"/>
      <c r="O18" s="2753"/>
      <c r="P18" s="3700"/>
      <c r="Q18" s="1352"/>
      <c r="R18" s="705"/>
      <c r="S18" s="706"/>
      <c r="T18" s="705"/>
      <c r="U18" s="706"/>
      <c r="V18" s="705"/>
      <c r="W18" s="706"/>
      <c r="X18" s="1355"/>
      <c r="Y18" s="3700"/>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01"/>
      <c r="M20" s="2695"/>
      <c r="N20" s="2695"/>
      <c r="O20" s="2753"/>
      <c r="P20" s="3700"/>
      <c r="Q20" s="1352"/>
      <c r="R20" s="705"/>
      <c r="S20" s="706"/>
      <c r="T20" s="705"/>
      <c r="U20" s="706"/>
      <c r="V20" s="705"/>
      <c r="W20" s="706"/>
      <c r="X20" s="1355"/>
      <c r="Y20" s="3700"/>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01"/>
      <c r="M22" s="2695"/>
      <c r="N22" s="2695"/>
      <c r="O22" s="2753"/>
      <c r="P22" s="3700"/>
      <c r="Q22" s="1352"/>
      <c r="R22" s="705"/>
      <c r="S22" s="706"/>
      <c r="T22" s="705"/>
      <c r="U22" s="706"/>
      <c r="V22" s="705"/>
      <c r="W22" s="706"/>
      <c r="X22" s="1355"/>
      <c r="Y22" s="370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01"/>
      <c r="M24" s="2695"/>
      <c r="N24" s="2695"/>
      <c r="O24" s="2753"/>
      <c r="P24" s="3700"/>
      <c r="Q24" s="1352"/>
      <c r="R24" s="705"/>
      <c r="S24" s="706"/>
      <c r="T24" s="705"/>
      <c r="U24" s="706"/>
      <c r="V24" s="705"/>
      <c r="W24" s="706"/>
      <c r="X24" s="1355"/>
      <c r="Y24" s="3700"/>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01"/>
      <c r="M26" s="2695"/>
      <c r="N26" s="2695"/>
      <c r="O26" s="2753"/>
      <c r="P26" s="3700"/>
      <c r="Q26" s="1352"/>
      <c r="R26" s="705"/>
      <c r="S26" s="706"/>
      <c r="T26" s="705"/>
      <c r="U26" s="706"/>
      <c r="V26" s="705"/>
      <c r="W26" s="706"/>
      <c r="X26" s="1355"/>
      <c r="Y26" s="3700"/>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6"/>
      <c r="M28" s="2697"/>
      <c r="N28" s="2697"/>
      <c r="O28" s="2751"/>
      <c r="P28" s="3700"/>
      <c r="Q28" s="1343"/>
      <c r="R28" s="701"/>
      <c r="S28" s="702"/>
      <c r="T28" s="701"/>
      <c r="U28" s="702"/>
      <c r="V28" s="701"/>
      <c r="W28" s="702"/>
      <c r="X28" s="703"/>
      <c r="Y28" s="3700"/>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6"/>
      <c r="M30" s="2697"/>
      <c r="N30" s="2697"/>
      <c r="O30" s="2751"/>
      <c r="P30" s="3700"/>
      <c r="Q30" s="1343"/>
      <c r="R30" s="701"/>
      <c r="S30" s="702"/>
      <c r="T30" s="701"/>
      <c r="U30" s="702"/>
      <c r="V30" s="701"/>
      <c r="W30" s="702"/>
      <c r="X30" s="703"/>
      <c r="Y30" s="370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01"/>
      <c r="M33" s="2695"/>
      <c r="N33" s="2695"/>
      <c r="O33" s="2753"/>
      <c r="P33" s="3700"/>
      <c r="Q33" s="1352"/>
      <c r="R33" s="705"/>
      <c r="S33" s="706"/>
      <c r="T33" s="705"/>
      <c r="U33" s="706"/>
      <c r="V33" s="705"/>
      <c r="W33" s="706"/>
      <c r="X33" s="1355"/>
      <c r="Y33" s="370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55" t="s">
        <v>1695</v>
      </c>
      <c r="Q36" s="1352">
        <f t="shared" si="8"/>
        <v>111</v>
      </c>
      <c r="R36" s="705" t="s">
        <v>14</v>
      </c>
      <c r="S36" s="706">
        <f t="shared" si="10"/>
        <v>100</v>
      </c>
      <c r="T36" s="705" t="s">
        <v>14</v>
      </c>
      <c r="U36" s="706">
        <f t="shared" si="11"/>
        <v>100</v>
      </c>
      <c r="V36" s="705" t="s">
        <v>14</v>
      </c>
      <c r="W36" s="706">
        <f t="shared" si="12"/>
        <v>100</v>
      </c>
      <c r="X36" s="1355"/>
      <c r="Y36" s="370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1"/>
      <c r="M39" s="2695"/>
      <c r="N39" s="2695"/>
      <c r="O39" s="2753"/>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1"/>
      <c r="M40" s="2695"/>
      <c r="N40" s="2695"/>
      <c r="O40" s="2753"/>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6"/>
      <c r="M41" s="2697"/>
      <c r="N41" s="2697"/>
      <c r="O41" s="2751"/>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1"/>
      <c r="M42" s="2695"/>
      <c r="N42" s="2695"/>
      <c r="O42" s="2753"/>
      <c r="P42" s="3704" t="s">
        <v>1695</v>
      </c>
      <c r="Q42" s="1352" t="str">
        <f t="shared" si="14"/>
        <v>工程地质条件</v>
      </c>
      <c r="R42" s="705" t="s">
        <v>14</v>
      </c>
      <c r="S42" s="706">
        <f t="shared" si="10"/>
        <v>100</v>
      </c>
      <c r="T42" s="705" t="s">
        <v>14</v>
      </c>
      <c r="U42" s="706">
        <f t="shared" si="11"/>
        <v>100</v>
      </c>
      <c r="V42" s="705" t="s">
        <v>14</v>
      </c>
      <c r="W42" s="706">
        <f t="shared" si="12"/>
        <v>100</v>
      </c>
      <c r="X42" s="1355"/>
      <c r="Y42" s="370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03"/>
      <c r="M46" s="2704"/>
      <c r="N46" s="2695"/>
      <c r="O46" s="2704"/>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03"/>
      <c r="M47" s="2704"/>
      <c r="N47" s="2704"/>
      <c r="O47" s="2704"/>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03"/>
      <c r="M48" s="2704"/>
      <c r="N48" s="2704"/>
      <c r="O48" s="2704"/>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1880</v>
      </c>
      <c r="B55" s="633" t="s">
        <v>1881</v>
      </c>
      <c r="C55" s="1982" t="s">
        <v>1882</v>
      </c>
      <c r="D55" s="1983" t="s">
        <v>1883</v>
      </c>
      <c r="E55" s="634" t="s">
        <v>1884</v>
      </c>
      <c r="F55" s="890" t="s">
        <v>1885</v>
      </c>
      <c r="G55" s="3712" t="s">
        <v>1886</v>
      </c>
      <c r="H55" s="3759"/>
      <c r="I55" s="135" t="s">
        <v>1887</v>
      </c>
      <c r="J55" s="1984">
        <f>项目基本情况!F35</f>
        <v>0</v>
      </c>
      <c r="K55" s="1985" t="s">
        <v>1888</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1889</v>
      </c>
      <c r="B56" s="637" t="e">
        <f>C48</f>
        <v>#DIV/0!</v>
      </c>
      <c r="C56" s="638">
        <v>1</v>
      </c>
      <c r="D56" s="944">
        <v>1</v>
      </c>
      <c r="E56" s="638">
        <f>'数据-汇总表'!E8+'数据-汇总表'!E9</f>
        <v>12720.57</v>
      </c>
      <c r="F56" s="886" t="e">
        <f t="shared" ref="F56:F64" si="15">ROUND(B56*E56/10000,0)</f>
        <v>#DIV/0!</v>
      </c>
      <c r="G56" s="3708"/>
      <c r="H56" s="3697"/>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1890</v>
      </c>
      <c r="B57" s="218" t="e">
        <f>ROUND($C$48*C57*D57,0)</f>
        <v>#DIV/0!</v>
      </c>
      <c r="C57" s="171">
        <f t="shared" ref="C57:C64" si="16">IF($C$55="北京市系数",I57,J57)</f>
        <v>0</v>
      </c>
      <c r="D57" s="945">
        <v>0.25</v>
      </c>
      <c r="E57" s="642"/>
      <c r="F57" s="886" t="e">
        <f t="shared" si="15"/>
        <v>#DIV/0!</v>
      </c>
      <c r="G57" s="2985" t="s">
        <v>1891</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1892</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1893</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1902</v>
      </c>
      <c r="B65" s="644" t="s">
        <v>22</v>
      </c>
      <c r="C65" s="644" t="s">
        <v>23</v>
      </c>
      <c r="D65" s="644" t="s">
        <v>392</v>
      </c>
      <c r="E65" s="644">
        <f>IF(B46="楼面地价",SUM(E56:E64),'数据-汇总表'!D3)</f>
        <v>12720.57</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04"/>
      <c r="Q67" s="2704"/>
      <c r="R67" s="2704"/>
      <c r="S67" s="2704"/>
      <c r="T67" s="2704"/>
      <c r="U67" s="2704"/>
      <c r="V67" s="2704"/>
      <c r="W67" s="2704"/>
      <c r="X67" s="2704"/>
      <c r="Y67" s="2704"/>
      <c r="Z67" s="2704"/>
      <c r="AA67" s="2704"/>
      <c r="AB67" s="2704"/>
      <c r="AC67" s="2704"/>
    </row>
    <row r="68" spans="1:29" ht="21.75" thickBot="1">
      <c r="A68" s="694" t="s">
        <v>1797</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8"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5"/>
      <c r="Q69" s="2720"/>
      <c r="R69" s="2720"/>
      <c r="S69" s="2720"/>
      <c r="T69" s="2720"/>
      <c r="U69" s="2720"/>
      <c r="V69" s="2720"/>
      <c r="W69" s="2720"/>
      <c r="X69" s="2720"/>
      <c r="Y69" s="2720"/>
      <c r="Z69" s="2720"/>
      <c r="AA69" s="2720"/>
      <c r="AB69" s="2720"/>
      <c r="AC69" s="272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1715</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1680</v>
      </c>
      <c r="B72" s="459"/>
      <c r="C72" s="471" t="s">
        <v>1775</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1718</v>
      </c>
      <c r="B74" s="477" t="s">
        <v>1684</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1687</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1689</v>
      </c>
      <c r="B87" s="477" t="s">
        <v>1719</v>
      </c>
      <c r="C87" s="522" t="s">
        <v>1720</v>
      </c>
      <c r="D87" s="522" t="s">
        <v>1721</v>
      </c>
      <c r="E87" s="522" t="s">
        <v>1722</v>
      </c>
      <c r="F87" s="522" t="s">
        <v>1723</v>
      </c>
      <c r="G87" s="522" t="s">
        <v>1724</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1905</v>
      </c>
      <c r="C89" s="527" t="s">
        <v>1720</v>
      </c>
      <c r="D89" s="527" t="s">
        <v>1721</v>
      </c>
      <c r="E89" s="527" t="s">
        <v>1722</v>
      </c>
      <c r="F89" s="527" t="s">
        <v>1723</v>
      </c>
      <c r="G89" s="527" t="s">
        <v>1724</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1820</v>
      </c>
      <c r="C91" s="527" t="s">
        <v>1720</v>
      </c>
      <c r="D91" s="527" t="s">
        <v>1721</v>
      </c>
      <c r="E91" s="527" t="s">
        <v>1722</v>
      </c>
      <c r="F91" s="527" t="s">
        <v>1723</v>
      </c>
      <c r="G91" s="527" t="s">
        <v>1724</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1725</v>
      </c>
      <c r="C93" s="527" t="s">
        <v>1720</v>
      </c>
      <c r="D93" s="527" t="s">
        <v>1721</v>
      </c>
      <c r="E93" s="527" t="s">
        <v>1722</v>
      </c>
      <c r="F93" s="527" t="s">
        <v>1723</v>
      </c>
      <c r="G93" s="527" t="s">
        <v>1724</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1814</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1872</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1913</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1914</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1915</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1916</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722" t="s">
        <v>1770</v>
      </c>
      <c r="S4" s="3723"/>
      <c r="T4" s="3722" t="s">
        <v>1771</v>
      </c>
      <c r="U4" s="3723"/>
      <c r="V4" s="3728" t="s">
        <v>1772</v>
      </c>
      <c r="W4" s="3728"/>
      <c r="X4" s="1355"/>
      <c r="Y4" s="3722" t="s">
        <v>1774</v>
      </c>
      <c r="Z4" s="3723"/>
      <c r="AA4" s="3709" t="s">
        <v>1770</v>
      </c>
      <c r="AB4" s="3710" t="s">
        <v>1771</v>
      </c>
      <c r="AC4" s="3709" t="s">
        <v>1772</v>
      </c>
    </row>
    <row r="5" spans="1:29" ht="15">
      <c r="A5" s="358"/>
      <c r="B5" s="359"/>
      <c r="C5" s="3731" t="s">
        <v>1672</v>
      </c>
      <c r="D5" s="3732"/>
      <c r="E5" s="3738" t="s">
        <v>1673</v>
      </c>
      <c r="F5" s="3739"/>
      <c r="G5" s="3731" t="s">
        <v>1674</v>
      </c>
      <c r="H5" s="3732"/>
      <c r="I5" s="3731" t="s">
        <v>1675</v>
      </c>
      <c r="J5" s="3732"/>
      <c r="K5" s="559"/>
      <c r="L5" s="2694"/>
      <c r="M5" s="2695"/>
      <c r="N5" s="2695"/>
      <c r="O5" s="2695"/>
      <c r="P5" s="3718"/>
      <c r="Q5" s="3719"/>
      <c r="R5" s="3724"/>
      <c r="S5" s="3725"/>
      <c r="T5" s="3724"/>
      <c r="U5" s="3725"/>
      <c r="V5" s="3728"/>
      <c r="W5" s="3728"/>
      <c r="X5" s="1355"/>
      <c r="Y5" s="3724"/>
      <c r="Z5" s="3725"/>
      <c r="AA5" s="3710"/>
      <c r="AB5" s="3710"/>
      <c r="AC5" s="3710"/>
    </row>
    <row r="6" spans="1:29" ht="15.75" thickBot="1">
      <c r="A6" s="360"/>
      <c r="B6" s="361"/>
      <c r="C6" s="3760" t="s">
        <v>1918</v>
      </c>
      <c r="D6" s="3761"/>
      <c r="E6" s="3762" t="s">
        <v>1918</v>
      </c>
      <c r="F6" s="3763"/>
      <c r="G6" s="3760" t="s">
        <v>1918</v>
      </c>
      <c r="H6" s="3761"/>
      <c r="I6" s="3760" t="s">
        <v>1918</v>
      </c>
      <c r="J6" s="3761"/>
      <c r="K6" s="559" t="s">
        <v>1677</v>
      </c>
      <c r="L6" s="2694"/>
      <c r="M6" s="2695"/>
      <c r="N6" s="2695"/>
      <c r="O6" s="2695"/>
      <c r="P6" s="3720"/>
      <c r="Q6" s="3721"/>
      <c r="R6" s="3724"/>
      <c r="S6" s="3725"/>
      <c r="T6" s="3726"/>
      <c r="U6" s="3727"/>
      <c r="V6" s="3728"/>
      <c r="W6" s="3728"/>
      <c r="X6" s="1355"/>
      <c r="Y6" s="3726"/>
      <c r="Z6" s="3727"/>
      <c r="AA6" s="3711"/>
      <c r="AB6" s="3711"/>
      <c r="AC6" s="3711"/>
    </row>
    <row r="7" spans="1:29" s="108" customFormat="1" ht="15.75" thickBot="1">
      <c r="A7" s="362" t="s">
        <v>1678</v>
      </c>
      <c r="B7" s="363"/>
      <c r="C7" s="364">
        <f>'数据-取费表'!B2</f>
        <v>45631</v>
      </c>
      <c r="D7" s="365">
        <v>100</v>
      </c>
      <c r="E7" s="366"/>
      <c r="F7" s="367">
        <f>SUMIF(65:65,YEAR(E7)&amp;"-"&amp;INT((MONTH(E7)+2)/3),66:66)</f>
        <v>0</v>
      </c>
      <c r="G7" s="1973"/>
      <c r="H7" s="365">
        <f>SUMIF(65:65,YEAR(G7)&amp;"-"&amp;INT((MONTH(G7)+2)/3),66:66)</f>
        <v>0</v>
      </c>
      <c r="I7" s="1973"/>
      <c r="J7" s="365">
        <f>SUMIF(65:65,YEAR(I7)&amp;"-"&amp;INT((MONTH(I7)+2)/3),66:66)</f>
        <v>0</v>
      </c>
      <c r="K7" s="560"/>
      <c r="L7" s="2696"/>
      <c r="M7" s="2697"/>
      <c r="N7" s="2697"/>
      <c r="O7" s="2697"/>
      <c r="P7" s="3733" t="s">
        <v>1679</v>
      </c>
      <c r="Q7" s="3735"/>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733" t="s">
        <v>1682</v>
      </c>
      <c r="Q8" s="3734"/>
      <c r="R8" s="701" t="s">
        <v>14</v>
      </c>
      <c r="S8" s="702">
        <f t="shared" si="0"/>
        <v>0</v>
      </c>
      <c r="T8" s="701" t="s">
        <v>14</v>
      </c>
      <c r="U8" s="702">
        <f t="shared" si="1"/>
        <v>0</v>
      </c>
      <c r="V8" s="701" t="s">
        <v>14</v>
      </c>
      <c r="W8" s="702">
        <f t="shared" si="2"/>
        <v>0</v>
      </c>
      <c r="X8" s="703"/>
      <c r="Y8" s="3733" t="s">
        <v>1682</v>
      </c>
      <c r="Z8" s="3734"/>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696"/>
      <c r="M9" s="2697"/>
      <c r="N9" s="2697"/>
      <c r="O9" s="2751"/>
      <c r="P9" s="3697" t="s">
        <v>1685</v>
      </c>
      <c r="Q9" s="1343" t="str">
        <f t="shared" ref="Q9:Q15" si="6">B9</f>
        <v>用途</v>
      </c>
      <c r="R9" s="701" t="s">
        <v>14</v>
      </c>
      <c r="S9" s="702">
        <f t="shared" si="0"/>
        <v>100</v>
      </c>
      <c r="T9" s="701" t="s">
        <v>14</v>
      </c>
      <c r="U9" s="702">
        <f t="shared" si="1"/>
        <v>100</v>
      </c>
      <c r="V9" s="701" t="s">
        <v>14</v>
      </c>
      <c r="W9" s="702">
        <f t="shared" si="2"/>
        <v>100</v>
      </c>
      <c r="X9" s="703"/>
      <c r="Y9" s="35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698"/>
      <c r="M10" s="2699"/>
      <c r="N10" s="2699"/>
      <c r="O10" s="2752"/>
      <c r="P10" s="3697"/>
      <c r="Q10" s="1343" t="str">
        <f t="shared" si="6"/>
        <v>土地使用年限（年）</v>
      </c>
      <c r="R10" s="701" t="s">
        <v>14</v>
      </c>
      <c r="S10" s="702">
        <f t="shared" si="0"/>
        <v>110</v>
      </c>
      <c r="T10" s="701" t="s">
        <v>14</v>
      </c>
      <c r="U10" s="702">
        <f t="shared" si="1"/>
        <v>110</v>
      </c>
      <c r="V10" s="701" t="s">
        <v>14</v>
      </c>
      <c r="W10" s="702">
        <f t="shared" si="2"/>
        <v>110</v>
      </c>
      <c r="X10" s="703"/>
      <c r="Y10" s="3549"/>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97"/>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97"/>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97"/>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97"/>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15">
      <c r="A15" s="391" t="s">
        <v>1689</v>
      </c>
      <c r="B15" s="577" t="s">
        <v>1919</v>
      </c>
      <c r="C15" s="1970"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01"/>
      <c r="M16" s="2695"/>
      <c r="N16" s="2695"/>
      <c r="O16" s="2753"/>
      <c r="P16" s="3700"/>
      <c r="Q16" s="1352"/>
      <c r="R16" s="705"/>
      <c r="S16" s="706"/>
      <c r="T16" s="705"/>
      <c r="U16" s="706"/>
      <c r="V16" s="705"/>
      <c r="W16" s="706"/>
      <c r="X16" s="1355"/>
      <c r="Y16" s="3700"/>
      <c r="Z16" s="1356"/>
      <c r="AA16" s="1353">
        <v>1</v>
      </c>
      <c r="AB16" s="1353">
        <v>1</v>
      </c>
      <c r="AC16" s="1353">
        <v>1</v>
      </c>
    </row>
    <row r="17" spans="1:29" ht="15">
      <c r="A17" s="379"/>
      <c r="B17" s="579"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01"/>
      <c r="M18" s="2695"/>
      <c r="N18" s="2695"/>
      <c r="O18" s="2753"/>
      <c r="P18" s="3700"/>
      <c r="Q18" s="1352"/>
      <c r="R18" s="705"/>
      <c r="S18" s="706"/>
      <c r="T18" s="705"/>
      <c r="U18" s="706"/>
      <c r="V18" s="705"/>
      <c r="W18" s="706"/>
      <c r="X18" s="1355"/>
      <c r="Y18" s="3700"/>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01"/>
      <c r="M20" s="2695"/>
      <c r="N20" s="2695"/>
      <c r="O20" s="2753"/>
      <c r="P20" s="3700"/>
      <c r="Q20" s="1352"/>
      <c r="R20" s="705"/>
      <c r="S20" s="706"/>
      <c r="T20" s="705"/>
      <c r="U20" s="706"/>
      <c r="V20" s="705"/>
      <c r="W20" s="706"/>
      <c r="X20" s="1355"/>
      <c r="Y20" s="3700"/>
      <c r="Z20" s="1356"/>
      <c r="AA20" s="1353"/>
      <c r="AB20" s="1353"/>
      <c r="AC20" s="1353"/>
    </row>
    <row r="21" spans="1:29" ht="15">
      <c r="A21" s="358"/>
      <c r="B21" s="579"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01"/>
      <c r="M22" s="2695"/>
      <c r="N22" s="2695"/>
      <c r="O22" s="2753"/>
      <c r="P22" s="3700"/>
      <c r="Q22" s="1352"/>
      <c r="R22" s="705"/>
      <c r="S22" s="706"/>
      <c r="T22" s="705"/>
      <c r="U22" s="706"/>
      <c r="V22" s="705"/>
      <c r="W22" s="706"/>
      <c r="X22" s="1355"/>
      <c r="Y22" s="3700"/>
      <c r="Z22" s="1356"/>
      <c r="AA22" s="1353">
        <v>1</v>
      </c>
      <c r="AB22" s="1353">
        <v>1</v>
      </c>
      <c r="AC22" s="1353">
        <v>1</v>
      </c>
    </row>
    <row r="23" spans="1:29" s="108" customFormat="1" ht="15">
      <c r="A23" s="597"/>
      <c r="B23" s="581" t="s">
        <v>1777</v>
      </c>
      <c r="C23" s="1899"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6"/>
      <c r="M24" s="2697"/>
      <c r="N24" s="2697"/>
      <c r="O24" s="2751"/>
      <c r="P24" s="3700"/>
      <c r="Q24" s="1343"/>
      <c r="R24" s="701"/>
      <c r="S24" s="702"/>
      <c r="T24" s="701"/>
      <c r="U24" s="702"/>
      <c r="V24" s="701"/>
      <c r="W24" s="702"/>
      <c r="X24" s="703"/>
      <c r="Y24" s="3700"/>
      <c r="Z24" s="52"/>
      <c r="AA24" s="704">
        <v>1</v>
      </c>
      <c r="AB24" s="704">
        <v>1</v>
      </c>
      <c r="AC24" s="704">
        <v>1</v>
      </c>
    </row>
    <row r="25" spans="1:29" s="108" customFormat="1" ht="15">
      <c r="A25" s="597"/>
      <c r="B25" s="581"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6"/>
      <c r="M26" s="2697"/>
      <c r="N26" s="2697"/>
      <c r="O26" s="2751"/>
      <c r="P26" s="3700"/>
      <c r="Q26" s="1343"/>
      <c r="R26" s="701"/>
      <c r="S26" s="702"/>
      <c r="T26" s="701"/>
      <c r="U26" s="702"/>
      <c r="V26" s="701"/>
      <c r="W26" s="702"/>
      <c r="X26" s="703"/>
      <c r="Y26" s="370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01"/>
      <c r="M29" s="2695"/>
      <c r="N29" s="2695"/>
      <c r="O29" s="2753"/>
      <c r="P29" s="3700"/>
      <c r="Q29" s="1352"/>
      <c r="R29" s="705"/>
      <c r="S29" s="706"/>
      <c r="T29" s="705"/>
      <c r="U29" s="706"/>
      <c r="V29" s="705"/>
      <c r="W29" s="706"/>
      <c r="X29" s="1355"/>
      <c r="Y29" s="370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55" t="s">
        <v>1695</v>
      </c>
      <c r="Q32" s="1352">
        <f t="shared" si="8"/>
        <v>111</v>
      </c>
      <c r="R32" s="705" t="s">
        <v>14</v>
      </c>
      <c r="S32" s="706">
        <f t="shared" si="10"/>
        <v>100</v>
      </c>
      <c r="T32" s="705" t="s">
        <v>14</v>
      </c>
      <c r="U32" s="706">
        <f t="shared" si="11"/>
        <v>100</v>
      </c>
      <c r="V32" s="705" t="s">
        <v>14</v>
      </c>
      <c r="W32" s="706">
        <f t="shared" si="12"/>
        <v>100</v>
      </c>
      <c r="X32" s="1355"/>
      <c r="Y32" s="3704"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1"/>
      <c r="M35" s="2695"/>
      <c r="N35" s="2695"/>
      <c r="O35" s="2753"/>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6"/>
      <c r="M36" s="2697"/>
      <c r="N36" s="2697"/>
      <c r="O36" s="2751"/>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1"/>
      <c r="M37" s="2695"/>
      <c r="N37" s="2695"/>
      <c r="O37" s="2753"/>
      <c r="P37" s="3704" t="s">
        <v>1695</v>
      </c>
      <c r="Q37" s="1352" t="str">
        <f t="shared" si="14"/>
        <v>工程地质条件</v>
      </c>
      <c r="R37" s="705" t="s">
        <v>14</v>
      </c>
      <c r="S37" s="706">
        <f t="shared" si="10"/>
        <v>100</v>
      </c>
      <c r="T37" s="705" t="s">
        <v>14</v>
      </c>
      <c r="U37" s="706">
        <f t="shared" si="11"/>
        <v>100</v>
      </c>
      <c r="V37" s="705" t="s">
        <v>14</v>
      </c>
      <c r="W37" s="706">
        <f t="shared" si="12"/>
        <v>100</v>
      </c>
      <c r="X37" s="1355"/>
      <c r="Y37" s="370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03"/>
      <c r="M41" s="2695"/>
      <c r="N41" s="2695"/>
      <c r="O41" s="2704"/>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03"/>
      <c r="M42" s="2695"/>
      <c r="N42" s="2695"/>
      <c r="O42" s="2704"/>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3"/>
      <c r="M43" s="2695"/>
      <c r="N43" s="2695"/>
      <c r="O43" s="2704"/>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1880</v>
      </c>
      <c r="B50" s="633" t="s">
        <v>1881</v>
      </c>
      <c r="C50" s="1982" t="s">
        <v>1882</v>
      </c>
      <c r="D50" s="1983" t="s">
        <v>1883</v>
      </c>
      <c r="E50" s="634" t="s">
        <v>1884</v>
      </c>
      <c r="F50" s="635" t="s">
        <v>1885</v>
      </c>
      <c r="G50" s="3712" t="s">
        <v>1886</v>
      </c>
      <c r="H50" s="3759"/>
      <c r="I50" s="1356" t="s">
        <v>1922</v>
      </c>
      <c r="J50" s="1356">
        <f>项目基本情况!F35</f>
        <v>0</v>
      </c>
      <c r="K50" s="1985" t="s">
        <v>1888</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1889</v>
      </c>
      <c r="B51" s="637" t="e">
        <f>C43</f>
        <v>#DIV/0!</v>
      </c>
      <c r="C51" s="638">
        <v>1</v>
      </c>
      <c r="D51" s="944">
        <v>1</v>
      </c>
      <c r="E51" s="638">
        <f>'数据-汇总表'!E8+'数据-汇总表'!E9</f>
        <v>12720.57</v>
      </c>
      <c r="F51" s="639" t="e">
        <f t="shared" ref="F51:F60" si="15">ROUND(B51*E51/10000,0)</f>
        <v>#DIV/0!</v>
      </c>
      <c r="G51" s="3708"/>
      <c r="H51" s="3697"/>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1890</v>
      </c>
      <c r="B52" s="218" t="e">
        <f>ROUND($C$43*C52*D52,0)</f>
        <v>#DIV/0!</v>
      </c>
      <c r="C52" s="171">
        <f t="shared" ref="C52:C60" si="16">IF($C$50="北京市系数",I52,J52)</f>
        <v>0</v>
      </c>
      <c r="D52" s="945">
        <v>0.25</v>
      </c>
      <c r="E52" s="642"/>
      <c r="F52" s="639" t="e">
        <f t="shared" si="15"/>
        <v>#DIV/0!</v>
      </c>
      <c r="G52" s="2985" t="s">
        <v>1891</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1892</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1893</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1902</v>
      </c>
      <c r="B61" s="644" t="s">
        <v>22</v>
      </c>
      <c r="C61" s="644" t="s">
        <v>23</v>
      </c>
      <c r="D61" s="644" t="s">
        <v>392</v>
      </c>
      <c r="E61" s="644">
        <f>IF(B41="楼面地价",SUM(E51:E60),'数据-汇总表'!D3)</f>
        <v>7963.76</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04"/>
      <c r="Q63" s="2704"/>
      <c r="R63" s="2704"/>
      <c r="S63" s="2704"/>
      <c r="T63" s="2704"/>
      <c r="U63" s="2704"/>
      <c r="V63" s="2704"/>
      <c r="W63" s="2704"/>
      <c r="X63" s="2704"/>
      <c r="Y63" s="2704"/>
      <c r="Z63" s="2704"/>
      <c r="AA63" s="2704"/>
      <c r="AB63" s="2704"/>
      <c r="AC63" s="2704"/>
      <c r="AD63" s="2704"/>
      <c r="AE63" s="2704"/>
    </row>
    <row r="64" spans="1:31" ht="21.75" thickBot="1">
      <c r="A64" s="694" t="s">
        <v>1797</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8"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1715</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1680</v>
      </c>
      <c r="B68" s="459"/>
      <c r="C68" s="471" t="s">
        <v>1775</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1718</v>
      </c>
      <c r="B70" s="477" t="s">
        <v>1684</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1687</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1689</v>
      </c>
      <c r="B83" s="477" t="s">
        <v>1828</v>
      </c>
      <c r="C83" s="522" t="s">
        <v>1720</v>
      </c>
      <c r="D83" s="522" t="s">
        <v>1721</v>
      </c>
      <c r="E83" s="522" t="s">
        <v>1722</v>
      </c>
      <c r="F83" s="522" t="s">
        <v>1723</v>
      </c>
      <c r="G83" s="522" t="s">
        <v>1724</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1725</v>
      </c>
      <c r="C85" s="527" t="s">
        <v>1720</v>
      </c>
      <c r="D85" s="527" t="s">
        <v>1721</v>
      </c>
      <c r="E85" s="527" t="s">
        <v>1722</v>
      </c>
      <c r="F85" s="527" t="s">
        <v>1723</v>
      </c>
      <c r="G85" s="527" t="s">
        <v>1724</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1814</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1872</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1913</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1915</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1916</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7" t="s">
        <v>2083</v>
      </c>
      <c r="D1" s="3768"/>
      <c r="E1" s="3768"/>
      <c r="F1" s="3768"/>
      <c r="G1" s="3768"/>
      <c r="H1" s="3768"/>
      <c r="I1" s="3768"/>
      <c r="J1" s="3768"/>
      <c r="K1" s="3768"/>
      <c r="L1" s="3768"/>
      <c r="M1" s="3768"/>
      <c r="N1" s="3768"/>
      <c r="O1" s="3768"/>
      <c r="P1" s="3768"/>
      <c r="Q1" s="3768"/>
      <c r="R1" s="3768"/>
      <c r="S1" s="37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72"/>
      <c r="G1" s="2772"/>
      <c r="H1" s="2772"/>
      <c r="I1" s="2772"/>
      <c r="J1" s="2772"/>
      <c r="K1" s="2772"/>
      <c r="L1" s="2772"/>
      <c r="M1" s="2772"/>
      <c r="N1" s="2772"/>
      <c r="O1" s="2772"/>
      <c r="P1" s="2772"/>
    </row>
    <row r="2" spans="1:16" ht="15.75">
      <c r="A2" s="2144" t="s">
        <v>2072</v>
      </c>
      <c r="B2" s="2581">
        <f ca="1">SUMIF(B6:B13,"&lt;&gt;#ref!",B6:B13)</f>
        <v>3325</v>
      </c>
      <c r="C2" s="2144" t="s">
        <v>2073</v>
      </c>
      <c r="D2" s="2144" t="s">
        <v>2074</v>
      </c>
      <c r="E2" s="2591">
        <f ca="1">SUMIF(E6:E13,"&lt;&gt;#ref!",E6:E13)</f>
        <v>12720.57</v>
      </c>
      <c r="F2" s="2772"/>
      <c r="G2" s="2772"/>
      <c r="H2" s="2772"/>
      <c r="I2" s="2772"/>
      <c r="J2" s="2772"/>
      <c r="K2" s="2772"/>
      <c r="L2" s="2772"/>
      <c r="M2" s="2772"/>
      <c r="N2" s="2772"/>
      <c r="O2" s="2772"/>
      <c r="P2" s="2772"/>
    </row>
    <row r="3" spans="1:16" ht="15.75">
      <c r="A3" s="2144" t="s">
        <v>2075</v>
      </c>
      <c r="B3" s="2581">
        <f ca="1">ROUND(B2*10000/E2,0)</f>
        <v>2614</v>
      </c>
      <c r="C3" s="2144" t="s">
        <v>2081</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2076</v>
      </c>
      <c r="B5" s="2589" t="s">
        <v>2077</v>
      </c>
      <c r="C5" s="2145"/>
      <c r="D5" s="2772"/>
      <c r="E5" s="2590" t="s">
        <v>2078</v>
      </c>
      <c r="F5" s="2772"/>
      <c r="G5" s="2772"/>
      <c r="H5" s="2772"/>
      <c r="I5" s="2772"/>
      <c r="J5" s="2772"/>
      <c r="K5" s="2772"/>
      <c r="L5" s="2772"/>
      <c r="M5" s="2772"/>
      <c r="N5" s="2772"/>
      <c r="O5" s="2772"/>
      <c r="P5" s="2772"/>
    </row>
    <row r="6" spans="1:16" ht="15.75">
      <c r="A6" s="2588" t="s">
        <v>2079</v>
      </c>
      <c r="B6" s="2581">
        <f ca="1">SUMIF(INDIRECT("'"&amp;A6&amp;"'"&amp;"!A:A"),"总价",INDIRECT("'"&amp;A6&amp;"'"&amp;"!B:B"))</f>
        <v>3325</v>
      </c>
      <c r="C6" s="2144" t="s">
        <v>2073</v>
      </c>
      <c r="D6" s="2772"/>
      <c r="E6" s="2591">
        <f ca="1">SUMIF(INDIRECT("'"&amp;A6&amp;"'"&amp;"!C:C"),"建筑面积",INDIRECT("'"&amp;A6&amp;"'"&amp;"!D:D"))</f>
        <v>12720.57</v>
      </c>
      <c r="F6" s="2772"/>
      <c r="G6" s="2772"/>
      <c r="H6" s="2772"/>
      <c r="I6" s="2772"/>
      <c r="J6" s="2772"/>
      <c r="K6" s="2772"/>
      <c r="L6" s="2772"/>
      <c r="M6" s="2772"/>
      <c r="N6" s="2772"/>
      <c r="O6" s="2772"/>
      <c r="P6" s="2772"/>
    </row>
    <row r="7" spans="1:16" ht="15.75">
      <c r="A7" s="2588"/>
      <c r="B7" s="2581" t="e">
        <f ca="1">SUMIF(INDIRECT("'"&amp;A7&amp;"'"&amp;"!A:A"),"总价",INDIRECT("'"&amp;A7&amp;"'"&amp;"!B:B"))</f>
        <v>#REF!</v>
      </c>
      <c r="C7" s="2144" t="s">
        <v>2073</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4" t="s">
        <v>2073</v>
      </c>
      <c r="D8" s="2772"/>
      <c r="E8" s="2591" t="e">
        <f t="shared" ca="1" si="0"/>
        <v>#REF!</v>
      </c>
      <c r="F8" s="2772"/>
      <c r="G8" s="2772"/>
      <c r="H8" s="2772"/>
      <c r="I8" s="2772"/>
      <c r="J8" s="2772"/>
      <c r="K8" s="2772"/>
      <c r="L8" s="2772"/>
      <c r="M8" s="2772"/>
      <c r="N8" s="2772"/>
      <c r="O8" s="2772"/>
      <c r="P8" s="2772"/>
    </row>
    <row r="9" spans="1:16" ht="15.75">
      <c r="A9" s="2588"/>
      <c r="B9" s="2581" t="e">
        <f t="shared" ca="1" si="1"/>
        <v>#REF!</v>
      </c>
      <c r="C9" s="2144" t="s">
        <v>2073</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4" t="s">
        <v>2073</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4" t="s">
        <v>2073</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4" t="s">
        <v>2073</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4" t="s">
        <v>2073</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2593</v>
      </c>
      <c r="B1" s="3051" t="s">
        <v>2594</v>
      </c>
      <c r="C1" s="3051" t="s">
        <v>2595</v>
      </c>
      <c r="D1" s="3051" t="s">
        <v>2596</v>
      </c>
      <c r="E1" s="3051" t="s">
        <v>2597</v>
      </c>
      <c r="F1" s="3051" t="s">
        <v>2598</v>
      </c>
      <c r="G1" s="3051" t="s">
        <v>2599</v>
      </c>
      <c r="H1" s="3051" t="s">
        <v>2600</v>
      </c>
      <c r="I1" s="3051" t="s">
        <v>2601</v>
      </c>
      <c r="J1" s="3051" t="s">
        <v>2602</v>
      </c>
      <c r="K1" s="3051" t="s">
        <v>2603</v>
      </c>
      <c r="L1" s="3051" t="s">
        <v>2604</v>
      </c>
      <c r="M1" s="3052" t="s">
        <v>2605</v>
      </c>
    </row>
    <row r="2" spans="1:13" ht="19.5" customHeight="1">
      <c r="A2" s="3054" t="s">
        <v>2606</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2607</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2608</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2609</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2610</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2611</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2612</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2613</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2614</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2615</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2616</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2617</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2618</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2619</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2620</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2621</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2622</v>
      </c>
      <c r="B18" s="3076"/>
      <c r="C18" s="3077"/>
      <c r="D18" s="3077"/>
      <c r="E18" s="3076"/>
      <c r="F18" s="3077"/>
      <c r="G18" s="3077"/>
    </row>
    <row r="19" spans="1:13" ht="19.5" customHeight="1" thickBot="1">
      <c r="A19" s="3074" t="s">
        <v>2623</v>
      </c>
      <c r="B19" s="3079" t="s">
        <v>2624</v>
      </c>
      <c r="C19" s="3079" t="s">
        <v>2625</v>
      </c>
      <c r="D19" s="3080"/>
      <c r="E19" s="3074" t="s">
        <v>2626</v>
      </c>
      <c r="F19" s="3081"/>
      <c r="G19" s="3081"/>
    </row>
    <row r="20" spans="1:13" ht="19.5" customHeight="1">
      <c r="A20" s="3779" t="s">
        <v>2606</v>
      </c>
      <c r="B20" s="3774" t="s">
        <v>2627</v>
      </c>
      <c r="C20" s="3082" t="s">
        <v>2438</v>
      </c>
      <c r="D20" s="3083"/>
      <c r="E20" s="3084">
        <v>1</v>
      </c>
      <c r="F20" s="3085" t="s">
        <v>2439</v>
      </c>
      <c r="G20" s="3085"/>
    </row>
    <row r="21" spans="1:13" ht="19.5" customHeight="1">
      <c r="A21" s="3780"/>
      <c r="B21" s="3773"/>
      <c r="C21" s="3086" t="s">
        <v>2440</v>
      </c>
      <c r="D21" s="3087"/>
      <c r="E21" s="3088">
        <v>1</v>
      </c>
      <c r="F21" s="3085" t="s">
        <v>2441</v>
      </c>
      <c r="G21" s="3085"/>
    </row>
    <row r="22" spans="1:13" ht="19.5" customHeight="1">
      <c r="A22" s="3780"/>
      <c r="B22" s="3773"/>
      <c r="C22" s="3086" t="s">
        <v>2442</v>
      </c>
      <c r="D22" s="3087"/>
      <c r="E22" s="3088">
        <v>0.9</v>
      </c>
      <c r="F22" s="3085" t="s">
        <v>2443</v>
      </c>
      <c r="G22" s="3085"/>
    </row>
    <row r="23" spans="1:13" ht="19.5" customHeight="1">
      <c r="A23" s="3780"/>
      <c r="B23" s="3773"/>
      <c r="C23" s="3086" t="s">
        <v>2444</v>
      </c>
      <c r="D23" s="3087"/>
      <c r="E23" s="3088">
        <v>0.9</v>
      </c>
      <c r="F23" s="3085" t="s">
        <v>2445</v>
      </c>
      <c r="G23" s="3085"/>
    </row>
    <row r="24" spans="1:13" ht="19.5" customHeight="1">
      <c r="A24" s="3780"/>
      <c r="B24" s="3773"/>
      <c r="C24" s="3086" t="s">
        <v>2446</v>
      </c>
      <c r="D24" s="3087"/>
      <c r="E24" s="3088">
        <v>0.8</v>
      </c>
      <c r="F24" s="3085" t="s">
        <v>2447</v>
      </c>
      <c r="G24" s="3085"/>
    </row>
    <row r="25" spans="1:13" ht="19.5" customHeight="1" thickBot="1">
      <c r="A25" s="3781"/>
      <c r="B25" s="3775"/>
      <c r="C25" s="3089" t="s">
        <v>2448</v>
      </c>
      <c r="D25" s="3090"/>
      <c r="E25" s="3091">
        <v>0.8</v>
      </c>
      <c r="F25" s="3085" t="s">
        <v>2449</v>
      </c>
      <c r="G25" s="3085"/>
    </row>
    <row r="26" spans="1:13" ht="19.5" customHeight="1" thickBot="1">
      <c r="A26" s="3092" t="s">
        <v>2628</v>
      </c>
      <c r="B26" s="3093" t="s">
        <v>2627</v>
      </c>
      <c r="C26" s="3094" t="s">
        <v>2629</v>
      </c>
      <c r="D26" s="3095"/>
      <c r="E26" s="3096">
        <v>1</v>
      </c>
      <c r="F26" s="3085" t="s">
        <v>2450</v>
      </c>
      <c r="G26" s="3085"/>
    </row>
    <row r="27" spans="1:13" ht="19.5" customHeight="1">
      <c r="A27" s="3776" t="s">
        <v>2630</v>
      </c>
      <c r="B27" s="3774" t="s">
        <v>2611</v>
      </c>
      <c r="C27" s="3082" t="s">
        <v>2451</v>
      </c>
      <c r="D27" s="3083"/>
      <c r="E27" s="3084">
        <v>1</v>
      </c>
      <c r="F27" s="3085" t="s">
        <v>2452</v>
      </c>
      <c r="G27" s="3085"/>
    </row>
    <row r="28" spans="1:13" ht="19.5" customHeight="1">
      <c r="A28" s="3777"/>
      <c r="B28" s="3773"/>
      <c r="C28" s="3086" t="s">
        <v>2453</v>
      </c>
      <c r="D28" s="3087"/>
      <c r="E28" s="3088">
        <v>1</v>
      </c>
      <c r="F28" s="3085" t="s">
        <v>2454</v>
      </c>
      <c r="G28" s="3085"/>
    </row>
    <row r="29" spans="1:13" ht="19.5" customHeight="1">
      <c r="A29" s="3777"/>
      <c r="B29" s="3773"/>
      <c r="C29" s="3086" t="s">
        <v>2455</v>
      </c>
      <c r="D29" s="3087"/>
      <c r="E29" s="3088">
        <v>0.8</v>
      </c>
      <c r="F29" s="3085" t="s">
        <v>2456</v>
      </c>
      <c r="G29" s="3085"/>
    </row>
    <row r="30" spans="1:13" ht="19.5" customHeight="1">
      <c r="A30" s="3777"/>
      <c r="B30" s="3773"/>
      <c r="C30" s="3086" t="s">
        <v>2457</v>
      </c>
      <c r="D30" s="3087"/>
      <c r="E30" s="3088">
        <v>0.8</v>
      </c>
      <c r="F30" s="3085" t="s">
        <v>2458</v>
      </c>
      <c r="G30" s="3085"/>
    </row>
    <row r="31" spans="1:13" ht="19.5" customHeight="1">
      <c r="A31" s="3777"/>
      <c r="B31" s="3773"/>
      <c r="C31" s="3086" t="s">
        <v>2459</v>
      </c>
      <c r="D31" s="3087"/>
      <c r="E31" s="3088">
        <v>0.8</v>
      </c>
      <c r="F31" s="3085" t="s">
        <v>2460</v>
      </c>
      <c r="G31" s="3085"/>
    </row>
    <row r="32" spans="1:13" ht="19.5" customHeight="1">
      <c r="A32" s="3777"/>
      <c r="B32" s="3773"/>
      <c r="C32" s="3086" t="s">
        <v>2461</v>
      </c>
      <c r="D32" s="3087"/>
      <c r="E32" s="3088">
        <v>0.7</v>
      </c>
      <c r="F32" s="3085" t="s">
        <v>2462</v>
      </c>
      <c r="G32" s="3085"/>
    </row>
    <row r="33" spans="1:7" ht="19.5" customHeight="1">
      <c r="A33" s="3777"/>
      <c r="B33" s="3773"/>
      <c r="C33" s="3086" t="s">
        <v>2463</v>
      </c>
      <c r="D33" s="3087"/>
      <c r="E33" s="3088">
        <v>0.8</v>
      </c>
      <c r="F33" s="3085" t="s">
        <v>2464</v>
      </c>
      <c r="G33" s="3085"/>
    </row>
    <row r="34" spans="1:7" ht="19.5" customHeight="1">
      <c r="A34" s="3777"/>
      <c r="B34" s="3773"/>
      <c r="C34" s="3086" t="s">
        <v>2465</v>
      </c>
      <c r="D34" s="3087"/>
      <c r="E34" s="3088">
        <v>0.6</v>
      </c>
      <c r="F34" s="3085" t="s">
        <v>2466</v>
      </c>
      <c r="G34" s="3085"/>
    </row>
    <row r="35" spans="1:7" ht="19.5" customHeight="1">
      <c r="A35" s="3777"/>
      <c r="B35" s="3773"/>
      <c r="C35" s="3086" t="s">
        <v>2467</v>
      </c>
      <c r="D35" s="3087"/>
      <c r="E35" s="3088">
        <v>0.2</v>
      </c>
      <c r="F35" s="3085" t="s">
        <v>2468</v>
      </c>
      <c r="G35" s="3085"/>
    </row>
    <row r="36" spans="1:7" ht="19.5" customHeight="1">
      <c r="A36" s="3777"/>
      <c r="B36" s="3773"/>
      <c r="C36" s="3086" t="s">
        <v>2469</v>
      </c>
      <c r="D36" s="3087"/>
      <c r="E36" s="3088">
        <v>0.2</v>
      </c>
      <c r="F36" s="3085" t="s">
        <v>2470</v>
      </c>
      <c r="G36" s="3085"/>
    </row>
    <row r="37" spans="1:7" ht="19.5" customHeight="1">
      <c r="A37" s="3777"/>
      <c r="B37" s="3771" t="s">
        <v>2631</v>
      </c>
      <c r="C37" s="3086" t="s">
        <v>2471</v>
      </c>
      <c r="D37" s="3087"/>
      <c r="E37" s="3088">
        <v>0.6</v>
      </c>
      <c r="F37" s="3085" t="s">
        <v>2472</v>
      </c>
      <c r="G37" s="3085"/>
    </row>
    <row r="38" spans="1:7" ht="19.5" customHeight="1">
      <c r="A38" s="3777"/>
      <c r="B38" s="3773"/>
      <c r="C38" s="3086" t="s">
        <v>2473</v>
      </c>
      <c r="D38" s="3087"/>
      <c r="E38" s="3088">
        <v>0.6</v>
      </c>
      <c r="F38" s="3085" t="s">
        <v>2474</v>
      </c>
      <c r="G38" s="3085"/>
    </row>
    <row r="39" spans="1:7" ht="19.5" customHeight="1" thickBot="1">
      <c r="A39" s="3778"/>
      <c r="B39" s="3775"/>
      <c r="C39" s="3089" t="s">
        <v>2475</v>
      </c>
      <c r="D39" s="3090"/>
      <c r="E39" s="3091">
        <v>0.6</v>
      </c>
      <c r="F39" s="3085" t="s">
        <v>2476</v>
      </c>
      <c r="G39" s="3085"/>
    </row>
    <row r="40" spans="1:7" ht="19.5" customHeight="1" thickBot="1">
      <c r="A40" s="3092" t="s">
        <v>2608</v>
      </c>
      <c r="B40" s="3093" t="s">
        <v>2608</v>
      </c>
      <c r="C40" s="3094" t="s">
        <v>2632</v>
      </c>
      <c r="D40" s="3095"/>
      <c r="E40" s="3096">
        <v>1</v>
      </c>
      <c r="F40" s="3085" t="s">
        <v>2477</v>
      </c>
      <c r="G40" s="3085"/>
    </row>
    <row r="41" spans="1:7" ht="19.5" customHeight="1">
      <c r="A41" s="3779" t="s">
        <v>2609</v>
      </c>
      <c r="B41" s="3774" t="s">
        <v>2633</v>
      </c>
      <c r="C41" s="3082" t="s">
        <v>2478</v>
      </c>
      <c r="D41" s="3083"/>
      <c r="E41" s="3084">
        <v>1</v>
      </c>
      <c r="F41" s="3085" t="s">
        <v>2479</v>
      </c>
      <c r="G41" s="3085"/>
    </row>
    <row r="42" spans="1:7" ht="19.5" customHeight="1">
      <c r="A42" s="3780"/>
      <c r="B42" s="3773"/>
      <c r="C42" s="3086" t="s">
        <v>2480</v>
      </c>
      <c r="D42" s="3087"/>
      <c r="E42" s="3088">
        <v>1</v>
      </c>
      <c r="F42" s="3085" t="s">
        <v>2481</v>
      </c>
      <c r="G42" s="3085"/>
    </row>
    <row r="43" spans="1:7" ht="19.5" customHeight="1">
      <c r="A43" s="3780"/>
      <c r="B43" s="3772"/>
      <c r="C43" s="3086" t="s">
        <v>2482</v>
      </c>
      <c r="D43" s="3087"/>
      <c r="E43" s="3088">
        <v>1.5</v>
      </c>
      <c r="F43" s="3085" t="s">
        <v>2483</v>
      </c>
      <c r="G43" s="3085"/>
    </row>
    <row r="44" spans="1:7" ht="19.5" customHeight="1">
      <c r="A44" s="3780"/>
      <c r="B44" s="3097" t="s">
        <v>2634</v>
      </c>
      <c r="C44" s="3086" t="s">
        <v>2635</v>
      </c>
      <c r="D44" s="3087"/>
      <c r="E44" s="3088">
        <v>2</v>
      </c>
      <c r="F44" s="3085" t="s">
        <v>2484</v>
      </c>
      <c r="G44" s="3085"/>
    </row>
    <row r="45" spans="1:7" ht="19.5" customHeight="1">
      <c r="A45" s="3780"/>
      <c r="B45" s="3771" t="s">
        <v>2636</v>
      </c>
      <c r="C45" s="3086" t="s">
        <v>2485</v>
      </c>
      <c r="D45" s="3087"/>
      <c r="E45" s="3088">
        <v>1</v>
      </c>
      <c r="F45" s="3085" t="s">
        <v>2486</v>
      </c>
      <c r="G45" s="3085"/>
    </row>
    <row r="46" spans="1:7" ht="19.5" customHeight="1">
      <c r="A46" s="3780"/>
      <c r="B46" s="3773"/>
      <c r="C46" s="3086" t="s">
        <v>2487</v>
      </c>
      <c r="D46" s="3087"/>
      <c r="E46" s="3088">
        <v>1</v>
      </c>
      <c r="F46" s="3085" t="s">
        <v>2488</v>
      </c>
      <c r="G46" s="3085"/>
    </row>
    <row r="47" spans="1:7" ht="19.5" customHeight="1">
      <c r="A47" s="3780"/>
      <c r="B47" s="3773"/>
      <c r="C47" s="3086" t="s">
        <v>2489</v>
      </c>
      <c r="D47" s="3087"/>
      <c r="E47" s="3088">
        <v>1</v>
      </c>
      <c r="F47" s="3085" t="s">
        <v>2490</v>
      </c>
      <c r="G47" s="3085"/>
    </row>
    <row r="48" spans="1:7" ht="19.5" customHeight="1">
      <c r="A48" s="3780"/>
      <c r="B48" s="3773"/>
      <c r="C48" s="3086" t="s">
        <v>2491</v>
      </c>
      <c r="D48" s="3087"/>
      <c r="E48" s="3088">
        <v>1</v>
      </c>
      <c r="F48" s="3085" t="s">
        <v>2492</v>
      </c>
      <c r="G48" s="3085"/>
    </row>
    <row r="49" spans="1:7" ht="19.5" customHeight="1">
      <c r="A49" s="3780"/>
      <c r="B49" s="3773"/>
      <c r="C49" s="3086" t="s">
        <v>2493</v>
      </c>
      <c r="D49" s="3087"/>
      <c r="E49" s="3088">
        <v>1</v>
      </c>
      <c r="F49" s="3085" t="s">
        <v>2494</v>
      </c>
      <c r="G49" s="3085"/>
    </row>
    <row r="50" spans="1:7" ht="19.5" customHeight="1">
      <c r="A50" s="3780"/>
      <c r="B50" s="3773"/>
      <c r="C50" s="3086" t="s">
        <v>2495</v>
      </c>
      <c r="D50" s="3087"/>
      <c r="E50" s="3088">
        <v>1</v>
      </c>
      <c r="F50" s="3085" t="s">
        <v>2496</v>
      </c>
      <c r="G50" s="3085"/>
    </row>
    <row r="51" spans="1:7" ht="19.5" customHeight="1" thickBot="1">
      <c r="A51" s="3781"/>
      <c r="B51" s="3775"/>
      <c r="C51" s="3089" t="s">
        <v>2497</v>
      </c>
      <c r="D51" s="3090"/>
      <c r="E51" s="3091">
        <v>1</v>
      </c>
      <c r="F51" s="3085" t="s">
        <v>2498</v>
      </c>
      <c r="G51" s="3085"/>
    </row>
    <row r="52" spans="1:7" ht="19.5" customHeight="1">
      <c r="A52" s="3098"/>
      <c r="B52" s="3098"/>
      <c r="C52" s="3098"/>
      <c r="D52" s="3098"/>
      <c r="E52" s="3098"/>
      <c r="F52" s="3098"/>
      <c r="G52" s="3098"/>
    </row>
    <row r="54" spans="1:7" ht="19.5" customHeight="1">
      <c r="A54" s="3099"/>
      <c r="B54" s="3071" t="s">
        <v>2637</v>
      </c>
      <c r="C54" s="3071" t="s">
        <v>2637</v>
      </c>
      <c r="D54" s="3071" t="s">
        <v>2637</v>
      </c>
      <c r="E54" s="3074" t="s">
        <v>2637</v>
      </c>
      <c r="F54" s="3074" t="s">
        <v>2638</v>
      </c>
      <c r="G54" s="3074" t="s">
        <v>2639</v>
      </c>
    </row>
    <row r="55" spans="1:7" ht="19.5" customHeight="1">
      <c r="A55" s="3100"/>
      <c r="B55" s="3074" t="s">
        <v>2606</v>
      </c>
      <c r="C55" s="3074" t="s">
        <v>2606</v>
      </c>
      <c r="D55" s="3074" t="s">
        <v>2606</v>
      </c>
      <c r="E55" s="3071" t="s">
        <v>2607</v>
      </c>
      <c r="F55" s="3071" t="s">
        <v>2609</v>
      </c>
      <c r="G55" s="3071" t="s">
        <v>2640</v>
      </c>
    </row>
    <row r="56" spans="1:7" ht="19.5" customHeight="1">
      <c r="A56" s="3101"/>
      <c r="B56" s="3071">
        <v>1</v>
      </c>
      <c r="C56" s="3071">
        <v>2</v>
      </c>
      <c r="D56" s="3071">
        <v>3</v>
      </c>
      <c r="E56" s="3102" t="s">
        <v>2641</v>
      </c>
      <c r="F56" s="3102" t="s">
        <v>2641</v>
      </c>
      <c r="G56" s="3102" t="s">
        <v>2641</v>
      </c>
    </row>
    <row r="57" spans="1:7" ht="19.5" customHeight="1">
      <c r="A57" s="3103" t="s">
        <v>2594</v>
      </c>
      <c r="B57" s="3071">
        <v>0.7</v>
      </c>
      <c r="C57" s="3071">
        <v>0.4</v>
      </c>
      <c r="D57" s="3071">
        <v>0.3</v>
      </c>
      <c r="E57" s="3102">
        <v>0.3</v>
      </c>
      <c r="F57" s="3071">
        <v>0.3</v>
      </c>
      <c r="G57" s="3071">
        <v>0.2</v>
      </c>
    </row>
    <row r="58" spans="1:7" ht="19.5" customHeight="1">
      <c r="A58" s="3103" t="s">
        <v>2595</v>
      </c>
      <c r="B58" s="3071">
        <v>0.7</v>
      </c>
      <c r="C58" s="3071">
        <v>0.4</v>
      </c>
      <c r="D58" s="3071">
        <v>0.3</v>
      </c>
      <c r="E58" s="3071">
        <v>0.3</v>
      </c>
      <c r="F58" s="3071">
        <v>0.3</v>
      </c>
      <c r="G58" s="3071">
        <v>0.2</v>
      </c>
    </row>
    <row r="59" spans="1:7" ht="19.5" customHeight="1">
      <c r="A59" s="3103" t="s">
        <v>2596</v>
      </c>
      <c r="B59" s="3071">
        <v>0.6</v>
      </c>
      <c r="C59" s="3071">
        <v>0.3</v>
      </c>
      <c r="D59" s="3071">
        <v>0.25</v>
      </c>
      <c r="E59" s="3071">
        <v>0.25</v>
      </c>
      <c r="F59" s="3071">
        <v>0.25</v>
      </c>
      <c r="G59" s="3071">
        <v>0.15</v>
      </c>
    </row>
    <row r="60" spans="1:7" ht="19.5" customHeight="1">
      <c r="A60" s="3103" t="s">
        <v>2597</v>
      </c>
      <c r="B60" s="3071">
        <v>0.6</v>
      </c>
      <c r="C60" s="3071">
        <v>0.3</v>
      </c>
      <c r="D60" s="3071">
        <v>0.25</v>
      </c>
      <c r="E60" s="3071">
        <v>0.25</v>
      </c>
      <c r="F60" s="3071">
        <v>0.25</v>
      </c>
      <c r="G60" s="3071">
        <v>0.15</v>
      </c>
    </row>
    <row r="61" spans="1:7" ht="19.5" customHeight="1">
      <c r="A61" s="3103" t="s">
        <v>2598</v>
      </c>
      <c r="B61" s="3071">
        <v>0.6</v>
      </c>
      <c r="C61" s="3071">
        <v>0.3</v>
      </c>
      <c r="D61" s="3071">
        <v>0.25</v>
      </c>
      <c r="E61" s="3071">
        <v>0.25</v>
      </c>
      <c r="F61" s="3071">
        <v>0.25</v>
      </c>
      <c r="G61" s="3071">
        <v>0.15</v>
      </c>
    </row>
    <row r="62" spans="1:7" ht="19.5" customHeight="1">
      <c r="A62" s="3103" t="s">
        <v>2599</v>
      </c>
      <c r="B62" s="3071">
        <v>0.6</v>
      </c>
      <c r="C62" s="3071">
        <v>0.3</v>
      </c>
      <c r="D62" s="3071">
        <v>0.25</v>
      </c>
      <c r="E62" s="3071">
        <v>0.25</v>
      </c>
      <c r="F62" s="3071">
        <v>0.25</v>
      </c>
      <c r="G62" s="3071">
        <v>0.15</v>
      </c>
    </row>
    <row r="63" spans="1:7" ht="19.5" customHeight="1">
      <c r="A63" s="3103" t="s">
        <v>2600</v>
      </c>
      <c r="B63" s="3071">
        <v>0.6</v>
      </c>
      <c r="C63" s="3071">
        <v>0.3</v>
      </c>
      <c r="D63" s="3071">
        <v>0.25</v>
      </c>
      <c r="E63" s="3071">
        <v>0.25</v>
      </c>
      <c r="F63" s="3071">
        <v>0.25</v>
      </c>
      <c r="G63" s="3071">
        <v>0.15</v>
      </c>
    </row>
    <row r="64" spans="1:7" ht="19.5" customHeight="1">
      <c r="A64" s="3103" t="s">
        <v>2601</v>
      </c>
      <c r="B64" s="3071">
        <v>0.5</v>
      </c>
      <c r="C64" s="3071">
        <v>0.2</v>
      </c>
      <c r="D64" s="3071">
        <v>0.2</v>
      </c>
      <c r="E64" s="3071">
        <v>0.2</v>
      </c>
      <c r="F64" s="3071">
        <v>0.2</v>
      </c>
      <c r="G64" s="3071">
        <v>0.1</v>
      </c>
    </row>
    <row r="65" spans="1:7" ht="19.5" customHeight="1">
      <c r="A65" s="3103" t="s">
        <v>2602</v>
      </c>
      <c r="B65" s="3071">
        <v>0.5</v>
      </c>
      <c r="C65" s="3071">
        <v>0.2</v>
      </c>
      <c r="D65" s="3071">
        <v>0.2</v>
      </c>
      <c r="E65" s="3071">
        <v>0.2</v>
      </c>
      <c r="F65" s="3071">
        <v>0.2</v>
      </c>
      <c r="G65" s="3071">
        <v>0.1</v>
      </c>
    </row>
    <row r="66" spans="1:7" ht="19.5" customHeight="1">
      <c r="A66" s="3103" t="s">
        <v>2603</v>
      </c>
      <c r="B66" s="3071">
        <v>0.5</v>
      </c>
      <c r="C66" s="3071">
        <v>0.2</v>
      </c>
      <c r="D66" s="3071">
        <v>0.2</v>
      </c>
      <c r="E66" s="3071">
        <v>0.2</v>
      </c>
      <c r="F66" s="3071">
        <v>0.2</v>
      </c>
      <c r="G66" s="3071">
        <v>0.1</v>
      </c>
    </row>
    <row r="67" spans="1:7" ht="19.5" customHeight="1">
      <c r="A67" s="3103" t="s">
        <v>2604</v>
      </c>
      <c r="B67" s="3071">
        <v>0.5</v>
      </c>
      <c r="C67" s="3071">
        <v>0.2</v>
      </c>
      <c r="D67" s="3071">
        <v>0.2</v>
      </c>
      <c r="E67" s="3071">
        <v>0.2</v>
      </c>
      <c r="F67" s="3071">
        <v>0.2</v>
      </c>
      <c r="G67" s="3071">
        <v>0.1</v>
      </c>
    </row>
    <row r="68" spans="1:7" ht="19.5" customHeight="1">
      <c r="A68" s="3103" t="s">
        <v>2605</v>
      </c>
      <c r="B68" s="3071">
        <v>0.5</v>
      </c>
      <c r="C68" s="3071">
        <v>0.2</v>
      </c>
      <c r="D68" s="3071">
        <v>0.2</v>
      </c>
      <c r="E68" s="3071">
        <v>0.2</v>
      </c>
      <c r="F68" s="3071">
        <v>0.2</v>
      </c>
      <c r="G68" s="3071">
        <v>0.1</v>
      </c>
    </row>
    <row r="70" spans="1:7" ht="19.5" customHeight="1">
      <c r="A70" s="3104"/>
      <c r="B70" s="3105"/>
      <c r="C70" s="3105"/>
      <c r="D70" s="3105" t="s">
        <v>2642</v>
      </c>
      <c r="E70" s="3105"/>
      <c r="F70" s="3105"/>
    </row>
    <row r="71" spans="1:7" ht="19.5" customHeight="1">
      <c r="A71" s="3097" t="s">
        <v>2643</v>
      </c>
      <c r="B71" s="3097" t="s">
        <v>2644</v>
      </c>
      <c r="C71" s="3097" t="s">
        <v>2645</v>
      </c>
      <c r="D71" s="3097" t="s">
        <v>2646</v>
      </c>
      <c r="E71" s="3097" t="s">
        <v>2647</v>
      </c>
      <c r="F71" s="3097" t="s">
        <v>2648</v>
      </c>
    </row>
    <row r="72" spans="1:7" ht="13.5">
      <c r="A72" s="3097"/>
      <c r="B72" s="3097"/>
      <c r="C72" s="3097" t="s">
        <v>2649</v>
      </c>
      <c r="D72" s="3097"/>
      <c r="E72" s="3097" t="s">
        <v>2620</v>
      </c>
      <c r="F72" s="3097" t="s">
        <v>2620</v>
      </c>
    </row>
    <row r="73" spans="1:7" ht="13.5">
      <c r="A73" s="3097">
        <v>1</v>
      </c>
      <c r="B73" s="3771" t="s">
        <v>2650</v>
      </c>
      <c r="C73" s="3071" t="s">
        <v>2651</v>
      </c>
      <c r="D73" s="3071" t="s">
        <v>2652</v>
      </c>
      <c r="E73" s="3097">
        <v>0.2</v>
      </c>
      <c r="F73" s="3097">
        <v>25</v>
      </c>
    </row>
    <row r="74" spans="1:7" ht="24">
      <c r="A74" s="3097">
        <v>2</v>
      </c>
      <c r="B74" s="3773"/>
      <c r="C74" s="3071" t="s">
        <v>2653</v>
      </c>
      <c r="D74" s="3071" t="s">
        <v>2654</v>
      </c>
      <c r="E74" s="3097">
        <v>0.2</v>
      </c>
      <c r="F74" s="3097">
        <v>25</v>
      </c>
    </row>
    <row r="75" spans="1:7" ht="24">
      <c r="A75" s="3097">
        <v>3</v>
      </c>
      <c r="B75" s="3773"/>
      <c r="C75" s="3071" t="s">
        <v>2655</v>
      </c>
      <c r="D75" s="3071" t="s">
        <v>2656</v>
      </c>
      <c r="E75" s="3097">
        <v>0.2</v>
      </c>
      <c r="F75" s="3097">
        <v>25</v>
      </c>
    </row>
    <row r="76" spans="1:7" ht="13.5">
      <c r="A76" s="3097">
        <v>4</v>
      </c>
      <c r="B76" s="3773"/>
      <c r="C76" s="3071" t="s">
        <v>2657</v>
      </c>
      <c r="D76" s="3071" t="s">
        <v>2658</v>
      </c>
      <c r="E76" s="3097">
        <v>0.15</v>
      </c>
      <c r="F76" s="3097">
        <v>20</v>
      </c>
    </row>
    <row r="77" spans="1:7" ht="24">
      <c r="A77" s="3097">
        <v>5</v>
      </c>
      <c r="B77" s="3773"/>
      <c r="C77" s="3071" t="s">
        <v>2659</v>
      </c>
      <c r="D77" s="3071" t="s">
        <v>2660</v>
      </c>
      <c r="E77" s="3097">
        <v>0.15</v>
      </c>
      <c r="F77" s="3097">
        <v>20</v>
      </c>
    </row>
    <row r="78" spans="1:7" ht="24">
      <c r="A78" s="3097">
        <v>6</v>
      </c>
      <c r="B78" s="3773"/>
      <c r="C78" s="3071" t="s">
        <v>2661</v>
      </c>
      <c r="D78" s="3071" t="s">
        <v>2662</v>
      </c>
      <c r="E78" s="3097">
        <v>0.15</v>
      </c>
      <c r="F78" s="3097">
        <v>20</v>
      </c>
    </row>
    <row r="79" spans="1:7" ht="24">
      <c r="A79" s="3097">
        <v>7</v>
      </c>
      <c r="B79" s="3773"/>
      <c r="C79" s="3071" t="s">
        <v>2663</v>
      </c>
      <c r="D79" s="3071" t="s">
        <v>2664</v>
      </c>
      <c r="E79" s="3097">
        <v>0.15</v>
      </c>
      <c r="F79" s="3097">
        <v>20</v>
      </c>
    </row>
    <row r="80" spans="1:7" ht="24">
      <c r="A80" s="3097">
        <v>8</v>
      </c>
      <c r="B80" s="3773"/>
      <c r="C80" s="3071" t="s">
        <v>2665</v>
      </c>
      <c r="D80" s="3071" t="s">
        <v>2666</v>
      </c>
      <c r="E80" s="3097">
        <v>0.1</v>
      </c>
      <c r="F80" s="3097">
        <v>15</v>
      </c>
    </row>
    <row r="81" spans="1:6" ht="24">
      <c r="A81" s="3097">
        <v>9</v>
      </c>
      <c r="B81" s="3773"/>
      <c r="C81" s="3071" t="s">
        <v>2667</v>
      </c>
      <c r="D81" s="3071" t="s">
        <v>2668</v>
      </c>
      <c r="E81" s="3097">
        <v>0.1</v>
      </c>
      <c r="F81" s="3097">
        <v>15</v>
      </c>
    </row>
    <row r="82" spans="1:6" ht="24">
      <c r="A82" s="3097">
        <v>10</v>
      </c>
      <c r="B82" s="3773"/>
      <c r="C82" s="3071" t="s">
        <v>2669</v>
      </c>
      <c r="D82" s="3071" t="s">
        <v>2670</v>
      </c>
      <c r="E82" s="3097">
        <v>0.1</v>
      </c>
      <c r="F82" s="3097">
        <v>15</v>
      </c>
    </row>
    <row r="83" spans="1:6" ht="24">
      <c r="A83" s="3097">
        <v>11</v>
      </c>
      <c r="B83" s="3773"/>
      <c r="C83" s="3071" t="s">
        <v>2671</v>
      </c>
      <c r="D83" s="3071" t="s">
        <v>2672</v>
      </c>
      <c r="E83" s="3097">
        <v>0.1</v>
      </c>
      <c r="F83" s="3097">
        <v>15</v>
      </c>
    </row>
    <row r="84" spans="1:6" ht="24">
      <c r="A84" s="3097">
        <v>12</v>
      </c>
      <c r="B84" s="3773"/>
      <c r="C84" s="3071" t="s">
        <v>2673</v>
      </c>
      <c r="D84" s="3071" t="s">
        <v>2674</v>
      </c>
      <c r="E84" s="3097">
        <v>0.1</v>
      </c>
      <c r="F84" s="3097">
        <v>15</v>
      </c>
    </row>
    <row r="85" spans="1:6" ht="13.5">
      <c r="A85" s="3097">
        <v>13</v>
      </c>
      <c r="B85" s="3773"/>
      <c r="C85" s="3071" t="s">
        <v>2675</v>
      </c>
      <c r="D85" s="3071" t="s">
        <v>2676</v>
      </c>
      <c r="E85" s="3097">
        <v>0.1</v>
      </c>
      <c r="F85" s="3097">
        <v>15</v>
      </c>
    </row>
    <row r="86" spans="1:6" ht="13.5">
      <c r="A86" s="3097">
        <v>14</v>
      </c>
      <c r="B86" s="3773"/>
      <c r="C86" s="3071" t="s">
        <v>2677</v>
      </c>
      <c r="D86" s="3071" t="s">
        <v>2678</v>
      </c>
      <c r="E86" s="3097">
        <v>0.1</v>
      </c>
      <c r="F86" s="3097">
        <v>15</v>
      </c>
    </row>
    <row r="87" spans="1:6" ht="13.5">
      <c r="A87" s="3097">
        <v>15</v>
      </c>
      <c r="B87" s="3773"/>
      <c r="C87" s="3071" t="s">
        <v>2679</v>
      </c>
      <c r="D87" s="3071" t="s">
        <v>2680</v>
      </c>
      <c r="E87" s="3097">
        <v>0.1</v>
      </c>
      <c r="F87" s="3097">
        <v>15</v>
      </c>
    </row>
    <row r="88" spans="1:6" ht="24">
      <c r="A88" s="3097">
        <v>16</v>
      </c>
      <c r="B88" s="3773"/>
      <c r="C88" s="3071" t="s">
        <v>2681</v>
      </c>
      <c r="D88" s="3071" t="s">
        <v>2682</v>
      </c>
      <c r="E88" s="3097">
        <v>0.1</v>
      </c>
      <c r="F88" s="3097">
        <v>15</v>
      </c>
    </row>
    <row r="89" spans="1:6" ht="24">
      <c r="A89" s="3097">
        <v>17</v>
      </c>
      <c r="B89" s="3772"/>
      <c r="C89" s="3071" t="s">
        <v>2683</v>
      </c>
      <c r="D89" s="3071" t="s">
        <v>2684</v>
      </c>
      <c r="E89" s="3097">
        <v>0.1</v>
      </c>
      <c r="F89" s="3097">
        <v>15</v>
      </c>
    </row>
    <row r="90" spans="1:6" ht="13.5">
      <c r="A90" s="3097">
        <v>18</v>
      </c>
      <c r="B90" s="3771" t="s">
        <v>2685</v>
      </c>
      <c r="C90" s="3071" t="s">
        <v>2686</v>
      </c>
      <c r="D90" s="3071" t="s">
        <v>2687</v>
      </c>
      <c r="E90" s="3097">
        <v>0.2</v>
      </c>
      <c r="F90" s="3097">
        <v>25</v>
      </c>
    </row>
    <row r="91" spans="1:6" ht="24">
      <c r="A91" s="3097">
        <v>19</v>
      </c>
      <c r="B91" s="3773"/>
      <c r="C91" s="3071" t="s">
        <v>2688</v>
      </c>
      <c r="D91" s="3071" t="s">
        <v>2689</v>
      </c>
      <c r="E91" s="3097">
        <v>0.2</v>
      </c>
      <c r="F91" s="3097">
        <v>25</v>
      </c>
    </row>
    <row r="92" spans="1:6" ht="13.5">
      <c r="A92" s="3097">
        <v>20</v>
      </c>
      <c r="B92" s="3773"/>
      <c r="C92" s="3071" t="s">
        <v>2690</v>
      </c>
      <c r="D92" s="3071" t="s">
        <v>2691</v>
      </c>
      <c r="E92" s="3097">
        <v>0.15</v>
      </c>
      <c r="F92" s="3097">
        <v>20</v>
      </c>
    </row>
    <row r="93" spans="1:6" ht="13.5">
      <c r="A93" s="3097">
        <v>21</v>
      </c>
      <c r="B93" s="3773"/>
      <c r="C93" s="3071" t="s">
        <v>2692</v>
      </c>
      <c r="D93" s="3071" t="s">
        <v>2693</v>
      </c>
      <c r="E93" s="3097">
        <v>0.15</v>
      </c>
      <c r="F93" s="3097">
        <v>20</v>
      </c>
    </row>
    <row r="94" spans="1:6" ht="13.5">
      <c r="A94" s="3097">
        <v>22</v>
      </c>
      <c r="B94" s="3773"/>
      <c r="C94" s="3071" t="s">
        <v>2694</v>
      </c>
      <c r="D94" s="3071" t="s">
        <v>2695</v>
      </c>
      <c r="E94" s="3097">
        <v>0.15</v>
      </c>
      <c r="F94" s="3097">
        <v>20</v>
      </c>
    </row>
    <row r="95" spans="1:6" ht="36">
      <c r="A95" s="3097">
        <v>23</v>
      </c>
      <c r="B95" s="3773"/>
      <c r="C95" s="3071" t="s">
        <v>2696</v>
      </c>
      <c r="D95" s="3071" t="s">
        <v>2697</v>
      </c>
      <c r="E95" s="3097">
        <v>0.15</v>
      </c>
      <c r="F95" s="3097">
        <v>20</v>
      </c>
    </row>
    <row r="96" spans="1:6" ht="13.5">
      <c r="A96" s="3097">
        <v>24</v>
      </c>
      <c r="B96" s="3773"/>
      <c r="C96" s="3071" t="s">
        <v>2698</v>
      </c>
      <c r="D96" s="3071" t="s">
        <v>2699</v>
      </c>
      <c r="E96" s="3097">
        <v>0.1</v>
      </c>
      <c r="F96" s="3097">
        <v>15</v>
      </c>
    </row>
    <row r="97" spans="1:6" ht="13.5">
      <c r="A97" s="3097">
        <v>25</v>
      </c>
      <c r="B97" s="3773"/>
      <c r="C97" s="3071" t="s">
        <v>2700</v>
      </c>
      <c r="D97" s="3071" t="s">
        <v>2701</v>
      </c>
      <c r="E97" s="3097">
        <v>0.1</v>
      </c>
      <c r="F97" s="3097">
        <v>15</v>
      </c>
    </row>
    <row r="98" spans="1:6" ht="24">
      <c r="A98" s="3097">
        <v>26</v>
      </c>
      <c r="B98" s="3773"/>
      <c r="C98" s="3071" t="s">
        <v>2702</v>
      </c>
      <c r="D98" s="3071" t="s">
        <v>2703</v>
      </c>
      <c r="E98" s="3097">
        <v>0.1</v>
      </c>
      <c r="F98" s="3097">
        <v>15</v>
      </c>
    </row>
    <row r="99" spans="1:6" ht="24">
      <c r="A99" s="3097">
        <v>27</v>
      </c>
      <c r="B99" s="3773"/>
      <c r="C99" s="3071" t="s">
        <v>2704</v>
      </c>
      <c r="D99" s="3071" t="s">
        <v>2705</v>
      </c>
      <c r="E99" s="3097">
        <v>0.1</v>
      </c>
      <c r="F99" s="3097">
        <v>15</v>
      </c>
    </row>
    <row r="100" spans="1:6" ht="13.5">
      <c r="A100" s="3097">
        <v>28</v>
      </c>
      <c r="B100" s="3773"/>
      <c r="C100" s="3071" t="s">
        <v>2706</v>
      </c>
      <c r="D100" s="3071" t="s">
        <v>2707</v>
      </c>
      <c r="E100" s="3097">
        <v>0.1</v>
      </c>
      <c r="F100" s="3097">
        <v>15</v>
      </c>
    </row>
    <row r="101" spans="1:6" ht="13.5">
      <c r="A101" s="3097">
        <v>29</v>
      </c>
      <c r="B101" s="3773"/>
      <c r="C101" s="3071" t="s">
        <v>2708</v>
      </c>
      <c r="D101" s="3071" t="s">
        <v>2709</v>
      </c>
      <c r="E101" s="3097">
        <v>0.1</v>
      </c>
      <c r="F101" s="3097">
        <v>15</v>
      </c>
    </row>
    <row r="102" spans="1:6" ht="13.5">
      <c r="A102" s="3097">
        <v>30</v>
      </c>
      <c r="B102" s="3773"/>
      <c r="C102" s="3071" t="s">
        <v>2710</v>
      </c>
      <c r="D102" s="3071" t="s">
        <v>2711</v>
      </c>
      <c r="E102" s="3097">
        <v>0.1</v>
      </c>
      <c r="F102" s="3097">
        <v>15</v>
      </c>
    </row>
    <row r="103" spans="1:6" ht="24">
      <c r="A103" s="3097">
        <v>31</v>
      </c>
      <c r="B103" s="3773"/>
      <c r="C103" s="3071" t="s">
        <v>2712</v>
      </c>
      <c r="D103" s="3071" t="s">
        <v>2713</v>
      </c>
      <c r="E103" s="3097">
        <v>0.1</v>
      </c>
      <c r="F103" s="3097">
        <v>15</v>
      </c>
    </row>
    <row r="104" spans="1:6" ht="24">
      <c r="A104" s="3097">
        <v>32</v>
      </c>
      <c r="B104" s="3773"/>
      <c r="C104" s="3071" t="s">
        <v>2714</v>
      </c>
      <c r="D104" s="3071" t="s">
        <v>2715</v>
      </c>
      <c r="E104" s="3097">
        <v>0.1</v>
      </c>
      <c r="F104" s="3097">
        <v>15</v>
      </c>
    </row>
    <row r="105" spans="1:6" ht="24">
      <c r="A105" s="3097">
        <v>33</v>
      </c>
      <c r="B105" s="3773"/>
      <c r="C105" s="3071" t="s">
        <v>2716</v>
      </c>
      <c r="D105" s="3071" t="s">
        <v>2717</v>
      </c>
      <c r="E105" s="3097">
        <v>0.1</v>
      </c>
      <c r="F105" s="3097">
        <v>15</v>
      </c>
    </row>
    <row r="106" spans="1:6" ht="24">
      <c r="A106" s="3097">
        <v>34</v>
      </c>
      <c r="B106" s="3772"/>
      <c r="C106" s="3071" t="s">
        <v>2718</v>
      </c>
      <c r="D106" s="3071" t="s">
        <v>2719</v>
      </c>
      <c r="E106" s="3097">
        <v>0.1</v>
      </c>
      <c r="F106" s="3097">
        <v>15</v>
      </c>
    </row>
    <row r="107" spans="1:6" ht="24">
      <c r="A107" s="3097">
        <v>35</v>
      </c>
      <c r="B107" s="3771" t="s">
        <v>2720</v>
      </c>
      <c r="C107" s="3097" t="s">
        <v>2721</v>
      </c>
      <c r="D107" s="3071" t="s">
        <v>2722</v>
      </c>
      <c r="E107" s="3097">
        <v>0.15</v>
      </c>
      <c r="F107" s="3097">
        <v>20</v>
      </c>
    </row>
    <row r="108" spans="1:6" ht="13.5">
      <c r="A108" s="3097">
        <v>36</v>
      </c>
      <c r="B108" s="3773"/>
      <c r="C108" s="3097" t="s">
        <v>2723</v>
      </c>
      <c r="D108" s="3071" t="s">
        <v>2724</v>
      </c>
      <c r="E108" s="3097">
        <v>0.15</v>
      </c>
      <c r="F108" s="3097">
        <v>20</v>
      </c>
    </row>
    <row r="109" spans="1:6" ht="13.5">
      <c r="A109" s="3097">
        <v>37</v>
      </c>
      <c r="B109" s="3773"/>
      <c r="C109" s="3097" t="s">
        <v>2725</v>
      </c>
      <c r="D109" s="3071" t="s">
        <v>2726</v>
      </c>
      <c r="E109" s="3097">
        <v>0.15</v>
      </c>
      <c r="F109" s="3097">
        <v>20</v>
      </c>
    </row>
    <row r="110" spans="1:6" ht="13.5">
      <c r="A110" s="3097">
        <v>38</v>
      </c>
      <c r="B110" s="3773"/>
      <c r="C110" s="3097" t="s">
        <v>2727</v>
      </c>
      <c r="D110" s="3071" t="s">
        <v>2728</v>
      </c>
      <c r="E110" s="3097">
        <v>0.1</v>
      </c>
      <c r="F110" s="3097">
        <v>15</v>
      </c>
    </row>
    <row r="111" spans="1:6" ht="24">
      <c r="A111" s="3097">
        <v>39</v>
      </c>
      <c r="B111" s="3773"/>
      <c r="C111" s="3097" t="s">
        <v>2729</v>
      </c>
      <c r="D111" s="3071" t="s">
        <v>2730</v>
      </c>
      <c r="E111" s="3097">
        <v>0.1</v>
      </c>
      <c r="F111" s="3097">
        <v>15</v>
      </c>
    </row>
    <row r="112" spans="1:6" ht="24">
      <c r="A112" s="3097">
        <v>40</v>
      </c>
      <c r="B112" s="3772"/>
      <c r="C112" s="3097" t="s">
        <v>2731</v>
      </c>
      <c r="D112" s="3071" t="s">
        <v>2732</v>
      </c>
      <c r="E112" s="3097">
        <v>0.1</v>
      </c>
      <c r="F112" s="3097">
        <v>15</v>
      </c>
    </row>
    <row r="113" spans="1:6" ht="13.5">
      <c r="A113" s="3097">
        <v>41</v>
      </c>
      <c r="B113" s="3770" t="s">
        <v>2733</v>
      </c>
      <c r="C113" s="3097" t="s">
        <v>2734</v>
      </c>
      <c r="D113" s="3071" t="s">
        <v>2735</v>
      </c>
      <c r="E113" s="3097">
        <v>0.1</v>
      </c>
      <c r="F113" s="3097">
        <v>15</v>
      </c>
    </row>
    <row r="114" spans="1:6" ht="13.5">
      <c r="A114" s="3097">
        <v>42</v>
      </c>
      <c r="B114" s="3770"/>
      <c r="C114" s="3097" t="s">
        <v>2736</v>
      </c>
      <c r="D114" s="3071" t="s">
        <v>2737</v>
      </c>
      <c r="E114" s="3097">
        <v>0.1</v>
      </c>
      <c r="F114" s="3097">
        <v>15</v>
      </c>
    </row>
    <row r="115" spans="1:6" ht="24">
      <c r="A115" s="3097">
        <v>43</v>
      </c>
      <c r="B115" s="3770"/>
      <c r="C115" s="3097" t="s">
        <v>2738</v>
      </c>
      <c r="D115" s="3071" t="s">
        <v>2739</v>
      </c>
      <c r="E115" s="3097">
        <v>0.1</v>
      </c>
      <c r="F115" s="3097">
        <v>15</v>
      </c>
    </row>
    <row r="116" spans="1:6" ht="13.5">
      <c r="A116" s="3097">
        <v>44</v>
      </c>
      <c r="B116" s="3771" t="s">
        <v>2740</v>
      </c>
      <c r="C116" s="3097" t="s">
        <v>2741</v>
      </c>
      <c r="D116" s="3071" t="s">
        <v>2742</v>
      </c>
      <c r="E116" s="3097">
        <v>0.1</v>
      </c>
      <c r="F116" s="3097">
        <v>15</v>
      </c>
    </row>
    <row r="117" spans="1:6" ht="24">
      <c r="A117" s="3097">
        <v>45</v>
      </c>
      <c r="B117" s="3772"/>
      <c r="C117" s="3071" t="s">
        <v>2743</v>
      </c>
      <c r="D117" s="3071" t="s">
        <v>2744</v>
      </c>
      <c r="E117" s="3097">
        <v>0.1</v>
      </c>
      <c r="F117" s="3097">
        <v>15</v>
      </c>
    </row>
    <row r="118" spans="1:6" ht="24">
      <c r="A118" s="3097">
        <v>46</v>
      </c>
      <c r="B118" s="3771" t="s">
        <v>2745</v>
      </c>
      <c r="C118" s="3097" t="s">
        <v>2746</v>
      </c>
      <c r="D118" s="3071" t="s">
        <v>2747</v>
      </c>
      <c r="E118" s="3097">
        <v>0.1</v>
      </c>
      <c r="F118" s="3097">
        <v>15</v>
      </c>
    </row>
    <row r="119" spans="1:6" ht="24">
      <c r="A119" s="3097">
        <v>47</v>
      </c>
      <c r="B119" s="3772"/>
      <c r="C119" s="3097" t="s">
        <v>2748</v>
      </c>
      <c r="D119" s="3071" t="s">
        <v>2749</v>
      </c>
      <c r="E119" s="3097">
        <v>0.1</v>
      </c>
      <c r="F119" s="3097">
        <v>15</v>
      </c>
    </row>
    <row r="120" spans="1:6" ht="13.5">
      <c r="A120" s="3097">
        <v>48</v>
      </c>
      <c r="B120" s="3771" t="s">
        <v>2750</v>
      </c>
      <c r="C120" s="3097" t="s">
        <v>2751</v>
      </c>
      <c r="D120" s="3071" t="s">
        <v>2752</v>
      </c>
      <c r="E120" s="3097">
        <v>0.1</v>
      </c>
      <c r="F120" s="3097">
        <v>15</v>
      </c>
    </row>
    <row r="121" spans="1:6" ht="13.5">
      <c r="A121" s="3097">
        <v>49</v>
      </c>
      <c r="B121" s="3772"/>
      <c r="C121" s="3097" t="s">
        <v>2753</v>
      </c>
      <c r="D121" s="3071" t="s">
        <v>2754</v>
      </c>
      <c r="E121" s="3097">
        <v>0.1</v>
      </c>
      <c r="F121" s="3097">
        <v>15</v>
      </c>
    </row>
    <row r="122" spans="1:6" ht="24">
      <c r="A122" s="3097">
        <v>50</v>
      </c>
      <c r="B122" s="3770" t="s">
        <v>2755</v>
      </c>
      <c r="C122" s="3097" t="s">
        <v>2756</v>
      </c>
      <c r="D122" s="3071" t="s">
        <v>2757</v>
      </c>
      <c r="E122" s="3097">
        <v>0.1</v>
      </c>
      <c r="F122" s="3097">
        <v>15</v>
      </c>
    </row>
    <row r="123" spans="1:6" ht="24">
      <c r="A123" s="3097">
        <v>51</v>
      </c>
      <c r="B123" s="3770"/>
      <c r="C123" s="3097" t="s">
        <v>2758</v>
      </c>
      <c r="D123" s="3071" t="s">
        <v>2759</v>
      </c>
      <c r="E123" s="3097">
        <v>0.1</v>
      </c>
      <c r="F123" s="3097">
        <v>15</v>
      </c>
    </row>
    <row r="124" spans="1:6" ht="24">
      <c r="A124" s="3097">
        <v>52</v>
      </c>
      <c r="B124" s="3770" t="s">
        <v>2760</v>
      </c>
      <c r="C124" s="3097" t="s">
        <v>2761</v>
      </c>
      <c r="D124" s="3071" t="s">
        <v>2762</v>
      </c>
      <c r="E124" s="3097">
        <v>0.1</v>
      </c>
      <c r="F124" s="3097">
        <v>15</v>
      </c>
    </row>
    <row r="125" spans="1:6" ht="24">
      <c r="A125" s="3097">
        <v>53</v>
      </c>
      <c r="B125" s="3770"/>
      <c r="C125" s="3097" t="s">
        <v>2763</v>
      </c>
      <c r="D125" s="3071" t="s">
        <v>2764</v>
      </c>
      <c r="E125" s="3097">
        <v>0.1</v>
      </c>
      <c r="F125" s="3097">
        <v>15</v>
      </c>
    </row>
    <row r="126" spans="1:6" ht="13.5">
      <c r="A126" s="3097">
        <v>54</v>
      </c>
      <c r="B126" s="3097" t="s">
        <v>2765</v>
      </c>
      <c r="C126" s="3097" t="s">
        <v>2766</v>
      </c>
      <c r="D126" s="3071" t="s">
        <v>2767</v>
      </c>
      <c r="E126" s="3097">
        <v>0.1</v>
      </c>
      <c r="F126" s="3097">
        <v>15</v>
      </c>
    </row>
    <row r="127" spans="1:6" ht="13.5">
      <c r="A127" s="3097">
        <v>55</v>
      </c>
      <c r="B127" s="3770" t="s">
        <v>2768</v>
      </c>
      <c r="C127" s="3097" t="s">
        <v>2769</v>
      </c>
      <c r="D127" s="3071" t="s">
        <v>2770</v>
      </c>
      <c r="E127" s="3097">
        <v>0.1</v>
      </c>
      <c r="F127" s="3097">
        <v>15</v>
      </c>
    </row>
    <row r="128" spans="1:6" ht="13.5">
      <c r="A128" s="3097">
        <v>56</v>
      </c>
      <c r="B128" s="3770"/>
      <c r="C128" s="3097" t="s">
        <v>2771</v>
      </c>
      <c r="D128" s="3071" t="s">
        <v>2772</v>
      </c>
      <c r="E128" s="3097">
        <v>0.1</v>
      </c>
      <c r="F128" s="3097">
        <v>15</v>
      </c>
    </row>
    <row r="129" spans="1:6" ht="24">
      <c r="A129" s="3097">
        <v>57</v>
      </c>
      <c r="B129" s="3770"/>
      <c r="C129" s="3097" t="s">
        <v>2773</v>
      </c>
      <c r="D129" s="3071" t="s">
        <v>2774</v>
      </c>
      <c r="E129" s="3097">
        <v>0.1</v>
      </c>
      <c r="F129" s="3097">
        <v>15</v>
      </c>
    </row>
    <row r="130" spans="1:6" ht="24">
      <c r="A130" s="3097">
        <v>58</v>
      </c>
      <c r="B130" s="3770" t="s">
        <v>2775</v>
      </c>
      <c r="C130" s="3097" t="s">
        <v>2776</v>
      </c>
      <c r="D130" s="3071" t="s">
        <v>2777</v>
      </c>
      <c r="E130" s="3097">
        <v>0.1</v>
      </c>
      <c r="F130" s="3097">
        <v>15</v>
      </c>
    </row>
    <row r="131" spans="1:6" ht="13.5">
      <c r="A131" s="3097">
        <v>59</v>
      </c>
      <c r="B131" s="3770"/>
      <c r="C131" s="3097" t="s">
        <v>2778</v>
      </c>
      <c r="D131" s="3071" t="s">
        <v>2779</v>
      </c>
      <c r="E131" s="3097">
        <v>0.1</v>
      </c>
      <c r="F131" s="3097">
        <v>15</v>
      </c>
    </row>
    <row r="132" spans="1:6" ht="13.5">
      <c r="A132" s="3097">
        <v>60</v>
      </c>
      <c r="B132" s="3771" t="s">
        <v>2780</v>
      </c>
      <c r="C132" s="3097" t="s">
        <v>2781</v>
      </c>
      <c r="D132" s="3071" t="s">
        <v>2782</v>
      </c>
      <c r="E132" s="3097">
        <v>0.1</v>
      </c>
      <c r="F132" s="3097">
        <v>15</v>
      </c>
    </row>
    <row r="133" spans="1:6" ht="13.5">
      <c r="A133" s="3097">
        <v>61</v>
      </c>
      <c r="B133" s="3772"/>
      <c r="C133" s="3097" t="s">
        <v>2783</v>
      </c>
      <c r="D133" s="3071" t="s">
        <v>2784</v>
      </c>
      <c r="E133" s="3097">
        <v>0.1</v>
      </c>
      <c r="F133" s="3097">
        <v>15</v>
      </c>
    </row>
    <row r="134" spans="1:6" ht="24">
      <c r="A134" s="3097">
        <v>62</v>
      </c>
      <c r="B134" s="3097" t="s">
        <v>2785</v>
      </c>
      <c r="C134" s="3097" t="s">
        <v>2786</v>
      </c>
      <c r="D134" s="3071" t="s">
        <v>2787</v>
      </c>
      <c r="E134" s="3097">
        <v>0.1</v>
      </c>
      <c r="F134" s="3097">
        <v>15</v>
      </c>
    </row>
    <row r="135" spans="1:6" ht="13.5">
      <c r="A135" s="3097">
        <v>63</v>
      </c>
      <c r="B135" s="3770" t="s">
        <v>2788</v>
      </c>
      <c r="C135" s="3097" t="s">
        <v>2789</v>
      </c>
      <c r="D135" s="3071" t="s">
        <v>2790</v>
      </c>
      <c r="E135" s="3097">
        <v>0.1</v>
      </c>
      <c r="F135" s="3097">
        <v>15</v>
      </c>
    </row>
    <row r="136" spans="1:6" ht="13.5">
      <c r="A136" s="3097">
        <v>64</v>
      </c>
      <c r="B136" s="3770"/>
      <c r="C136" s="3097" t="s">
        <v>2791</v>
      </c>
      <c r="D136" s="3071" t="s">
        <v>2792</v>
      </c>
      <c r="E136" s="3097">
        <v>0.1</v>
      </c>
      <c r="F136" s="3097">
        <v>15</v>
      </c>
    </row>
    <row r="137" spans="1:6" ht="13.5">
      <c r="A137" s="3097">
        <v>65</v>
      </c>
      <c r="B137" s="3097" t="s">
        <v>2793</v>
      </c>
      <c r="C137" s="3097" t="s">
        <v>2794</v>
      </c>
      <c r="D137" s="3071" t="s">
        <v>2795</v>
      </c>
      <c r="E137" s="3097">
        <v>0.1</v>
      </c>
      <c r="F137" s="3097">
        <v>15</v>
      </c>
    </row>
    <row r="138" spans="1:6" ht="13.5">
      <c r="A138" s="3097"/>
      <c r="B138" s="3097"/>
      <c r="C138" s="3097"/>
      <c r="D138" s="3097"/>
      <c r="E138" s="3097" t="s">
        <v>2796</v>
      </c>
      <c r="F138" s="309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2797</v>
      </c>
      <c r="B1" s="3106"/>
      <c r="C1" s="3106"/>
      <c r="D1" s="3106"/>
      <c r="E1" s="3106"/>
      <c r="F1" s="3106"/>
      <c r="G1" s="3106"/>
      <c r="H1" s="3106"/>
      <c r="I1" s="3106"/>
      <c r="J1" s="3106"/>
      <c r="K1" s="3106"/>
      <c r="L1" s="3106"/>
      <c r="M1" s="3106"/>
      <c r="N1" s="749"/>
    </row>
    <row r="2" spans="1:20">
      <c r="A2" s="3107" t="s">
        <v>2798</v>
      </c>
      <c r="B2" s="3108" t="s">
        <v>2594</v>
      </c>
      <c r="C2" s="3108" t="s">
        <v>2595</v>
      </c>
      <c r="D2" s="3108" t="s">
        <v>2596</v>
      </c>
      <c r="E2" s="3108" t="s">
        <v>2597</v>
      </c>
      <c r="F2" s="3108" t="s">
        <v>2598</v>
      </c>
      <c r="G2" s="3108" t="s">
        <v>2599</v>
      </c>
      <c r="H2" s="3109" t="s">
        <v>2600</v>
      </c>
      <c r="I2" s="3109" t="s">
        <v>2601</v>
      </c>
      <c r="J2" s="3110" t="s">
        <v>2602</v>
      </c>
      <c r="K2" s="3110" t="s">
        <v>2603</v>
      </c>
      <c r="L2" s="3110" t="s">
        <v>2604</v>
      </c>
      <c r="M2" s="3111" t="s">
        <v>2605</v>
      </c>
      <c r="Q2" s="3121" t="s">
        <v>2803</v>
      </c>
      <c r="R2" s="3121" t="s">
        <v>2804</v>
      </c>
      <c r="S2" s="3121" t="s">
        <v>2805</v>
      </c>
      <c r="T2" s="3121" t="s">
        <v>2806</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2799</v>
      </c>
      <c r="B93" s="3106"/>
      <c r="C93" s="3106"/>
      <c r="D93" s="3106"/>
      <c r="E93" s="3106"/>
      <c r="F93" s="3106"/>
      <c r="G93" s="3106"/>
      <c r="H93" s="3106"/>
      <c r="I93" s="3106"/>
      <c r="J93" s="3106"/>
      <c r="K93" s="3106"/>
      <c r="L93" s="3106"/>
      <c r="M93" s="3106"/>
    </row>
    <row r="94" spans="1:20">
      <c r="A94" s="3107" t="s">
        <v>2798</v>
      </c>
      <c r="B94" s="3108" t="s">
        <v>2594</v>
      </c>
      <c r="C94" s="3108" t="s">
        <v>2595</v>
      </c>
      <c r="D94" s="3108" t="s">
        <v>2596</v>
      </c>
      <c r="E94" s="3108" t="s">
        <v>2597</v>
      </c>
      <c r="F94" s="3108" t="s">
        <v>2598</v>
      </c>
      <c r="G94" s="3108" t="s">
        <v>2599</v>
      </c>
      <c r="H94" s="3109" t="s">
        <v>2600</v>
      </c>
      <c r="I94" s="3109" t="s">
        <v>2601</v>
      </c>
      <c r="J94" s="3110" t="s">
        <v>2602</v>
      </c>
      <c r="K94" s="3110" t="s">
        <v>2603</v>
      </c>
      <c r="L94" s="3110" t="s">
        <v>2604</v>
      </c>
      <c r="M94" s="3111" t="s">
        <v>2605</v>
      </c>
      <c r="N94" s="750">
        <f>SUMPRODUCT((A95:A184=ROUNDDOWN(基准地价修正!G3,1))*(B94:M94=基准地价修正!G2)*(B95:M184))</f>
        <v>1.1056999999999999</v>
      </c>
      <c r="Q94" s="3121" t="s">
        <v>2803</v>
      </c>
      <c r="R94" s="3121" t="s">
        <v>2804</v>
      </c>
      <c r="S94" s="3121" t="s">
        <v>2805</v>
      </c>
      <c r="T94" s="3121" t="s">
        <v>2806</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2800</v>
      </c>
      <c r="B185" s="3106"/>
      <c r="C185" s="3106"/>
      <c r="D185" s="3106"/>
      <c r="E185" s="3106"/>
      <c r="F185" s="3106"/>
      <c r="G185" s="3106"/>
      <c r="H185" s="3106"/>
      <c r="I185" s="3106"/>
      <c r="J185" s="3106"/>
      <c r="K185" s="3106"/>
      <c r="L185" s="3106"/>
      <c r="M185" s="3106"/>
    </row>
    <row r="186" spans="1:20">
      <c r="A186" s="3107" t="s">
        <v>2798</v>
      </c>
      <c r="B186" s="3108" t="s">
        <v>2594</v>
      </c>
      <c r="C186" s="3108" t="s">
        <v>2595</v>
      </c>
      <c r="D186" s="3108" t="s">
        <v>2596</v>
      </c>
      <c r="E186" s="3108" t="s">
        <v>2597</v>
      </c>
      <c r="F186" s="3108" t="s">
        <v>2598</v>
      </c>
      <c r="G186" s="3108" t="s">
        <v>2599</v>
      </c>
      <c r="H186" s="3109" t="s">
        <v>2600</v>
      </c>
      <c r="I186" s="3109" t="s">
        <v>2601</v>
      </c>
      <c r="J186" s="3110" t="s">
        <v>2602</v>
      </c>
      <c r="K186" s="3110" t="s">
        <v>2603</v>
      </c>
      <c r="L186" s="3110" t="s">
        <v>2604</v>
      </c>
      <c r="M186" s="3111" t="s">
        <v>2605</v>
      </c>
      <c r="Q186" s="3121" t="s">
        <v>2803</v>
      </c>
      <c r="R186" s="3121" t="s">
        <v>2804</v>
      </c>
      <c r="S186" s="3121" t="s">
        <v>2805</v>
      </c>
      <c r="T186" s="3121" t="s">
        <v>2806</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2801</v>
      </c>
      <c r="B277" s="3106"/>
      <c r="C277" s="3106"/>
      <c r="D277" s="3106"/>
      <c r="E277" s="3106"/>
      <c r="F277" s="3106"/>
      <c r="G277" s="3106"/>
      <c r="H277" s="3106"/>
      <c r="I277" s="3106"/>
      <c r="J277" s="3106"/>
      <c r="K277" s="3106"/>
      <c r="L277" s="3106"/>
      <c r="M277" s="3106"/>
    </row>
    <row r="278" spans="1:21">
      <c r="A278" s="3107" t="s">
        <v>2798</v>
      </c>
      <c r="B278" s="3108" t="s">
        <v>2594</v>
      </c>
      <c r="C278" s="3108" t="s">
        <v>2595</v>
      </c>
      <c r="D278" s="3108" t="s">
        <v>2596</v>
      </c>
      <c r="E278" s="3108" t="s">
        <v>2597</v>
      </c>
      <c r="F278" s="3108" t="s">
        <v>2598</v>
      </c>
      <c r="G278" s="3108" t="s">
        <v>2599</v>
      </c>
      <c r="H278" s="3109" t="s">
        <v>2600</v>
      </c>
      <c r="I278" s="3109" t="s">
        <v>2601</v>
      </c>
      <c r="J278" s="3110" t="s">
        <v>2602</v>
      </c>
      <c r="K278" s="3110" t="s">
        <v>2603</v>
      </c>
      <c r="L278" s="3110" t="s">
        <v>2604</v>
      </c>
      <c r="M278" s="3111" t="s">
        <v>2605</v>
      </c>
      <c r="Q278" s="3121" t="s">
        <v>2803</v>
      </c>
      <c r="R278" s="3121" t="s">
        <v>2804</v>
      </c>
      <c r="S278" s="3121" t="s">
        <v>2807</v>
      </c>
      <c r="T278" s="3121" t="s">
        <v>2808</v>
      </c>
      <c r="U278" s="3121" t="s">
        <v>2806</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2802</v>
      </c>
      <c r="B369" s="3119"/>
      <c r="C369" s="3119"/>
      <c r="D369" s="3119"/>
      <c r="E369" s="3119"/>
      <c r="F369" s="3119"/>
      <c r="G369" s="3119"/>
      <c r="H369" s="3119"/>
      <c r="I369" s="3119"/>
      <c r="J369" s="3119"/>
      <c r="K369" s="3119"/>
      <c r="L369" s="3119"/>
      <c r="M369" s="3119"/>
    </row>
    <row r="370" spans="1:20">
      <c r="A370" s="3107" t="s">
        <v>2798</v>
      </c>
      <c r="B370" s="3108" t="s">
        <v>2594</v>
      </c>
      <c r="C370" s="3108" t="s">
        <v>2595</v>
      </c>
      <c r="D370" s="3108" t="s">
        <v>2596</v>
      </c>
      <c r="E370" s="3108" t="s">
        <v>2597</v>
      </c>
      <c r="F370" s="3108" t="s">
        <v>2598</v>
      </c>
      <c r="G370" s="3108" t="s">
        <v>2599</v>
      </c>
      <c r="H370" s="3109" t="s">
        <v>2600</v>
      </c>
      <c r="I370" s="3109" t="s">
        <v>2601</v>
      </c>
      <c r="J370" s="3110" t="s">
        <v>2602</v>
      </c>
      <c r="K370" s="3110" t="s">
        <v>2603</v>
      </c>
      <c r="L370" s="3110" t="s">
        <v>2604</v>
      </c>
      <c r="M370" s="3111" t="s">
        <v>2605</v>
      </c>
      <c r="N370" s="750">
        <f>SUMPRODUCT((A371:A460=ROUNDDOWN(基准地价修正!G3,1))*(B370:M370=基准地价修正!G2)*(B371:M460))</f>
        <v>1.0517000000000001</v>
      </c>
      <c r="Q370" s="3121" t="s">
        <v>2803</v>
      </c>
      <c r="R370" s="3121" t="s">
        <v>2804</v>
      </c>
      <c r="S370" s="3121" t="s">
        <v>2805</v>
      </c>
      <c r="T370" s="3121" t="s">
        <v>2806</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31479</v>
      </c>
      <c r="C2" s="2" t="s">
        <v>106</v>
      </c>
      <c r="D2" s="199"/>
      <c r="E2" s="199"/>
      <c r="F2" s="199"/>
      <c r="G2" s="199"/>
    </row>
    <row r="3" spans="1:7" s="200" customFormat="1" ht="18" customHeight="1" thickBot="1">
      <c r="A3" s="203" t="s">
        <v>58</v>
      </c>
      <c r="B3" s="204">
        <f ca="1">ROUND(B2*10000/'数据-汇总表'!E3,0)</f>
        <v>23163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272</v>
      </c>
      <c r="D10" s="845">
        <f>'数据-汇总表'!E6</f>
        <v>13590.15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272</v>
      </c>
      <c r="D19" s="849">
        <f>'数据-汇总表'!E3</f>
        <v>13590.15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1065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25217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5436</v>
      </c>
      <c r="D34" s="217"/>
      <c r="E34" s="220"/>
      <c r="F34" s="257">
        <f>IF('数据-取费表'!B24=0,1,'数据-取费表'!N16)</f>
        <v>1</v>
      </c>
      <c r="G34" s="219" t="s">
        <v>89</v>
      </c>
    </row>
    <row r="35" spans="1:7" ht="13.5" customHeight="1">
      <c r="A35" s="780" t="s">
        <v>351</v>
      </c>
      <c r="B35" s="215" t="s">
        <v>33</v>
      </c>
      <c r="C35" s="220">
        <f>ROUND(C34*F35,0)</f>
        <v>272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272</v>
      </c>
      <c r="D37" s="217">
        <f>'数据-汇总表'!E3</f>
        <v>13590.15</v>
      </c>
      <c r="E37" s="249">
        <f>'数据-取费表'!B35</f>
        <v>200</v>
      </c>
      <c r="F37" s="259"/>
      <c r="G37" s="261" t="s">
        <v>92</v>
      </c>
    </row>
    <row r="38" spans="1:7" ht="13.5" customHeight="1">
      <c r="A38" s="780" t="s">
        <v>354</v>
      </c>
      <c r="B38" s="215" t="s">
        <v>36</v>
      </c>
      <c r="C38" s="220">
        <f>ROUND(C34*F38,0)</f>
        <v>109</v>
      </c>
      <c r="D38" s="220"/>
      <c r="E38" s="220"/>
      <c r="F38" s="259">
        <f>'数据-取费表'!B36</f>
        <v>0.02</v>
      </c>
      <c r="G38" s="219" t="s">
        <v>90</v>
      </c>
    </row>
    <row r="39" spans="1:7" s="214" customFormat="1" ht="13.5" customHeight="1">
      <c r="A39" s="777" t="s">
        <v>338</v>
      </c>
      <c r="B39" s="210" t="s">
        <v>77</v>
      </c>
      <c r="C39" s="232">
        <f>ROUND(C33*F20,0)</f>
        <v>122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144</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141</v>
      </c>
      <c r="D42" s="238"/>
      <c r="E42" s="238"/>
      <c r="F42" s="239"/>
      <c r="G42" s="3646" t="s">
        <v>94</v>
      </c>
    </row>
    <row r="43" spans="1:7" ht="13.5" customHeight="1">
      <c r="A43" s="780" t="s">
        <v>347</v>
      </c>
      <c r="B43" s="215" t="s">
        <v>426</v>
      </c>
      <c r="C43" s="238">
        <f ca="1">ROUND(IF('数据-取费表'!B22&lt;=1,C39*F22*'数据-取费表'!B21/2,C39*(POWER((1+F22),'数据-取费表'!B21/2)-1)),0)</f>
        <v>3</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311</v>
      </c>
      <c r="D45" s="235">
        <f>C47</f>
        <v>1E-3</v>
      </c>
      <c r="E45" s="236" t="s">
        <v>102</v>
      </c>
      <c r="F45" s="246"/>
      <c r="G45" s="247" t="s">
        <v>434</v>
      </c>
    </row>
    <row r="46" spans="1:7" s="214" customFormat="1" ht="13.5" customHeight="1">
      <c r="A46" s="780" t="s">
        <v>349</v>
      </c>
      <c r="B46" s="248" t="s">
        <v>427</v>
      </c>
      <c r="C46" s="249">
        <f>ROUND((C33+C39)*F27,0)</f>
        <v>311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7198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6262</v>
      </c>
      <c r="D51" s="232"/>
      <c r="E51" s="232"/>
      <c r="F51" s="264"/>
      <c r="G51" s="234" t="s">
        <v>37</v>
      </c>
    </row>
    <row r="52" spans="1:7" s="208" customFormat="1" ht="16.5" thickBot="1">
      <c r="A52" s="265" t="s">
        <v>38</v>
      </c>
      <c r="B52" s="266"/>
      <c r="C52" s="267">
        <f ca="1">C31+C51</f>
        <v>31479</v>
      </c>
      <c r="D52" s="266"/>
      <c r="E52" s="266"/>
      <c r="F52" s="266"/>
      <c r="G52" s="268"/>
    </row>
    <row r="55" spans="1:7" ht="15">
      <c r="B55" s="270" t="s">
        <v>39</v>
      </c>
      <c r="C55" s="271"/>
    </row>
    <row r="56" spans="1:7">
      <c r="B56" s="273" t="s">
        <v>40</v>
      </c>
      <c r="C56" s="274">
        <f ca="1">ROUND(C51/C52,3)</f>
        <v>0.19900000000000001</v>
      </c>
    </row>
    <row r="57" spans="1:7">
      <c r="B57" s="273" t="s">
        <v>41</v>
      </c>
      <c r="C57" s="275">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15969</v>
      </c>
      <c r="E5" s="1491"/>
    </row>
    <row r="6" spans="1:5" ht="15.75">
      <c r="A6" s="1491"/>
      <c r="B6" s="3461"/>
      <c r="C6" s="1494" t="s">
        <v>911</v>
      </c>
      <c r="D6" s="850" t="str">
        <f ca="1">NUMBERSTRING(INT(D5*10000),2)&amp;"元整"</f>
        <v>壹亿伍仟玖佰陆拾玖万元整</v>
      </c>
      <c r="E6" s="1491"/>
    </row>
    <row r="7" spans="1:5" ht="15.75">
      <c r="A7" s="1491"/>
      <c r="B7" s="3466"/>
      <c r="C7" s="1495" t="s">
        <v>912</v>
      </c>
      <c r="D7" s="851">
        <f ca="1">结果表!H102</f>
        <v>11750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15969</v>
      </c>
      <c r="E13" s="1491"/>
    </row>
    <row r="14" spans="1:5" ht="15.75">
      <c r="A14" s="1491"/>
      <c r="B14" s="3461"/>
      <c r="C14" s="1494" t="s">
        <v>911</v>
      </c>
      <c r="D14" s="850" t="str">
        <f ca="1">NUMBERSTRING(INT(D13*10000),2)&amp;"元整"</f>
        <v>壹亿伍仟玖佰陆拾玖万元整</v>
      </c>
      <c r="E14" s="1491"/>
    </row>
    <row r="15" spans="1:5" ht="15">
      <c r="A15" s="1491"/>
      <c r="B15" s="3466"/>
      <c r="C15" s="1495" t="s">
        <v>921</v>
      </c>
      <c r="D15" s="859">
        <f ca="1">结果表!H108</f>
        <v>11750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13547</v>
      </c>
      <c r="E19" s="1491"/>
    </row>
    <row r="20" spans="1:5" ht="15.75">
      <c r="A20" s="1491"/>
      <c r="B20" s="3461"/>
      <c r="C20" s="1494" t="s">
        <v>923</v>
      </c>
      <c r="D20" s="850" t="str">
        <f ca="1">NUMBERSTRING(INT(D19*10000),2)&amp;"元整"</f>
        <v>壹亿叁仟伍佰肆拾柒万元整</v>
      </c>
      <c r="E20" s="1491"/>
    </row>
    <row r="21" spans="1:5" ht="15.75" thickBot="1">
      <c r="A21" s="1491"/>
      <c r="B21" s="3462"/>
      <c r="C21" s="1501" t="s">
        <v>921</v>
      </c>
      <c r="D21" s="860">
        <f ca="1">结果表!H112</f>
        <v>9968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84" t="s">
        <v>2838</v>
      </c>
      <c r="B1" s="3784"/>
      <c r="C1" s="3784"/>
      <c r="D1" s="3784"/>
      <c r="E1" s="3784"/>
      <c r="F1" s="3784"/>
      <c r="G1" s="3785"/>
      <c r="I1" s="3202" t="s">
        <v>2839</v>
      </c>
      <c r="J1" s="3203" t="s">
        <v>2840</v>
      </c>
      <c r="K1" s="3203" t="s">
        <v>2841</v>
      </c>
      <c r="L1" s="3203" t="s">
        <v>2842</v>
      </c>
      <c r="M1" s="3203" t="s">
        <v>2843</v>
      </c>
      <c r="N1" s="3203" t="s">
        <v>2844</v>
      </c>
      <c r="O1" s="3203" t="s">
        <v>2845</v>
      </c>
      <c r="P1" s="3203" t="s">
        <v>2846</v>
      </c>
      <c r="Q1" s="3203" t="s">
        <v>2847</v>
      </c>
      <c r="R1" s="3203" t="s">
        <v>2848</v>
      </c>
      <c r="S1" s="3203" t="s">
        <v>2849</v>
      </c>
      <c r="T1" s="3204" t="s">
        <v>2850</v>
      </c>
    </row>
    <row r="2" spans="1:20" ht="12" thickBot="1">
      <c r="A2" s="3206" t="s">
        <v>2851</v>
      </c>
      <c r="B2" s="3206"/>
      <c r="C2" s="3206"/>
      <c r="D2" s="3206"/>
      <c r="E2" s="3206"/>
      <c r="F2" s="3206"/>
      <c r="G2" s="3207" t="s">
        <v>2852</v>
      </c>
      <c r="I2" s="3208" t="s">
        <v>2853</v>
      </c>
      <c r="J2" s="3208" t="s">
        <v>2854</v>
      </c>
      <c r="K2" s="3208" t="s">
        <v>2855</v>
      </c>
      <c r="L2" s="3208" t="s">
        <v>2856</v>
      </c>
      <c r="M2" s="3208" t="s">
        <v>2857</v>
      </c>
      <c r="N2" s="3208" t="s">
        <v>2858</v>
      </c>
      <c r="O2" s="3208" t="s">
        <v>2859</v>
      </c>
      <c r="P2" s="3208" t="s">
        <v>2860</v>
      </c>
      <c r="Q2" s="3208" t="s">
        <v>2861</v>
      </c>
      <c r="R2" s="3208" t="s">
        <v>2862</v>
      </c>
      <c r="S2" s="3208" t="s">
        <v>2863</v>
      </c>
      <c r="T2" s="3208" t="s">
        <v>2864</v>
      </c>
    </row>
    <row r="3" spans="1:20" s="3214" customFormat="1">
      <c r="A3" s="3782" t="s">
        <v>2865</v>
      </c>
      <c r="B3" s="3209"/>
      <c r="C3" s="3210" t="s">
        <v>2810</v>
      </c>
      <c r="D3" s="3210" t="s">
        <v>2866</v>
      </c>
      <c r="E3" s="3210" t="s">
        <v>2812</v>
      </c>
      <c r="F3" s="3210" t="s">
        <v>2867</v>
      </c>
      <c r="G3" s="3210" t="s">
        <v>2630</v>
      </c>
      <c r="H3" s="3211"/>
      <c r="I3" s="3212" t="s">
        <v>2868</v>
      </c>
      <c r="J3" s="3213" t="s">
        <v>128</v>
      </c>
      <c r="K3" s="3213" t="s">
        <v>129</v>
      </c>
      <c r="L3" s="3212" t="s">
        <v>130</v>
      </c>
      <c r="M3" s="3212" t="s">
        <v>131</v>
      </c>
      <c r="N3" s="3212" t="s">
        <v>132</v>
      </c>
      <c r="O3" s="3212" t="s">
        <v>133</v>
      </c>
      <c r="P3" s="3212" t="s">
        <v>134</v>
      </c>
      <c r="Q3" s="3212" t="s">
        <v>135</v>
      </c>
      <c r="R3" s="3212" t="s">
        <v>136</v>
      </c>
      <c r="S3" s="3212" t="s">
        <v>2869</v>
      </c>
      <c r="T3" s="3212" t="s">
        <v>2870</v>
      </c>
    </row>
    <row r="4" spans="1:20" s="3214" customFormat="1" ht="12" thickBot="1">
      <c r="A4" s="3783"/>
      <c r="B4" s="3215" t="s">
        <v>2871</v>
      </c>
      <c r="C4" s="3215" t="s">
        <v>2872</v>
      </c>
      <c r="D4" s="3215" t="s">
        <v>2872</v>
      </c>
      <c r="E4" s="3215" t="s">
        <v>2872</v>
      </c>
      <c r="F4" s="3216" t="s">
        <v>2872</v>
      </c>
      <c r="G4" s="3216" t="s">
        <v>2872</v>
      </c>
      <c r="H4" s="3211"/>
      <c r="I4" s="3213" t="s">
        <v>137</v>
      </c>
      <c r="J4" s="3213" t="s">
        <v>111</v>
      </c>
      <c r="K4" s="3213" t="s">
        <v>138</v>
      </c>
      <c r="L4" s="3212" t="s">
        <v>139</v>
      </c>
      <c r="M4" s="3212" t="s">
        <v>140</v>
      </c>
      <c r="N4" s="3212" t="s">
        <v>141</v>
      </c>
      <c r="O4" s="3212" t="s">
        <v>142</v>
      </c>
      <c r="P4" s="3212" t="s">
        <v>143</v>
      </c>
      <c r="Q4" s="3212" t="s">
        <v>2873</v>
      </c>
      <c r="R4" s="3212" t="s">
        <v>2874</v>
      </c>
      <c r="S4" s="3212" t="s">
        <v>2875</v>
      </c>
      <c r="T4" s="3212" t="s">
        <v>2876</v>
      </c>
    </row>
    <row r="5" spans="1:20">
      <c r="A5" s="3217" t="s">
        <v>2839</v>
      </c>
      <c r="B5" s="3208" t="s">
        <v>2853</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2877</v>
      </c>
      <c r="R5" s="3212" t="s">
        <v>2878</v>
      </c>
      <c r="S5" s="3212" t="s">
        <v>153</v>
      </c>
      <c r="T5" s="3212" t="s">
        <v>2879</v>
      </c>
    </row>
    <row r="6" spans="1:20" ht="12" thickBot="1">
      <c r="A6" s="3212" t="s">
        <v>144</v>
      </c>
      <c r="B6" s="3212" t="s">
        <v>2868</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2880</v>
      </c>
      <c r="Q6" s="3212" t="s">
        <v>2881</v>
      </c>
      <c r="R6" s="3212" t="s">
        <v>161</v>
      </c>
      <c r="S6" s="3212" t="s">
        <v>2882</v>
      </c>
      <c r="T6" s="3212" t="s">
        <v>2883</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2884</v>
      </c>
      <c r="Q7" s="3212" t="s">
        <v>2885</v>
      </c>
      <c r="R7" s="3212" t="s">
        <v>2886</v>
      </c>
      <c r="S7" s="3212" t="s">
        <v>2887</v>
      </c>
      <c r="T7" s="3212" t="s">
        <v>2888</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2889</v>
      </c>
      <c r="Q8" s="3212" t="s">
        <v>174</v>
      </c>
      <c r="R8" s="3212" t="s">
        <v>2890</v>
      </c>
      <c r="S8" s="3212" t="s">
        <v>2891</v>
      </c>
      <c r="T8" s="3219" t="s">
        <v>2892</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2893</v>
      </c>
      <c r="Q9" s="3212" t="s">
        <v>182</v>
      </c>
      <c r="R9" s="3212" t="s">
        <v>183</v>
      </c>
      <c r="S9" s="3212" t="s">
        <v>200</v>
      </c>
    </row>
    <row r="10" spans="1:20">
      <c r="A10" s="3217" t="s">
        <v>184</v>
      </c>
      <c r="B10" s="3208" t="s">
        <v>2854</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2894</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2895</v>
      </c>
      <c r="P11" s="3212" t="s">
        <v>191</v>
      </c>
      <c r="Q11" s="3212" t="s">
        <v>199</v>
      </c>
      <c r="R11" s="3212" t="s">
        <v>2896</v>
      </c>
      <c r="S11" s="3212" t="s">
        <v>2897</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2898</v>
      </c>
      <c r="P12" s="3212" t="s">
        <v>2899</v>
      </c>
      <c r="Q12" s="3212" t="s">
        <v>2900</v>
      </c>
      <c r="R12" s="3212" t="s">
        <v>2901</v>
      </c>
      <c r="S12" s="3212" t="s">
        <v>2902</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2903</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2904</v>
      </c>
      <c r="K14" s="3213" t="s">
        <v>215</v>
      </c>
      <c r="L14" s="3212" t="s">
        <v>216</v>
      </c>
      <c r="M14" s="3212" t="s">
        <v>217</v>
      </c>
      <c r="N14" s="3212" t="s">
        <v>218</v>
      </c>
      <c r="O14" s="3212" t="s">
        <v>240</v>
      </c>
      <c r="P14" s="3212" t="s">
        <v>213</v>
      </c>
      <c r="Q14" s="3212" t="s">
        <v>2905</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2906</v>
      </c>
      <c r="P15" s="3212" t="s">
        <v>2907</v>
      </c>
      <c r="Q15" s="3212" t="s">
        <v>242</v>
      </c>
      <c r="R15" s="3212" t="s">
        <v>2908</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2909</v>
      </c>
      <c r="P16" s="3212" t="s">
        <v>227</v>
      </c>
      <c r="Q16" s="3212" t="s">
        <v>250</v>
      </c>
      <c r="R16" s="3212" t="s">
        <v>207</v>
      </c>
      <c r="S16" s="3212" t="s">
        <v>2910</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2911</v>
      </c>
      <c r="P17" s="3212" t="s">
        <v>2912</v>
      </c>
      <c r="Q17" s="3212" t="s">
        <v>256</v>
      </c>
      <c r="R17" s="3212" t="s">
        <v>2913</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2914</v>
      </c>
      <c r="P18" s="3212" t="s">
        <v>241</v>
      </c>
      <c r="Q18" s="3212" t="s">
        <v>2915</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2916</v>
      </c>
      <c r="P19" s="3212" t="s">
        <v>249</v>
      </c>
      <c r="Q19" s="3212" t="s">
        <v>2917</v>
      </c>
      <c r="R19" s="3212" t="s">
        <v>265</v>
      </c>
      <c r="S19" s="3212" t="s">
        <v>2918</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2919</v>
      </c>
      <c r="P20" s="3212" t="s">
        <v>2920</v>
      </c>
      <c r="Q20" s="3212" t="s">
        <v>290</v>
      </c>
      <c r="R20" s="3212" t="s">
        <v>2921</v>
      </c>
      <c r="S20" s="3212" t="s">
        <v>277</v>
      </c>
    </row>
    <row r="21" spans="1:19" ht="14.25" customHeight="1" thickBot="1">
      <c r="A21" s="3212" t="s">
        <v>184</v>
      </c>
      <c r="B21" s="3213" t="s">
        <v>208</v>
      </c>
      <c r="C21" s="3212">
        <v>32370</v>
      </c>
      <c r="D21" s="3212">
        <v>26730</v>
      </c>
      <c r="E21" s="3212">
        <v>26640</v>
      </c>
      <c r="F21" s="3212"/>
      <c r="G21" s="3212">
        <v>19440</v>
      </c>
      <c r="J21" s="3219" t="s">
        <v>2922</v>
      </c>
      <c r="K21" s="3213" t="s">
        <v>267</v>
      </c>
      <c r="L21" s="3212" t="s">
        <v>268</v>
      </c>
      <c r="M21" s="3212" t="s">
        <v>269</v>
      </c>
      <c r="N21" s="3212" t="s">
        <v>270</v>
      </c>
      <c r="O21" s="3212" t="s">
        <v>264</v>
      </c>
      <c r="P21" s="3212" t="s">
        <v>283</v>
      </c>
      <c r="Q21" s="3212" t="s">
        <v>293</v>
      </c>
      <c r="R21" s="3212" t="s">
        <v>2923</v>
      </c>
      <c r="S21" s="3219" t="s">
        <v>2924</v>
      </c>
    </row>
    <row r="22" spans="1:19" ht="14.25" customHeight="1">
      <c r="A22" s="3212" t="s">
        <v>184</v>
      </c>
      <c r="B22" s="3213" t="s">
        <v>2904</v>
      </c>
      <c r="C22" s="3212">
        <v>29830</v>
      </c>
      <c r="D22" s="3212">
        <v>27600</v>
      </c>
      <c r="E22" s="3212">
        <v>28150</v>
      </c>
      <c r="F22" s="3212"/>
      <c r="G22" s="3212">
        <v>20080</v>
      </c>
      <c r="K22" s="3213" t="s">
        <v>2925</v>
      </c>
      <c r="L22" s="3212" t="s">
        <v>272</v>
      </c>
      <c r="M22" s="3212" t="s">
        <v>273</v>
      </c>
      <c r="N22" s="3212" t="s">
        <v>274</v>
      </c>
      <c r="O22" s="3212" t="s">
        <v>2926</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2927</v>
      </c>
      <c r="L23" s="3212" t="s">
        <v>278</v>
      </c>
      <c r="M23" s="3212" t="s">
        <v>279</v>
      </c>
      <c r="N23" s="3212" t="s">
        <v>2928</v>
      </c>
      <c r="O23" s="3212" t="s">
        <v>2929</v>
      </c>
      <c r="P23" s="3212" t="s">
        <v>289</v>
      </c>
      <c r="Q23" s="3212" t="s">
        <v>298</v>
      </c>
      <c r="R23" s="3212" t="s">
        <v>2930</v>
      </c>
    </row>
    <row r="24" spans="1:19" ht="14.25" customHeight="1">
      <c r="A24" s="3212" t="s">
        <v>184</v>
      </c>
      <c r="B24" s="3213" t="s">
        <v>230</v>
      </c>
      <c r="C24" s="3212">
        <v>27930</v>
      </c>
      <c r="D24" s="3212">
        <v>32260</v>
      </c>
      <c r="E24" s="3212">
        <v>32120</v>
      </c>
      <c r="F24" s="3212"/>
      <c r="G24" s="3212">
        <v>23470</v>
      </c>
      <c r="K24" s="3213" t="s">
        <v>2931</v>
      </c>
      <c r="L24" s="3212" t="s">
        <v>281</v>
      </c>
      <c r="M24" s="3212" t="s">
        <v>282</v>
      </c>
      <c r="N24" s="3212" t="s">
        <v>2932</v>
      </c>
      <c r="O24" s="3212" t="s">
        <v>285</v>
      </c>
      <c r="P24" s="3212" t="s">
        <v>2933</v>
      </c>
      <c r="Q24" s="3221" t="s">
        <v>2934</v>
      </c>
      <c r="R24" s="3212" t="s">
        <v>2935</v>
      </c>
    </row>
    <row r="25" spans="1:19" ht="14.25" customHeight="1">
      <c r="A25" s="3212" t="s">
        <v>184</v>
      </c>
      <c r="B25" s="3213" t="s">
        <v>235</v>
      </c>
      <c r="C25" s="3212">
        <v>32230</v>
      </c>
      <c r="D25" s="3212">
        <v>29640</v>
      </c>
      <c r="E25" s="3212">
        <v>29510</v>
      </c>
      <c r="F25" s="3212"/>
      <c r="G25" s="3212">
        <v>21560</v>
      </c>
      <c r="K25" s="3213" t="s">
        <v>2936</v>
      </c>
      <c r="L25" s="3212" t="s">
        <v>2937</v>
      </c>
      <c r="M25" s="3212" t="s">
        <v>284</v>
      </c>
      <c r="N25" s="3212" t="s">
        <v>292</v>
      </c>
      <c r="O25" s="3212" t="s">
        <v>288</v>
      </c>
      <c r="P25" s="3212" t="s">
        <v>275</v>
      </c>
      <c r="Q25" s="3221" t="s">
        <v>271</v>
      </c>
      <c r="R25" s="3212" t="s">
        <v>2938</v>
      </c>
    </row>
    <row r="26" spans="1:19" ht="14.25" customHeight="1" thickBot="1">
      <c r="A26" s="3212" t="s">
        <v>184</v>
      </c>
      <c r="B26" s="3213" t="s">
        <v>244</v>
      </c>
      <c r="C26" s="3212">
        <v>31690</v>
      </c>
      <c r="D26" s="3212">
        <v>27650</v>
      </c>
      <c r="E26" s="3212">
        <v>28200</v>
      </c>
      <c r="F26" s="3212"/>
      <c r="G26" s="3212">
        <v>20110</v>
      </c>
      <c r="K26" s="3218" t="s">
        <v>2939</v>
      </c>
      <c r="L26" s="3212" t="s">
        <v>2940</v>
      </c>
      <c r="M26" s="3212" t="s">
        <v>287</v>
      </c>
      <c r="N26" s="3212" t="s">
        <v>294</v>
      </c>
      <c r="O26" s="3212" t="s">
        <v>2941</v>
      </c>
      <c r="P26" s="3212" t="s">
        <v>2942</v>
      </c>
      <c r="Q26" s="3221" t="s">
        <v>276</v>
      </c>
      <c r="R26" s="3212" t="s">
        <v>2943</v>
      </c>
    </row>
    <row r="27" spans="1:19" ht="14.25" customHeight="1">
      <c r="A27" s="3212" t="s">
        <v>184</v>
      </c>
      <c r="B27" s="3213" t="s">
        <v>251</v>
      </c>
      <c r="C27" s="3212">
        <v>29610</v>
      </c>
      <c r="D27" s="3212">
        <v>27770</v>
      </c>
      <c r="E27" s="3212">
        <v>28300</v>
      </c>
      <c r="F27" s="3212"/>
      <c r="G27" s="3212">
        <v>20210</v>
      </c>
      <c r="L27" s="3212" t="s">
        <v>2944</v>
      </c>
      <c r="M27" s="3212" t="s">
        <v>291</v>
      </c>
      <c r="N27" s="3212" t="s">
        <v>297</v>
      </c>
      <c r="O27" s="3212" t="s">
        <v>2945</v>
      </c>
      <c r="P27" s="3212" t="s">
        <v>2946</v>
      </c>
      <c r="Q27" s="3212" t="s">
        <v>2947</v>
      </c>
      <c r="R27" s="3212" t="s">
        <v>2948</v>
      </c>
    </row>
    <row r="28" spans="1:19" ht="14.25" customHeight="1">
      <c r="A28" s="3212" t="s">
        <v>184</v>
      </c>
      <c r="B28" s="3213" t="s">
        <v>259</v>
      </c>
      <c r="C28" s="3212"/>
      <c r="D28" s="3212">
        <v>31520</v>
      </c>
      <c r="E28" s="3212">
        <v>31410</v>
      </c>
      <c r="F28" s="3212"/>
      <c r="G28" s="3212">
        <v>22940</v>
      </c>
      <c r="L28" s="3212" t="s">
        <v>2949</v>
      </c>
      <c r="M28" s="3212" t="s">
        <v>2950</v>
      </c>
      <c r="N28" s="3212" t="s">
        <v>2951</v>
      </c>
      <c r="O28" s="3212" t="s">
        <v>2952</v>
      </c>
      <c r="P28" s="3212" t="s">
        <v>2953</v>
      </c>
      <c r="Q28" s="3212" t="s">
        <v>2954</v>
      </c>
      <c r="R28" s="3212" t="s">
        <v>2955</v>
      </c>
    </row>
    <row r="29" spans="1:19" ht="14.25" customHeight="1" thickBot="1">
      <c r="A29" s="3220" t="s">
        <v>184</v>
      </c>
      <c r="B29" s="3222" t="s">
        <v>2922</v>
      </c>
      <c r="C29" s="3223"/>
      <c r="D29" s="3223">
        <v>29460</v>
      </c>
      <c r="E29" s="3223">
        <v>28640</v>
      </c>
      <c r="F29" s="3223"/>
      <c r="G29" s="3223">
        <v>21430</v>
      </c>
      <c r="L29" s="3212" t="s">
        <v>2956</v>
      </c>
      <c r="M29" s="3212" t="s">
        <v>2957</v>
      </c>
      <c r="N29" s="3212" t="s">
        <v>2958</v>
      </c>
      <c r="O29" s="3212" t="s">
        <v>2959</v>
      </c>
      <c r="P29" s="3212" t="s">
        <v>2960</v>
      </c>
      <c r="Q29" s="3212" t="s">
        <v>2961</v>
      </c>
      <c r="R29" s="3212" t="s">
        <v>280</v>
      </c>
    </row>
    <row r="30" spans="1:19" ht="14.25" customHeight="1">
      <c r="A30" s="3217" t="s">
        <v>296</v>
      </c>
      <c r="B30" s="3208" t="s">
        <v>2855</v>
      </c>
      <c r="C30" s="3208">
        <v>26890</v>
      </c>
      <c r="D30" s="3208">
        <v>26770</v>
      </c>
      <c r="E30" s="3208">
        <v>25700</v>
      </c>
      <c r="F30" s="3208">
        <v>8180</v>
      </c>
      <c r="G30" s="3224">
        <v>18740</v>
      </c>
      <c r="L30" s="3212" t="s">
        <v>2962</v>
      </c>
      <c r="M30" s="3212" t="s">
        <v>2963</v>
      </c>
      <c r="N30" s="3212" t="s">
        <v>2964</v>
      </c>
      <c r="O30" s="3212" t="s">
        <v>2965</v>
      </c>
      <c r="P30" s="3212" t="s">
        <v>2966</v>
      </c>
      <c r="Q30" s="3212" t="s">
        <v>2967</v>
      </c>
      <c r="R30" s="3212" t="s">
        <v>2968</v>
      </c>
    </row>
    <row r="31" spans="1:19" ht="14.25" customHeight="1">
      <c r="A31" s="3212" t="s">
        <v>296</v>
      </c>
      <c r="B31" s="3213" t="s">
        <v>129</v>
      </c>
      <c r="C31" s="3212">
        <v>24550</v>
      </c>
      <c r="D31" s="3212">
        <v>23990</v>
      </c>
      <c r="E31" s="3212">
        <v>22930</v>
      </c>
      <c r="F31" s="3212">
        <v>7470</v>
      </c>
      <c r="G31" s="3225">
        <v>16790</v>
      </c>
      <c r="L31" s="3212" t="s">
        <v>2969</v>
      </c>
      <c r="M31" s="3212" t="s">
        <v>2970</v>
      </c>
      <c r="N31" s="3212" t="s">
        <v>2971</v>
      </c>
      <c r="O31" s="3212" t="s">
        <v>2972</v>
      </c>
      <c r="P31" s="3212" t="s">
        <v>2973</v>
      </c>
      <c r="Q31" s="3212" t="s">
        <v>2974</v>
      </c>
      <c r="R31" s="3212" t="s">
        <v>2975</v>
      </c>
    </row>
    <row r="32" spans="1:19" ht="14.25" customHeight="1" thickBot="1">
      <c r="A32" s="3212" t="s">
        <v>296</v>
      </c>
      <c r="B32" s="3213" t="s">
        <v>138</v>
      </c>
      <c r="C32" s="3212">
        <v>27210</v>
      </c>
      <c r="D32" s="3212">
        <v>23240</v>
      </c>
      <c r="E32" s="3212">
        <v>23260</v>
      </c>
      <c r="F32" s="3212">
        <v>7130</v>
      </c>
      <c r="G32" s="3225">
        <v>16270</v>
      </c>
      <c r="L32" s="3212" t="s">
        <v>2976</v>
      </c>
      <c r="M32" s="3212" t="s">
        <v>2977</v>
      </c>
      <c r="N32" s="3212" t="s">
        <v>300</v>
      </c>
      <c r="O32" s="3212" t="s">
        <v>2978</v>
      </c>
      <c r="P32" s="3212" t="s">
        <v>299</v>
      </c>
      <c r="Q32" s="3212" t="s">
        <v>2979</v>
      </c>
      <c r="R32" s="3219" t="s">
        <v>2980</v>
      </c>
    </row>
    <row r="33" spans="1:17" ht="14.25" customHeight="1" thickBot="1">
      <c r="A33" s="3212" t="s">
        <v>296</v>
      </c>
      <c r="B33" s="3213" t="s">
        <v>147</v>
      </c>
      <c r="C33" s="3212">
        <v>27300</v>
      </c>
      <c r="D33" s="3212">
        <v>22980</v>
      </c>
      <c r="E33" s="3212">
        <v>24260</v>
      </c>
      <c r="F33" s="3212">
        <v>5860</v>
      </c>
      <c r="G33" s="3225">
        <v>16090</v>
      </c>
      <c r="L33" s="3219" t="s">
        <v>2981</v>
      </c>
      <c r="M33" s="3212" t="s">
        <v>2982</v>
      </c>
      <c r="N33" s="3212" t="s">
        <v>301</v>
      </c>
      <c r="O33" s="3212" t="s">
        <v>2983</v>
      </c>
      <c r="P33" s="3212" t="s">
        <v>2984</v>
      </c>
      <c r="Q33" s="3212" t="s">
        <v>2985</v>
      </c>
    </row>
    <row r="34" spans="1:17" ht="14.25" customHeight="1">
      <c r="A34" s="3212" t="s">
        <v>296</v>
      </c>
      <c r="B34" s="3213" t="s">
        <v>156</v>
      </c>
      <c r="C34" s="3212">
        <v>23090</v>
      </c>
      <c r="D34" s="3212">
        <v>23390</v>
      </c>
      <c r="E34" s="3212">
        <v>23510</v>
      </c>
      <c r="F34" s="3212">
        <v>6700</v>
      </c>
      <c r="G34" s="3225">
        <v>16370</v>
      </c>
      <c r="M34" s="3212" t="s">
        <v>2986</v>
      </c>
      <c r="N34" s="3212" t="s">
        <v>302</v>
      </c>
      <c r="O34" s="3212" t="s">
        <v>2987</v>
      </c>
      <c r="P34" s="3212" t="s">
        <v>2988</v>
      </c>
      <c r="Q34" s="3212" t="s">
        <v>2989</v>
      </c>
    </row>
    <row r="35" spans="1:17" ht="14.25" customHeight="1">
      <c r="A35" s="3212" t="s">
        <v>296</v>
      </c>
      <c r="B35" s="3213" t="s">
        <v>163</v>
      </c>
      <c r="C35" s="3212">
        <v>27270</v>
      </c>
      <c r="D35" s="3212">
        <v>24270</v>
      </c>
      <c r="E35" s="3212">
        <v>24950</v>
      </c>
      <c r="F35" s="3212">
        <v>6600</v>
      </c>
      <c r="G35" s="3225">
        <v>16990</v>
      </c>
      <c r="M35" s="3212" t="s">
        <v>2990</v>
      </c>
      <c r="N35" s="3212" t="s">
        <v>2991</v>
      </c>
      <c r="O35" s="3212" t="s">
        <v>2992</v>
      </c>
      <c r="P35" s="3212" t="s">
        <v>2993</v>
      </c>
      <c r="Q35" s="3212" t="s">
        <v>2994</v>
      </c>
    </row>
    <row r="36" spans="1:17" ht="14.25" customHeight="1">
      <c r="A36" s="3212" t="s">
        <v>296</v>
      </c>
      <c r="B36" s="3213" t="s">
        <v>169</v>
      </c>
      <c r="C36" s="3212">
        <v>23490</v>
      </c>
      <c r="D36" s="3212">
        <v>23020</v>
      </c>
      <c r="E36" s="3212">
        <v>25230</v>
      </c>
      <c r="F36" s="3212">
        <v>6780</v>
      </c>
      <c r="G36" s="3225">
        <v>16120</v>
      </c>
      <c r="M36" s="3212" t="s">
        <v>2995</v>
      </c>
      <c r="N36" s="3212" t="s">
        <v>2996</v>
      </c>
      <c r="O36" s="3212" t="s">
        <v>2997</v>
      </c>
      <c r="P36" s="3212" t="s">
        <v>2998</v>
      </c>
      <c r="Q36" s="3212" t="s">
        <v>2999</v>
      </c>
    </row>
    <row r="37" spans="1:17" ht="14.25" customHeight="1">
      <c r="A37" s="3212" t="s">
        <v>296</v>
      </c>
      <c r="B37" s="3213" t="s">
        <v>176</v>
      </c>
      <c r="C37" s="3212">
        <v>24380</v>
      </c>
      <c r="D37" s="3212">
        <v>22240</v>
      </c>
      <c r="E37" s="3212">
        <v>25980</v>
      </c>
      <c r="F37" s="3212">
        <v>8160</v>
      </c>
      <c r="G37" s="3225">
        <v>15570</v>
      </c>
      <c r="M37" s="3212" t="s">
        <v>3000</v>
      </c>
      <c r="N37" s="3212" t="s">
        <v>3001</v>
      </c>
      <c r="O37" s="3212" t="s">
        <v>3002</v>
      </c>
      <c r="P37" s="3212" t="s">
        <v>3003</v>
      </c>
      <c r="Q37" s="3212" t="s">
        <v>3004</v>
      </c>
    </row>
    <row r="38" spans="1:17" ht="14.25" customHeight="1">
      <c r="A38" s="3212" t="s">
        <v>296</v>
      </c>
      <c r="B38" s="3213" t="s">
        <v>186</v>
      </c>
      <c r="C38" s="3212">
        <v>23120</v>
      </c>
      <c r="D38" s="3212">
        <v>24630</v>
      </c>
      <c r="E38" s="3212">
        <v>25030</v>
      </c>
      <c r="F38" s="3212">
        <v>7710</v>
      </c>
      <c r="G38" s="3225">
        <v>17240</v>
      </c>
      <c r="M38" s="3212" t="s">
        <v>3005</v>
      </c>
      <c r="N38" s="3212" t="s">
        <v>3006</v>
      </c>
      <c r="O38" s="3212" t="s">
        <v>3007</v>
      </c>
      <c r="P38" s="3212" t="s">
        <v>3008</v>
      </c>
      <c r="Q38" s="3212" t="s">
        <v>3009</v>
      </c>
    </row>
    <row r="39" spans="1:17" ht="14.25" customHeight="1">
      <c r="A39" s="3212" t="s">
        <v>296</v>
      </c>
      <c r="B39" s="3213" t="s">
        <v>195</v>
      </c>
      <c r="C39" s="3212">
        <v>22330</v>
      </c>
      <c r="D39" s="3212">
        <v>21140</v>
      </c>
      <c r="E39" s="3212">
        <v>23970</v>
      </c>
      <c r="F39" s="3212">
        <v>7940</v>
      </c>
      <c r="G39" s="3225">
        <v>14790</v>
      </c>
      <c r="M39" s="3212" t="s">
        <v>3010</v>
      </c>
      <c r="N39" s="3212" t="s">
        <v>3011</v>
      </c>
      <c r="O39" s="3212" t="s">
        <v>3012</v>
      </c>
      <c r="P39" s="3212" t="s">
        <v>3013</v>
      </c>
      <c r="Q39" s="3212" t="s">
        <v>3014</v>
      </c>
    </row>
    <row r="40" spans="1:17" ht="14.25" customHeight="1">
      <c r="A40" s="3212" t="s">
        <v>296</v>
      </c>
      <c r="B40" s="3213" t="s">
        <v>202</v>
      </c>
      <c r="C40" s="3212">
        <v>24740</v>
      </c>
      <c r="D40" s="3212">
        <v>24690</v>
      </c>
      <c r="E40" s="3212">
        <v>22610</v>
      </c>
      <c r="F40" s="3212"/>
      <c r="G40" s="3225">
        <v>17280</v>
      </c>
      <c r="M40" s="3212" t="s">
        <v>3015</v>
      </c>
      <c r="N40" s="3212" t="s">
        <v>3016</v>
      </c>
      <c r="O40" s="3212" t="s">
        <v>3017</v>
      </c>
      <c r="P40" s="3212" t="s">
        <v>3018</v>
      </c>
      <c r="Q40" s="3212" t="s">
        <v>3019</v>
      </c>
    </row>
    <row r="41" spans="1:17" ht="14.25" customHeight="1" thickBot="1">
      <c r="A41" s="3212" t="s">
        <v>296</v>
      </c>
      <c r="B41" s="3213" t="s">
        <v>209</v>
      </c>
      <c r="C41" s="3212">
        <v>21220</v>
      </c>
      <c r="D41" s="3212">
        <v>21120</v>
      </c>
      <c r="E41" s="3212">
        <v>22590</v>
      </c>
      <c r="F41" s="3212"/>
      <c r="G41" s="3225">
        <v>14780</v>
      </c>
      <c r="M41" s="3219" t="s">
        <v>3020</v>
      </c>
      <c r="N41" s="3212" t="s">
        <v>3021</v>
      </c>
      <c r="O41" s="3212" t="s">
        <v>3022</v>
      </c>
      <c r="P41" s="3212" t="s">
        <v>3023</v>
      </c>
      <c r="Q41" s="3212" t="s">
        <v>3024</v>
      </c>
    </row>
    <row r="42" spans="1:17" ht="14.25" customHeight="1">
      <c r="A42" s="3212" t="s">
        <v>296</v>
      </c>
      <c r="B42" s="3213" t="s">
        <v>215</v>
      </c>
      <c r="C42" s="3212">
        <v>24800</v>
      </c>
      <c r="D42" s="3212">
        <v>22280</v>
      </c>
      <c r="E42" s="3212">
        <v>24350</v>
      </c>
      <c r="F42" s="3212"/>
      <c r="G42" s="3225">
        <v>15590</v>
      </c>
      <c r="N42" s="3212" t="s">
        <v>3025</v>
      </c>
      <c r="O42" s="3212" t="s">
        <v>3026</v>
      </c>
      <c r="P42" s="3212" t="s">
        <v>3027</v>
      </c>
      <c r="Q42" s="3212" t="s">
        <v>3028</v>
      </c>
    </row>
    <row r="43" spans="1:17" ht="14.25" customHeight="1">
      <c r="A43" s="3212" t="s">
        <v>3029</v>
      </c>
      <c r="B43" s="3213" t="s">
        <v>223</v>
      </c>
      <c r="C43" s="3212">
        <v>21210</v>
      </c>
      <c r="D43" s="3212">
        <v>21160</v>
      </c>
      <c r="E43" s="3212">
        <v>22650</v>
      </c>
      <c r="F43" s="3212"/>
      <c r="G43" s="3225">
        <v>14800</v>
      </c>
      <c r="N43" s="3212" t="s">
        <v>3030</v>
      </c>
      <c r="O43" s="3212" t="s">
        <v>3031</v>
      </c>
      <c r="P43" s="3212" t="s">
        <v>3032</v>
      </c>
      <c r="Q43" s="3212" t="s">
        <v>3033</v>
      </c>
    </row>
    <row r="44" spans="1:17" ht="14.25" customHeight="1" thickBot="1">
      <c r="A44" s="3212" t="s">
        <v>296</v>
      </c>
      <c r="B44" s="3213" t="s">
        <v>231</v>
      </c>
      <c r="C44" s="3212">
        <v>22370</v>
      </c>
      <c r="D44" s="3212">
        <v>23140</v>
      </c>
      <c r="E44" s="3212">
        <v>25090</v>
      </c>
      <c r="F44" s="3212"/>
      <c r="G44" s="3225">
        <v>16190</v>
      </c>
      <c r="N44" s="3212" t="s">
        <v>3034</v>
      </c>
      <c r="O44" s="3212" t="s">
        <v>3035</v>
      </c>
      <c r="P44" s="3219" t="s">
        <v>3036</v>
      </c>
      <c r="Q44" s="3212" t="s">
        <v>3037</v>
      </c>
    </row>
    <row r="45" spans="1:17" ht="14.25" customHeight="1" thickBot="1">
      <c r="A45" s="3212" t="s">
        <v>296</v>
      </c>
      <c r="B45" s="3213" t="s">
        <v>236</v>
      </c>
      <c r="C45" s="3212">
        <v>21240</v>
      </c>
      <c r="D45" s="3212">
        <v>27050</v>
      </c>
      <c r="E45" s="3212">
        <v>28000</v>
      </c>
      <c r="F45" s="3212"/>
      <c r="G45" s="3225">
        <v>18940</v>
      </c>
      <c r="N45" s="3212" t="s">
        <v>3038</v>
      </c>
      <c r="O45" s="3219" t="s">
        <v>3039</v>
      </c>
      <c r="Q45" s="3212" t="s">
        <v>3040</v>
      </c>
    </row>
    <row r="46" spans="1:17" ht="14.25" customHeight="1">
      <c r="A46" s="3212" t="s">
        <v>296</v>
      </c>
      <c r="B46" s="3213" t="s">
        <v>245</v>
      </c>
      <c r="C46" s="3212">
        <v>23240</v>
      </c>
      <c r="D46" s="3212">
        <v>23000</v>
      </c>
      <c r="E46" s="3212">
        <v>24980</v>
      </c>
      <c r="F46" s="3212"/>
      <c r="G46" s="3225">
        <v>16100</v>
      </c>
      <c r="N46" s="3212" t="s">
        <v>3041</v>
      </c>
      <c r="Q46" s="3212" t="s">
        <v>3042</v>
      </c>
    </row>
    <row r="47" spans="1:17" ht="14.25" customHeight="1">
      <c r="A47" s="3212" t="s">
        <v>296</v>
      </c>
      <c r="B47" s="3213" t="s">
        <v>252</v>
      </c>
      <c r="C47" s="3212">
        <v>27150</v>
      </c>
      <c r="D47" s="3212">
        <v>23310</v>
      </c>
      <c r="E47" s="3212">
        <v>25150</v>
      </c>
      <c r="F47" s="3212"/>
      <c r="G47" s="3225">
        <v>16310</v>
      </c>
      <c r="N47" s="3212" t="s">
        <v>3043</v>
      </c>
      <c r="Q47" s="3212" t="s">
        <v>3044</v>
      </c>
    </row>
    <row r="48" spans="1:17" ht="14.25" customHeight="1">
      <c r="A48" s="3212" t="s">
        <v>296</v>
      </c>
      <c r="B48" s="3213" t="s">
        <v>260</v>
      </c>
      <c r="C48" s="3212">
        <v>23100</v>
      </c>
      <c r="D48" s="3212">
        <v>21110</v>
      </c>
      <c r="E48" s="3212">
        <v>23080</v>
      </c>
      <c r="F48" s="3212"/>
      <c r="G48" s="3225">
        <v>14780</v>
      </c>
      <c r="N48" s="3212" t="s">
        <v>3045</v>
      </c>
      <c r="Q48" s="3212" t="s">
        <v>3046</v>
      </c>
    </row>
    <row r="49" spans="1:17" ht="14.25" customHeight="1">
      <c r="A49" s="3212" t="s">
        <v>296</v>
      </c>
      <c r="B49" s="3213" t="s">
        <v>267</v>
      </c>
      <c r="C49" s="3212">
        <v>23400</v>
      </c>
      <c r="D49" s="3212">
        <v>22920</v>
      </c>
      <c r="E49" s="3212">
        <v>24900</v>
      </c>
      <c r="F49" s="3212"/>
      <c r="G49" s="3225">
        <v>16040</v>
      </c>
      <c r="N49" s="3212" t="s">
        <v>3047</v>
      </c>
      <c r="Q49" s="3212" t="s">
        <v>3048</v>
      </c>
    </row>
    <row r="50" spans="1:17" ht="14.25" customHeight="1">
      <c r="A50" s="3212" t="s">
        <v>296</v>
      </c>
      <c r="B50" s="3213" t="s">
        <v>2925</v>
      </c>
      <c r="C50" s="3212">
        <v>21200</v>
      </c>
      <c r="D50" s="3212">
        <v>26540</v>
      </c>
      <c r="E50" s="3212">
        <v>23200</v>
      </c>
      <c r="F50" s="3212"/>
      <c r="G50" s="3225">
        <v>18580</v>
      </c>
      <c r="N50" s="3212" t="s">
        <v>3049</v>
      </c>
      <c r="Q50" s="3213" t="s">
        <v>3050</v>
      </c>
    </row>
    <row r="51" spans="1:17" ht="14.25" customHeight="1" thickBot="1">
      <c r="A51" s="3212" t="s">
        <v>296</v>
      </c>
      <c r="B51" s="3213" t="s">
        <v>2927</v>
      </c>
      <c r="C51" s="3212">
        <v>23000</v>
      </c>
      <c r="D51" s="3212">
        <v>23460</v>
      </c>
      <c r="E51" s="3212">
        <v>25290</v>
      </c>
      <c r="F51" s="3212"/>
      <c r="G51" s="3225">
        <v>16420</v>
      </c>
      <c r="N51" s="3212" t="s">
        <v>3051</v>
      </c>
      <c r="Q51" s="3219" t="s">
        <v>3052</v>
      </c>
    </row>
    <row r="52" spans="1:17" ht="14.25" customHeight="1">
      <c r="A52" s="3212" t="s">
        <v>296</v>
      </c>
      <c r="B52" s="3213" t="s">
        <v>2931</v>
      </c>
      <c r="C52" s="3212">
        <v>26660</v>
      </c>
      <c r="D52" s="3212">
        <v>22350</v>
      </c>
      <c r="E52" s="3212">
        <v>22920</v>
      </c>
      <c r="F52" s="3212"/>
      <c r="G52" s="3225">
        <v>15640</v>
      </c>
      <c r="N52" s="3212" t="s">
        <v>3053</v>
      </c>
    </row>
    <row r="53" spans="1:17" ht="14.25" customHeight="1">
      <c r="A53" s="3212" t="s">
        <v>296</v>
      </c>
      <c r="B53" s="3213" t="s">
        <v>2936</v>
      </c>
      <c r="C53" s="3212">
        <v>23580</v>
      </c>
      <c r="D53" s="3212"/>
      <c r="E53" s="3212">
        <v>24280</v>
      </c>
      <c r="F53" s="3212"/>
      <c r="G53" s="3225"/>
      <c r="N53" s="3212" t="s">
        <v>3054</v>
      </c>
    </row>
    <row r="54" spans="1:17" ht="14.25" customHeight="1" thickBot="1">
      <c r="A54" s="3226" t="s">
        <v>296</v>
      </c>
      <c r="B54" s="3218" t="s">
        <v>2939</v>
      </c>
      <c r="C54" s="3219">
        <v>22460</v>
      </c>
      <c r="D54" s="3219"/>
      <c r="E54" s="3219"/>
      <c r="F54" s="3219"/>
      <c r="G54" s="3227"/>
      <c r="N54" s="3212" t="s">
        <v>3055</v>
      </c>
    </row>
    <row r="55" spans="1:17" ht="14.25" customHeight="1">
      <c r="A55" s="3217" t="s">
        <v>110</v>
      </c>
      <c r="B55" s="3208" t="s">
        <v>3056</v>
      </c>
      <c r="C55" s="3212">
        <v>21970</v>
      </c>
      <c r="D55" s="3212">
        <v>20370</v>
      </c>
      <c r="E55" s="3212">
        <v>20180</v>
      </c>
      <c r="F55" s="3212">
        <v>5730</v>
      </c>
      <c r="G55" s="3212">
        <v>13820</v>
      </c>
      <c r="N55" s="3212" t="s">
        <v>3057</v>
      </c>
    </row>
    <row r="56" spans="1:17" ht="14.25" customHeight="1">
      <c r="A56" s="3212" t="s">
        <v>110</v>
      </c>
      <c r="B56" s="3212" t="s">
        <v>130</v>
      </c>
      <c r="C56" s="3212">
        <v>20470</v>
      </c>
      <c r="D56" s="3212">
        <v>20700</v>
      </c>
      <c r="E56" s="3212">
        <v>20380</v>
      </c>
      <c r="F56" s="3212">
        <v>4760</v>
      </c>
      <c r="G56" s="3212">
        <v>14050</v>
      </c>
      <c r="N56" s="3212" t="s">
        <v>3058</v>
      </c>
    </row>
    <row r="57" spans="1:17" ht="14.25" customHeight="1">
      <c r="A57" s="3212" t="s">
        <v>110</v>
      </c>
      <c r="B57" s="3212" t="s">
        <v>139</v>
      </c>
      <c r="C57" s="3212">
        <v>20790</v>
      </c>
      <c r="D57" s="3212">
        <v>21370</v>
      </c>
      <c r="E57" s="3212">
        <v>20890</v>
      </c>
      <c r="F57" s="3212">
        <v>4910</v>
      </c>
      <c r="G57" s="3212">
        <v>14510</v>
      </c>
      <c r="N57" s="3212" t="s">
        <v>3059</v>
      </c>
    </row>
    <row r="58" spans="1:17" ht="14.25" customHeight="1">
      <c r="A58" s="3212" t="s">
        <v>110</v>
      </c>
      <c r="B58" s="3212" t="s">
        <v>148</v>
      </c>
      <c r="C58" s="3212">
        <v>21460</v>
      </c>
      <c r="D58" s="3212">
        <v>20920</v>
      </c>
      <c r="E58" s="3212">
        <v>23410</v>
      </c>
      <c r="F58" s="3212">
        <v>5100</v>
      </c>
      <c r="G58" s="3212">
        <v>14200</v>
      </c>
      <c r="N58" s="3212" t="s">
        <v>3060</v>
      </c>
    </row>
    <row r="59" spans="1:17" ht="14.25" customHeight="1">
      <c r="A59" s="3212" t="s">
        <v>110</v>
      </c>
      <c r="B59" s="3212" t="s">
        <v>157</v>
      </c>
      <c r="C59" s="3212">
        <v>21000</v>
      </c>
      <c r="D59" s="3212">
        <v>21550</v>
      </c>
      <c r="E59" s="3212">
        <v>21150</v>
      </c>
      <c r="F59" s="3212">
        <v>5250</v>
      </c>
      <c r="G59" s="3212">
        <v>14630</v>
      </c>
      <c r="N59" s="3212" t="s">
        <v>3061</v>
      </c>
    </row>
    <row r="60" spans="1:17" ht="14.25" customHeight="1">
      <c r="A60" s="3212" t="s">
        <v>110</v>
      </c>
      <c r="B60" s="3212" t="s">
        <v>164</v>
      </c>
      <c r="C60" s="3212">
        <v>21640</v>
      </c>
      <c r="D60" s="3212">
        <v>21260</v>
      </c>
      <c r="E60" s="3212">
        <v>24040</v>
      </c>
      <c r="F60" s="3212">
        <v>4470</v>
      </c>
      <c r="G60" s="3212">
        <v>14430</v>
      </c>
      <c r="N60" s="3212" t="s">
        <v>3062</v>
      </c>
    </row>
    <row r="61" spans="1:17" ht="14.25" customHeight="1">
      <c r="A61" s="3212" t="s">
        <v>110</v>
      </c>
      <c r="B61" s="3212" t="s">
        <v>170</v>
      </c>
      <c r="C61" s="3212">
        <v>21330</v>
      </c>
      <c r="D61" s="3212">
        <v>18640</v>
      </c>
      <c r="E61" s="3212">
        <v>21190</v>
      </c>
      <c r="F61" s="3212">
        <v>4180</v>
      </c>
      <c r="G61" s="3212">
        <v>12650</v>
      </c>
      <c r="N61" s="3212" t="s">
        <v>3063</v>
      </c>
    </row>
    <row r="62" spans="1:17" ht="14.25" customHeight="1">
      <c r="A62" s="3212" t="s">
        <v>110</v>
      </c>
      <c r="B62" s="3212" t="s">
        <v>177</v>
      </c>
      <c r="C62" s="3212">
        <v>18710</v>
      </c>
      <c r="D62" s="3212">
        <v>19400</v>
      </c>
      <c r="E62" s="3212">
        <v>23750</v>
      </c>
      <c r="F62" s="3212">
        <v>4860</v>
      </c>
      <c r="G62" s="3212">
        <v>13170</v>
      </c>
      <c r="N62" s="3212" t="s">
        <v>3064</v>
      </c>
    </row>
    <row r="63" spans="1:17" ht="14.25" customHeight="1">
      <c r="A63" s="3212" t="s">
        <v>110</v>
      </c>
      <c r="B63" s="3212" t="s">
        <v>187</v>
      </c>
      <c r="C63" s="3212">
        <v>19480</v>
      </c>
      <c r="D63" s="3212">
        <v>16830</v>
      </c>
      <c r="E63" s="3212">
        <v>21590</v>
      </c>
      <c r="F63" s="3212">
        <v>4560</v>
      </c>
      <c r="G63" s="3212">
        <v>11420</v>
      </c>
      <c r="N63" s="3212" t="s">
        <v>3065</v>
      </c>
    </row>
    <row r="64" spans="1:17" ht="14.25" customHeight="1" thickBot="1">
      <c r="A64" s="3212" t="s">
        <v>110</v>
      </c>
      <c r="B64" s="3212" t="s">
        <v>196</v>
      </c>
      <c r="C64" s="3212">
        <v>16920</v>
      </c>
      <c r="D64" s="3212">
        <v>19190</v>
      </c>
      <c r="E64" s="3212">
        <v>22200</v>
      </c>
      <c r="F64" s="3212">
        <v>4390</v>
      </c>
      <c r="G64" s="3212">
        <v>13030</v>
      </c>
      <c r="N64" s="3219" t="s">
        <v>3066</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2937</v>
      </c>
      <c r="C78" s="3212">
        <v>19820</v>
      </c>
      <c r="D78" s="3212">
        <v>19780</v>
      </c>
      <c r="E78" s="3212">
        <v>18560</v>
      </c>
      <c r="F78" s="3212"/>
      <c r="G78" s="3212">
        <v>13430</v>
      </c>
    </row>
    <row r="79" spans="1:7" s="3201" customFormat="1" ht="14.25" customHeight="1">
      <c r="A79" s="3212" t="s">
        <v>110</v>
      </c>
      <c r="B79" s="3212" t="s">
        <v>2940</v>
      </c>
      <c r="C79" s="3212">
        <v>21660</v>
      </c>
      <c r="D79" s="3212">
        <v>18000</v>
      </c>
      <c r="E79" s="3212">
        <v>22570</v>
      </c>
      <c r="F79" s="3212"/>
      <c r="G79" s="3212">
        <v>12220</v>
      </c>
    </row>
    <row r="80" spans="1:7" s="3201" customFormat="1" ht="14.25" customHeight="1">
      <c r="A80" s="3212" t="s">
        <v>110</v>
      </c>
      <c r="B80" s="3212" t="s">
        <v>2944</v>
      </c>
      <c r="C80" s="3212">
        <v>19850</v>
      </c>
      <c r="D80" s="3212"/>
      <c r="E80" s="3212">
        <v>21700</v>
      </c>
      <c r="F80" s="3212"/>
      <c r="G80" s="3212"/>
    </row>
    <row r="81" spans="1:7" s="3201" customFormat="1" ht="14.25" customHeight="1">
      <c r="A81" s="3212" t="s">
        <v>110</v>
      </c>
      <c r="B81" s="3212" t="s">
        <v>2949</v>
      </c>
      <c r="C81" s="3212">
        <v>18080</v>
      </c>
      <c r="D81" s="3212"/>
      <c r="E81" s="3212">
        <v>20900</v>
      </c>
      <c r="F81" s="3212"/>
      <c r="G81" s="3212"/>
    </row>
    <row r="82" spans="1:7" s="3201" customFormat="1" ht="14.25" customHeight="1">
      <c r="A82" s="3212" t="s">
        <v>110</v>
      </c>
      <c r="B82" s="3212" t="s">
        <v>2956</v>
      </c>
      <c r="C82" s="3212"/>
      <c r="D82" s="3212"/>
      <c r="E82" s="3212">
        <v>20840</v>
      </c>
      <c r="F82" s="3212"/>
      <c r="G82" s="3212"/>
    </row>
    <row r="83" spans="1:7" s="3201" customFormat="1" ht="14.25" customHeight="1">
      <c r="A83" s="3212" t="s">
        <v>110</v>
      </c>
      <c r="B83" s="3212" t="s">
        <v>3067</v>
      </c>
      <c r="C83" s="3212"/>
      <c r="D83" s="3212"/>
      <c r="E83" s="3212"/>
      <c r="F83" s="3212">
        <v>4770</v>
      </c>
      <c r="G83" s="3212"/>
    </row>
    <row r="84" spans="1:7" s="3201" customFormat="1" ht="14.25" customHeight="1">
      <c r="A84" s="3212" t="s">
        <v>110</v>
      </c>
      <c r="B84" s="3212" t="s">
        <v>3068</v>
      </c>
      <c r="C84" s="3212"/>
      <c r="D84" s="3212"/>
      <c r="E84" s="3212"/>
      <c r="F84" s="3212">
        <v>4600</v>
      </c>
      <c r="G84" s="3212"/>
    </row>
    <row r="85" spans="1:7" s="3201" customFormat="1" ht="14.25" customHeight="1">
      <c r="A85" s="3212" t="s">
        <v>110</v>
      </c>
      <c r="B85" s="3212" t="s">
        <v>3069</v>
      </c>
      <c r="C85" s="3212"/>
      <c r="D85" s="3212"/>
      <c r="E85" s="3212"/>
      <c r="F85" s="3212">
        <v>4680</v>
      </c>
      <c r="G85" s="3212"/>
    </row>
    <row r="86" spans="1:7" s="3201" customFormat="1" ht="14.25" customHeight="1" thickBot="1">
      <c r="A86" s="3220" t="s">
        <v>110</v>
      </c>
      <c r="B86" s="3222" t="s">
        <v>3070</v>
      </c>
      <c r="C86" s="3223">
        <v>16610</v>
      </c>
      <c r="D86" s="3223">
        <v>16540</v>
      </c>
      <c r="E86" s="3223">
        <v>18850</v>
      </c>
      <c r="F86" s="3223"/>
      <c r="G86" s="3223">
        <v>11220</v>
      </c>
    </row>
    <row r="87" spans="1:7" s="3201" customFormat="1" ht="14.25" customHeight="1">
      <c r="A87" s="3217" t="s">
        <v>303</v>
      </c>
      <c r="B87" s="3208" t="s">
        <v>3071</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2950</v>
      </c>
      <c r="C113" s="3212">
        <v>15520</v>
      </c>
      <c r="D113" s="3212">
        <v>15450</v>
      </c>
      <c r="E113" s="3212"/>
      <c r="F113" s="3212"/>
      <c r="G113" s="3225">
        <v>10210</v>
      </c>
    </row>
    <row r="114" spans="1:7" s="3201" customFormat="1" ht="14.25" customHeight="1">
      <c r="A114" s="3212" t="s">
        <v>303</v>
      </c>
      <c r="B114" s="3212" t="s">
        <v>2957</v>
      </c>
      <c r="C114" s="3212">
        <v>13110</v>
      </c>
      <c r="D114" s="3212">
        <v>13050</v>
      </c>
      <c r="E114" s="3212"/>
      <c r="F114" s="3212"/>
      <c r="G114" s="3225">
        <v>8620</v>
      </c>
    </row>
    <row r="115" spans="1:7" s="3201" customFormat="1" ht="14.25" customHeight="1">
      <c r="A115" s="3212" t="s">
        <v>303</v>
      </c>
      <c r="B115" s="3212" t="s">
        <v>2963</v>
      </c>
      <c r="C115" s="3212">
        <v>12460</v>
      </c>
      <c r="D115" s="3212">
        <v>12390</v>
      </c>
      <c r="E115" s="3212"/>
      <c r="F115" s="3212"/>
      <c r="G115" s="3225">
        <v>8190</v>
      </c>
    </row>
    <row r="116" spans="1:7" s="3201" customFormat="1" ht="14.25" customHeight="1">
      <c r="A116" s="3212" t="s">
        <v>303</v>
      </c>
      <c r="B116" s="3212" t="s">
        <v>2970</v>
      </c>
      <c r="C116" s="3212">
        <v>13580</v>
      </c>
      <c r="D116" s="3212">
        <v>13520</v>
      </c>
      <c r="E116" s="3212"/>
      <c r="F116" s="3212"/>
      <c r="G116" s="3225">
        <v>8930</v>
      </c>
    </row>
    <row r="117" spans="1:7" s="3201" customFormat="1" ht="14.25" customHeight="1">
      <c r="A117" s="3212" t="s">
        <v>303</v>
      </c>
      <c r="B117" s="3212" t="s">
        <v>2977</v>
      </c>
      <c r="C117" s="3212">
        <v>17120</v>
      </c>
      <c r="D117" s="3212">
        <v>17040</v>
      </c>
      <c r="E117" s="3212"/>
      <c r="F117" s="3212"/>
      <c r="G117" s="3225">
        <v>11260</v>
      </c>
    </row>
    <row r="118" spans="1:7" s="3201" customFormat="1" ht="14.25" customHeight="1">
      <c r="A118" s="3212" t="s">
        <v>303</v>
      </c>
      <c r="B118" s="3212" t="s">
        <v>2982</v>
      </c>
      <c r="C118" s="3212">
        <v>14860</v>
      </c>
      <c r="D118" s="3212">
        <v>14790</v>
      </c>
      <c r="E118" s="3212"/>
      <c r="F118" s="3212"/>
      <c r="G118" s="3225">
        <v>9780</v>
      </c>
    </row>
    <row r="119" spans="1:7" s="3201" customFormat="1" ht="14.25" customHeight="1">
      <c r="A119" s="3212" t="s">
        <v>303</v>
      </c>
      <c r="B119" s="3212" t="s">
        <v>2986</v>
      </c>
      <c r="C119" s="3212">
        <v>16470</v>
      </c>
      <c r="D119" s="3212">
        <v>16400</v>
      </c>
      <c r="E119" s="3212"/>
      <c r="F119" s="3212"/>
      <c r="G119" s="3225">
        <v>10840</v>
      </c>
    </row>
    <row r="120" spans="1:7" s="3201" customFormat="1" ht="14.25" customHeight="1">
      <c r="A120" s="3212" t="s">
        <v>303</v>
      </c>
      <c r="B120" s="3212" t="s">
        <v>3072</v>
      </c>
      <c r="C120" s="3212"/>
      <c r="D120" s="3212"/>
      <c r="E120" s="3212"/>
      <c r="F120" s="3212">
        <v>4160</v>
      </c>
      <c r="G120" s="3225"/>
    </row>
    <row r="121" spans="1:7" s="3201" customFormat="1" ht="14.25" customHeight="1">
      <c r="A121" s="3212" t="s">
        <v>303</v>
      </c>
      <c r="B121" s="3212" t="s">
        <v>3073</v>
      </c>
      <c r="C121" s="3212"/>
      <c r="D121" s="3212"/>
      <c r="E121" s="3212"/>
      <c r="F121" s="3212">
        <v>3880</v>
      </c>
      <c r="G121" s="3225"/>
    </row>
    <row r="122" spans="1:7" s="3201" customFormat="1" ht="14.25" customHeight="1">
      <c r="A122" s="3212" t="s">
        <v>303</v>
      </c>
      <c r="B122" s="3212" t="s">
        <v>3074</v>
      </c>
      <c r="C122" s="3212">
        <v>13750</v>
      </c>
      <c r="D122" s="3212">
        <v>13680</v>
      </c>
      <c r="E122" s="3212">
        <v>16460</v>
      </c>
      <c r="F122" s="3212">
        <v>2880</v>
      </c>
      <c r="G122" s="3225">
        <v>9040</v>
      </c>
    </row>
    <row r="123" spans="1:7" s="3201" customFormat="1" ht="14.25" customHeight="1">
      <c r="A123" s="3212" t="s">
        <v>303</v>
      </c>
      <c r="B123" s="3212" t="s">
        <v>3005</v>
      </c>
      <c r="C123" s="3212">
        <v>13590</v>
      </c>
      <c r="D123" s="3212">
        <v>13520</v>
      </c>
      <c r="E123" s="3212">
        <v>16290</v>
      </c>
      <c r="F123" s="3212">
        <v>2790</v>
      </c>
      <c r="G123" s="3225">
        <v>8930</v>
      </c>
    </row>
    <row r="124" spans="1:7" s="3201" customFormat="1" ht="14.25" customHeight="1">
      <c r="A124" s="3212" t="s">
        <v>303</v>
      </c>
      <c r="B124" s="3212" t="s">
        <v>3010</v>
      </c>
      <c r="C124" s="3212">
        <v>13400</v>
      </c>
      <c r="D124" s="3212">
        <v>13320</v>
      </c>
      <c r="E124" s="3212">
        <v>16100</v>
      </c>
      <c r="F124" s="3212">
        <v>2320</v>
      </c>
      <c r="G124" s="3225">
        <v>8800</v>
      </c>
    </row>
    <row r="125" spans="1:7" s="3201" customFormat="1" ht="14.25" customHeight="1">
      <c r="A125" s="3212" t="s">
        <v>303</v>
      </c>
      <c r="B125" s="3212" t="s">
        <v>3015</v>
      </c>
      <c r="C125" s="3212">
        <v>12860</v>
      </c>
      <c r="D125" s="3212">
        <v>12790</v>
      </c>
      <c r="E125" s="3212">
        <v>15370</v>
      </c>
      <c r="F125" s="3212">
        <v>2280</v>
      </c>
      <c r="G125" s="3225">
        <v>8450</v>
      </c>
    </row>
    <row r="126" spans="1:7" s="3201" customFormat="1" ht="14.25" customHeight="1" thickBot="1">
      <c r="A126" s="3226" t="s">
        <v>303</v>
      </c>
      <c r="B126" s="3219" t="s">
        <v>3020</v>
      </c>
      <c r="C126" s="3219">
        <v>12960</v>
      </c>
      <c r="D126" s="3219">
        <v>12890</v>
      </c>
      <c r="E126" s="3219">
        <v>15530</v>
      </c>
      <c r="F126" s="3219">
        <v>2910</v>
      </c>
      <c r="G126" s="3227">
        <v>8520</v>
      </c>
    </row>
    <row r="127" spans="1:7" s="3201" customFormat="1" ht="14.25" customHeight="1">
      <c r="A127" s="3217" t="s">
        <v>29</v>
      </c>
      <c r="B127" s="3208" t="s">
        <v>3075</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3076</v>
      </c>
      <c r="C148" s="3212">
        <v>10370</v>
      </c>
      <c r="D148" s="3212">
        <v>10310</v>
      </c>
      <c r="E148" s="3212">
        <v>12970</v>
      </c>
      <c r="F148" s="3212"/>
      <c r="G148" s="3212">
        <v>6630</v>
      </c>
    </row>
    <row r="149" spans="1:7" s="3201" customFormat="1" ht="14.25" customHeight="1">
      <c r="A149" s="3212" t="s">
        <v>29</v>
      </c>
      <c r="B149" s="3212" t="s">
        <v>3077</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2951</v>
      </c>
      <c r="C153" s="3212">
        <v>10880</v>
      </c>
      <c r="D153" s="3212">
        <v>10820</v>
      </c>
      <c r="E153" s="3212">
        <v>13660</v>
      </c>
      <c r="F153" s="3212">
        <v>2260</v>
      </c>
      <c r="G153" s="3212">
        <v>6970</v>
      </c>
    </row>
    <row r="154" spans="1:7" s="3201" customFormat="1" ht="14.25" customHeight="1">
      <c r="A154" s="3212" t="s">
        <v>29</v>
      </c>
      <c r="B154" s="3212" t="s">
        <v>3078</v>
      </c>
      <c r="C154" s="3212">
        <v>11220</v>
      </c>
      <c r="D154" s="3212">
        <v>11160</v>
      </c>
      <c r="E154" s="3212">
        <v>14130</v>
      </c>
      <c r="F154" s="3212">
        <v>2230</v>
      </c>
      <c r="G154" s="3212">
        <v>7180</v>
      </c>
    </row>
    <row r="155" spans="1:7" s="3201" customFormat="1" ht="14.25" customHeight="1">
      <c r="A155" s="3212" t="s">
        <v>29</v>
      </c>
      <c r="B155" s="3212" t="s">
        <v>2964</v>
      </c>
      <c r="C155" s="3212">
        <v>10430</v>
      </c>
      <c r="D155" s="3212">
        <v>10380</v>
      </c>
      <c r="E155" s="3212">
        <v>13140</v>
      </c>
      <c r="F155" s="3212">
        <v>2080</v>
      </c>
      <c r="G155" s="3212">
        <v>6650</v>
      </c>
    </row>
    <row r="156" spans="1:7" s="3201" customFormat="1" ht="14.25" customHeight="1">
      <c r="A156" s="3212" t="s">
        <v>29</v>
      </c>
      <c r="B156" s="3212" t="s">
        <v>3079</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3080</v>
      </c>
      <c r="C160" s="3212">
        <v>11180</v>
      </c>
      <c r="D160" s="3212">
        <v>11140</v>
      </c>
      <c r="E160" s="3212">
        <v>14050</v>
      </c>
      <c r="F160" s="3212">
        <v>2270</v>
      </c>
      <c r="G160" s="3212">
        <v>7170</v>
      </c>
    </row>
    <row r="161" spans="1:7" s="3201" customFormat="1" ht="14.25" customHeight="1">
      <c r="A161" s="3212" t="s">
        <v>29</v>
      </c>
      <c r="B161" s="3212" t="s">
        <v>2996</v>
      </c>
      <c r="C161" s="3212">
        <v>11160</v>
      </c>
      <c r="D161" s="3212">
        <v>11120</v>
      </c>
      <c r="E161" s="3212">
        <v>14020</v>
      </c>
      <c r="F161" s="3212">
        <v>2150</v>
      </c>
      <c r="G161" s="3212">
        <v>7160</v>
      </c>
    </row>
    <row r="162" spans="1:7" s="3201" customFormat="1" ht="14.25" customHeight="1">
      <c r="A162" s="3212" t="s">
        <v>29</v>
      </c>
      <c r="B162" s="3212" t="s">
        <v>3001</v>
      </c>
      <c r="C162" s="3212">
        <v>9620</v>
      </c>
      <c r="D162" s="3212">
        <v>9570</v>
      </c>
      <c r="E162" s="3212">
        <v>12320</v>
      </c>
      <c r="F162" s="3212">
        <v>2010</v>
      </c>
      <c r="G162" s="3212">
        <v>6160</v>
      </c>
    </row>
    <row r="163" spans="1:7" s="3201" customFormat="1" ht="14.25" customHeight="1">
      <c r="A163" s="3212" t="s">
        <v>29</v>
      </c>
      <c r="B163" s="3212" t="s">
        <v>3006</v>
      </c>
      <c r="C163" s="3212">
        <v>9320</v>
      </c>
      <c r="D163" s="3212">
        <v>9270</v>
      </c>
      <c r="E163" s="3212">
        <v>11790</v>
      </c>
      <c r="F163" s="3212">
        <v>1920</v>
      </c>
      <c r="G163" s="3212">
        <v>5960</v>
      </c>
    </row>
    <row r="164" spans="1:7" s="3201" customFormat="1" ht="14.25" customHeight="1">
      <c r="A164" s="3212" t="s">
        <v>29</v>
      </c>
      <c r="B164" s="3212" t="s">
        <v>3011</v>
      </c>
      <c r="C164" s="3212"/>
      <c r="D164" s="3212"/>
      <c r="E164" s="3212"/>
      <c r="F164" s="3212">
        <v>1980</v>
      </c>
      <c r="G164" s="3212"/>
    </row>
    <row r="165" spans="1:7" s="3201" customFormat="1" ht="14.25" customHeight="1">
      <c r="A165" s="3212" t="s">
        <v>29</v>
      </c>
      <c r="B165" s="3212" t="s">
        <v>3081</v>
      </c>
      <c r="C165" s="3212">
        <v>11060</v>
      </c>
      <c r="D165" s="3212">
        <v>11030</v>
      </c>
      <c r="E165" s="3212">
        <v>13850</v>
      </c>
      <c r="F165" s="3212">
        <v>2170</v>
      </c>
      <c r="G165" s="3212">
        <v>7090</v>
      </c>
    </row>
    <row r="166" spans="1:7" s="3201" customFormat="1" ht="14.25" customHeight="1">
      <c r="A166" s="3212" t="s">
        <v>29</v>
      </c>
      <c r="B166" s="3212" t="s">
        <v>3021</v>
      </c>
      <c r="C166" s="3212">
        <v>11050</v>
      </c>
      <c r="D166" s="3212">
        <v>11010</v>
      </c>
      <c r="E166" s="3212">
        <v>13920</v>
      </c>
      <c r="F166" s="3212">
        <v>2140</v>
      </c>
      <c r="G166" s="3212">
        <v>7080</v>
      </c>
    </row>
    <row r="167" spans="1:7" s="3201" customFormat="1" ht="14.25" customHeight="1">
      <c r="A167" s="3212" t="s">
        <v>29</v>
      </c>
      <c r="B167" s="3212" t="s">
        <v>3025</v>
      </c>
      <c r="C167" s="3212">
        <v>10930</v>
      </c>
      <c r="D167" s="3212">
        <v>10890</v>
      </c>
      <c r="E167" s="3212">
        <v>13790</v>
      </c>
      <c r="F167" s="3212">
        <v>2010</v>
      </c>
      <c r="G167" s="3212">
        <v>7000</v>
      </c>
    </row>
    <row r="168" spans="1:7" s="3201" customFormat="1" ht="14.25" customHeight="1">
      <c r="A168" s="3212" t="s">
        <v>29</v>
      </c>
      <c r="B168" s="3212" t="s">
        <v>3030</v>
      </c>
      <c r="C168" s="3212">
        <v>9420</v>
      </c>
      <c r="D168" s="3212">
        <v>9380</v>
      </c>
      <c r="E168" s="3212">
        <v>11970</v>
      </c>
      <c r="F168" s="3212"/>
      <c r="G168" s="3212">
        <v>6040</v>
      </c>
    </row>
    <row r="169" spans="1:7" s="3201" customFormat="1" ht="14.25" customHeight="1">
      <c r="A169" s="3212" t="s">
        <v>29</v>
      </c>
      <c r="B169" s="3212" t="s">
        <v>3082</v>
      </c>
      <c r="C169" s="3212"/>
      <c r="D169" s="3212"/>
      <c r="E169" s="3212"/>
      <c r="F169" s="3212">
        <v>2880</v>
      </c>
      <c r="G169" s="3212"/>
    </row>
    <row r="170" spans="1:7" s="3201" customFormat="1" ht="14.25" customHeight="1">
      <c r="A170" s="3212" t="s">
        <v>29</v>
      </c>
      <c r="B170" s="3212" t="s">
        <v>3038</v>
      </c>
      <c r="C170" s="3212"/>
      <c r="D170" s="3212"/>
      <c r="E170" s="3212"/>
      <c r="F170" s="3212">
        <v>2880</v>
      </c>
      <c r="G170" s="3212"/>
    </row>
    <row r="171" spans="1:7" s="3201" customFormat="1" ht="14.25" customHeight="1">
      <c r="A171" s="3212" t="s">
        <v>29</v>
      </c>
      <c r="B171" s="3212" t="s">
        <v>3041</v>
      </c>
      <c r="C171" s="3212"/>
      <c r="D171" s="3212"/>
      <c r="E171" s="3212"/>
      <c r="F171" s="3212">
        <v>2880</v>
      </c>
      <c r="G171" s="3212"/>
    </row>
    <row r="172" spans="1:7" s="3201" customFormat="1" ht="14.25" customHeight="1">
      <c r="A172" s="3212" t="s">
        <v>29</v>
      </c>
      <c r="B172" s="3212" t="s">
        <v>3043</v>
      </c>
      <c r="C172" s="3212"/>
      <c r="D172" s="3212"/>
      <c r="E172" s="3212"/>
      <c r="F172" s="3212">
        <v>2880</v>
      </c>
      <c r="G172" s="3212"/>
    </row>
    <row r="173" spans="1:7" s="3201" customFormat="1" ht="14.25" customHeight="1">
      <c r="A173" s="3212" t="s">
        <v>29</v>
      </c>
      <c r="B173" s="3212" t="s">
        <v>3045</v>
      </c>
      <c r="C173" s="3212"/>
      <c r="D173" s="3212"/>
      <c r="E173" s="3212"/>
      <c r="F173" s="3212">
        <v>2150</v>
      </c>
      <c r="G173" s="3212"/>
    </row>
    <row r="174" spans="1:7" s="3201" customFormat="1" ht="14.25" customHeight="1">
      <c r="A174" s="3212" t="s">
        <v>29</v>
      </c>
      <c r="B174" s="3212" t="s">
        <v>3047</v>
      </c>
      <c r="C174" s="3212"/>
      <c r="D174" s="3212"/>
      <c r="E174" s="3212"/>
      <c r="F174" s="3212">
        <v>2030</v>
      </c>
      <c r="G174" s="3212"/>
    </row>
    <row r="175" spans="1:7" s="3201" customFormat="1" ht="14.25" customHeight="1">
      <c r="A175" s="3212" t="s">
        <v>29</v>
      </c>
      <c r="B175" s="3212" t="s">
        <v>3049</v>
      </c>
      <c r="C175" s="3212"/>
      <c r="D175" s="3212"/>
      <c r="E175" s="3212"/>
      <c r="F175" s="3212">
        <v>2780</v>
      </c>
      <c r="G175" s="3212"/>
    </row>
    <row r="176" spans="1:7" s="3201" customFormat="1" ht="14.25" customHeight="1">
      <c r="A176" s="3212" t="s">
        <v>29</v>
      </c>
      <c r="B176" s="3212" t="s">
        <v>3051</v>
      </c>
      <c r="C176" s="3212"/>
      <c r="D176" s="3212"/>
      <c r="E176" s="3212"/>
      <c r="F176" s="3212">
        <v>2780</v>
      </c>
      <c r="G176" s="3212"/>
    </row>
    <row r="177" spans="1:7" s="3201" customFormat="1" ht="14.25" customHeight="1">
      <c r="A177" s="3212" t="s">
        <v>29</v>
      </c>
      <c r="B177" s="3212" t="s">
        <v>3083</v>
      </c>
      <c r="C177" s="3212"/>
      <c r="D177" s="3212"/>
      <c r="E177" s="3212"/>
      <c r="F177" s="3212">
        <v>2780</v>
      </c>
      <c r="G177" s="3212"/>
    </row>
    <row r="178" spans="1:7" s="3201" customFormat="1" ht="14.25" customHeight="1">
      <c r="A178" s="3212" t="s">
        <v>29</v>
      </c>
      <c r="B178" s="3212" t="s">
        <v>3084</v>
      </c>
      <c r="C178" s="3212"/>
      <c r="D178" s="3212"/>
      <c r="E178" s="3212"/>
      <c r="F178" s="3212">
        <v>2060</v>
      </c>
      <c r="G178" s="3212"/>
    </row>
    <row r="179" spans="1:7" s="3201" customFormat="1" ht="14.25" customHeight="1">
      <c r="A179" s="3212" t="s">
        <v>29</v>
      </c>
      <c r="B179" s="3212" t="s">
        <v>3085</v>
      </c>
      <c r="C179" s="3212"/>
      <c r="D179" s="3212"/>
      <c r="E179" s="3212"/>
      <c r="F179" s="3212">
        <v>2120</v>
      </c>
      <c r="G179" s="3212"/>
    </row>
    <row r="180" spans="1:7" s="3201" customFormat="1" ht="14.25" customHeight="1">
      <c r="A180" s="3212" t="s">
        <v>29</v>
      </c>
      <c r="B180" s="3212" t="s">
        <v>3057</v>
      </c>
      <c r="C180" s="3212"/>
      <c r="D180" s="3212"/>
      <c r="E180" s="3212"/>
      <c r="F180" s="3212">
        <v>2340</v>
      </c>
      <c r="G180" s="3212"/>
    </row>
    <row r="181" spans="1:7" s="3201" customFormat="1" ht="14.25" customHeight="1">
      <c r="A181" s="3212" t="s">
        <v>29</v>
      </c>
      <c r="B181" s="3212" t="s">
        <v>3058</v>
      </c>
      <c r="C181" s="3212"/>
      <c r="D181" s="3212"/>
      <c r="E181" s="3212"/>
      <c r="F181" s="3212">
        <v>2340</v>
      </c>
      <c r="G181" s="3212"/>
    </row>
    <row r="182" spans="1:7" s="3201" customFormat="1" ht="14.25" customHeight="1">
      <c r="A182" s="3212" t="s">
        <v>29</v>
      </c>
      <c r="B182" s="3212" t="s">
        <v>3059</v>
      </c>
      <c r="C182" s="3212"/>
      <c r="D182" s="3212"/>
      <c r="E182" s="3212"/>
      <c r="F182" s="3212">
        <v>2340</v>
      </c>
      <c r="G182" s="3212"/>
    </row>
    <row r="183" spans="1:7" s="3201" customFormat="1" ht="14.25" customHeight="1">
      <c r="A183" s="3212" t="s">
        <v>29</v>
      </c>
      <c r="B183" s="3212" t="s">
        <v>3060</v>
      </c>
      <c r="C183" s="3212"/>
      <c r="D183" s="3212"/>
      <c r="E183" s="3212"/>
      <c r="F183" s="3212">
        <v>2340</v>
      </c>
      <c r="G183" s="3212"/>
    </row>
    <row r="184" spans="1:7" s="3201" customFormat="1" ht="14.25" customHeight="1">
      <c r="A184" s="3212" t="s">
        <v>29</v>
      </c>
      <c r="B184" s="3212" t="s">
        <v>3061</v>
      </c>
      <c r="C184" s="3212"/>
      <c r="D184" s="3212"/>
      <c r="E184" s="3212"/>
      <c r="F184" s="3212">
        <v>2340</v>
      </c>
      <c r="G184" s="3212"/>
    </row>
    <row r="185" spans="1:7" s="3201" customFormat="1" ht="14.25" customHeight="1">
      <c r="A185" s="3212" t="s">
        <v>29</v>
      </c>
      <c r="B185" s="3212" t="s">
        <v>3062</v>
      </c>
      <c r="C185" s="3212"/>
      <c r="D185" s="3212"/>
      <c r="E185" s="3212"/>
      <c r="F185" s="3212">
        <v>2530</v>
      </c>
      <c r="G185" s="3212"/>
    </row>
    <row r="186" spans="1:7" s="3201" customFormat="1" ht="14.25" customHeight="1">
      <c r="A186" s="3212" t="s">
        <v>29</v>
      </c>
      <c r="B186" s="3212" t="s">
        <v>3063</v>
      </c>
      <c r="C186" s="3212"/>
      <c r="D186" s="3212"/>
      <c r="E186" s="3212"/>
      <c r="F186" s="3212">
        <v>2550</v>
      </c>
      <c r="G186" s="3212"/>
    </row>
    <row r="187" spans="1:7" s="3201" customFormat="1" ht="14.25" customHeight="1">
      <c r="A187" s="3212" t="s">
        <v>29</v>
      </c>
      <c r="B187" s="3212" t="s">
        <v>3064</v>
      </c>
      <c r="C187" s="3212"/>
      <c r="D187" s="3212"/>
      <c r="E187" s="3212"/>
      <c r="F187" s="3212">
        <v>2070</v>
      </c>
      <c r="G187" s="3212"/>
    </row>
    <row r="188" spans="1:7" s="3201" customFormat="1" ht="14.25" customHeight="1">
      <c r="A188" s="3212" t="s">
        <v>29</v>
      </c>
      <c r="B188" s="3212" t="s">
        <v>3065</v>
      </c>
      <c r="C188" s="3212"/>
      <c r="D188" s="3212"/>
      <c r="E188" s="3212"/>
      <c r="F188" s="3212">
        <v>2340</v>
      </c>
      <c r="G188" s="3212"/>
    </row>
    <row r="189" spans="1:7" s="3201" customFormat="1" ht="14.25" customHeight="1" thickBot="1">
      <c r="A189" s="3220" t="s">
        <v>29</v>
      </c>
      <c r="B189" s="3223" t="s">
        <v>3066</v>
      </c>
      <c r="C189" s="3223"/>
      <c r="D189" s="3223"/>
      <c r="E189" s="3223"/>
      <c r="F189" s="3223">
        <v>2050</v>
      </c>
      <c r="G189" s="3223"/>
    </row>
    <row r="190" spans="1:7" s="3201" customFormat="1" ht="14.25" customHeight="1">
      <c r="A190" s="3217" t="s">
        <v>304</v>
      </c>
      <c r="B190" s="3208" t="s">
        <v>3086</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3087</v>
      </c>
      <c r="C199" s="3212">
        <v>8690</v>
      </c>
      <c r="D199" s="3212">
        <v>8630</v>
      </c>
      <c r="E199" s="3212">
        <v>11350</v>
      </c>
      <c r="F199" s="3212">
        <v>1600</v>
      </c>
      <c r="G199" s="3225">
        <v>5450</v>
      </c>
    </row>
    <row r="200" spans="1:7" s="3201" customFormat="1" ht="14.25" customHeight="1">
      <c r="A200" s="3212" t="s">
        <v>304</v>
      </c>
      <c r="B200" s="3212" t="s">
        <v>2898</v>
      </c>
      <c r="C200" s="3212"/>
      <c r="D200" s="3212"/>
      <c r="E200" s="3212"/>
      <c r="F200" s="3212">
        <v>1510</v>
      </c>
      <c r="G200" s="3225"/>
    </row>
    <row r="201" spans="1:7" s="3201" customFormat="1" ht="14.25" customHeight="1">
      <c r="A201" s="3212" t="s">
        <v>304</v>
      </c>
      <c r="B201" s="3212" t="s">
        <v>3088</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3089</v>
      </c>
      <c r="C203" s="3212">
        <v>8130</v>
      </c>
      <c r="D203" s="3212">
        <v>8070</v>
      </c>
      <c r="E203" s="3212">
        <v>10820</v>
      </c>
      <c r="F203" s="3212">
        <v>1690</v>
      </c>
      <c r="G203" s="3225">
        <v>5100</v>
      </c>
    </row>
    <row r="204" spans="1:7" s="3201" customFormat="1" ht="14.25" customHeight="1">
      <c r="A204" s="3212" t="s">
        <v>304</v>
      </c>
      <c r="B204" s="3212" t="s">
        <v>2909</v>
      </c>
      <c r="C204" s="3212">
        <v>8350</v>
      </c>
      <c r="D204" s="3212">
        <v>8290</v>
      </c>
      <c r="E204" s="3212">
        <v>11080</v>
      </c>
      <c r="F204" s="3212">
        <v>1450</v>
      </c>
      <c r="G204" s="3225">
        <v>5240</v>
      </c>
    </row>
    <row r="205" spans="1:7" s="3201" customFormat="1" ht="14.25" customHeight="1">
      <c r="A205" s="3212" t="s">
        <v>304</v>
      </c>
      <c r="B205" s="3212" t="s">
        <v>2911</v>
      </c>
      <c r="C205" s="3212">
        <v>7190</v>
      </c>
      <c r="D205" s="3212">
        <v>7130</v>
      </c>
      <c r="E205" s="3212">
        <v>9490</v>
      </c>
      <c r="F205" s="3212">
        <v>1470</v>
      </c>
      <c r="G205" s="3225">
        <v>4510</v>
      </c>
    </row>
    <row r="206" spans="1:7" s="3201" customFormat="1" ht="14.25" customHeight="1">
      <c r="A206" s="3212" t="s">
        <v>304</v>
      </c>
      <c r="B206" s="3212" t="s">
        <v>2914</v>
      </c>
      <c r="C206" s="3212">
        <v>7000</v>
      </c>
      <c r="D206" s="3212">
        <v>6950</v>
      </c>
      <c r="E206" s="3212">
        <v>9170</v>
      </c>
      <c r="F206" s="3212">
        <v>1400</v>
      </c>
      <c r="G206" s="3225">
        <v>4380</v>
      </c>
    </row>
    <row r="207" spans="1:7" s="3201" customFormat="1" ht="14.25" customHeight="1">
      <c r="A207" s="3212" t="s">
        <v>304</v>
      </c>
      <c r="B207" s="3212" t="s">
        <v>2916</v>
      </c>
      <c r="C207" s="3212">
        <v>6950</v>
      </c>
      <c r="D207" s="3212">
        <v>6900</v>
      </c>
      <c r="E207" s="3212">
        <v>9110</v>
      </c>
      <c r="F207" s="3212">
        <v>1790</v>
      </c>
      <c r="G207" s="3225">
        <v>4360</v>
      </c>
    </row>
    <row r="208" spans="1:7" s="3201" customFormat="1" ht="14.25" customHeight="1">
      <c r="A208" s="3212" t="s">
        <v>304</v>
      </c>
      <c r="B208" s="3212" t="s">
        <v>3090</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2926</v>
      </c>
      <c r="C210" s="3212">
        <v>8710</v>
      </c>
      <c r="D210" s="3212">
        <v>8660</v>
      </c>
      <c r="E210" s="3212">
        <v>11440</v>
      </c>
      <c r="F210" s="3212">
        <v>1740</v>
      </c>
      <c r="G210" s="3225">
        <v>5470</v>
      </c>
    </row>
    <row r="211" spans="1:7" s="3201" customFormat="1" ht="14.25" customHeight="1">
      <c r="A211" s="3212" t="s">
        <v>304</v>
      </c>
      <c r="B211" s="3212" t="s">
        <v>3091</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3092</v>
      </c>
      <c r="C214" s="3212">
        <v>8090</v>
      </c>
      <c r="D214" s="3212">
        <v>8030</v>
      </c>
      <c r="E214" s="3212">
        <v>10780</v>
      </c>
      <c r="F214" s="3212">
        <v>1570</v>
      </c>
      <c r="G214" s="3225">
        <v>5070</v>
      </c>
    </row>
    <row r="215" spans="1:7" s="3201" customFormat="1" ht="14.25" customHeight="1">
      <c r="A215" s="3212" t="s">
        <v>304</v>
      </c>
      <c r="B215" s="3212" t="s">
        <v>3093</v>
      </c>
      <c r="C215" s="3212">
        <v>7950</v>
      </c>
      <c r="D215" s="3212">
        <v>7900</v>
      </c>
      <c r="E215" s="3212">
        <v>10560</v>
      </c>
      <c r="F215" s="3212">
        <v>1630</v>
      </c>
      <c r="G215" s="3225">
        <v>4990</v>
      </c>
    </row>
    <row r="216" spans="1:7" s="3201" customFormat="1" ht="14.25" customHeight="1">
      <c r="A216" s="3212" t="s">
        <v>304</v>
      </c>
      <c r="B216" s="3212" t="s">
        <v>3094</v>
      </c>
      <c r="C216" s="3212">
        <v>8490</v>
      </c>
      <c r="D216" s="3212">
        <v>8440</v>
      </c>
      <c r="E216" s="3212">
        <v>11260</v>
      </c>
      <c r="F216" s="3212">
        <v>1690</v>
      </c>
      <c r="G216" s="3225">
        <v>5330</v>
      </c>
    </row>
    <row r="217" spans="1:7" s="3201" customFormat="1" ht="14.25" customHeight="1">
      <c r="A217" s="3212" t="s">
        <v>304</v>
      </c>
      <c r="B217" s="3212" t="s">
        <v>2959</v>
      </c>
      <c r="C217" s="3212">
        <v>8200</v>
      </c>
      <c r="D217" s="3212">
        <v>8150</v>
      </c>
      <c r="E217" s="3212">
        <v>10910</v>
      </c>
      <c r="F217" s="3212">
        <v>1670</v>
      </c>
      <c r="G217" s="3225">
        <v>5150</v>
      </c>
    </row>
    <row r="218" spans="1:7" s="3201" customFormat="1" ht="14.25" customHeight="1">
      <c r="A218" s="3212" t="s">
        <v>304</v>
      </c>
      <c r="B218" s="3212" t="s">
        <v>3095</v>
      </c>
      <c r="C218" s="3212"/>
      <c r="D218" s="3212"/>
      <c r="E218" s="3212"/>
      <c r="F218" s="3212">
        <v>2040</v>
      </c>
      <c r="G218" s="3225"/>
    </row>
    <row r="219" spans="1:7" s="3201" customFormat="1" ht="14.25" customHeight="1">
      <c r="A219" s="3212" t="s">
        <v>304</v>
      </c>
      <c r="B219" s="3212" t="s">
        <v>3096</v>
      </c>
      <c r="C219" s="3212"/>
      <c r="D219" s="3212"/>
      <c r="E219" s="3212"/>
      <c r="F219" s="3212">
        <v>2040</v>
      </c>
      <c r="G219" s="3225"/>
    </row>
    <row r="220" spans="1:7" s="3201" customFormat="1" ht="14.25" customHeight="1">
      <c r="A220" s="3212" t="s">
        <v>304</v>
      </c>
      <c r="B220" s="3212" t="s">
        <v>3097</v>
      </c>
      <c r="C220" s="3212"/>
      <c r="D220" s="3212"/>
      <c r="E220" s="3212"/>
      <c r="F220" s="3212">
        <v>2040</v>
      </c>
      <c r="G220" s="3225"/>
    </row>
    <row r="221" spans="1:7" s="3201" customFormat="1" ht="14.25" customHeight="1">
      <c r="A221" s="3212" t="s">
        <v>304</v>
      </c>
      <c r="B221" s="3212" t="s">
        <v>3098</v>
      </c>
      <c r="C221" s="3212"/>
      <c r="D221" s="3212"/>
      <c r="E221" s="3212"/>
      <c r="F221" s="3212">
        <v>2040</v>
      </c>
      <c r="G221" s="3225"/>
    </row>
    <row r="222" spans="1:7" s="3201" customFormat="1" ht="14.25" customHeight="1">
      <c r="A222" s="3212" t="s">
        <v>304</v>
      </c>
      <c r="B222" s="3212" t="s">
        <v>3099</v>
      </c>
      <c r="C222" s="3212"/>
      <c r="D222" s="3212"/>
      <c r="E222" s="3212"/>
      <c r="F222" s="3212">
        <v>2040</v>
      </c>
      <c r="G222" s="3225"/>
    </row>
    <row r="223" spans="1:7" s="3201" customFormat="1" ht="14.25" customHeight="1">
      <c r="A223" s="3212" t="s">
        <v>304</v>
      </c>
      <c r="B223" s="3212" t="s">
        <v>3100</v>
      </c>
      <c r="C223" s="3212"/>
      <c r="D223" s="3212"/>
      <c r="E223" s="3212"/>
      <c r="F223" s="3212">
        <v>1930</v>
      </c>
      <c r="G223" s="3225"/>
    </row>
    <row r="224" spans="1:7" s="3201" customFormat="1" ht="14.25" customHeight="1">
      <c r="A224" s="3212" t="s">
        <v>304</v>
      </c>
      <c r="B224" s="3212" t="s">
        <v>3101</v>
      </c>
      <c r="C224" s="3212"/>
      <c r="D224" s="3212"/>
      <c r="E224" s="3212"/>
      <c r="F224" s="3212">
        <v>1930</v>
      </c>
      <c r="G224" s="3225"/>
    </row>
    <row r="225" spans="1:7" s="3201" customFormat="1" ht="14.25" customHeight="1">
      <c r="A225" s="3212" t="s">
        <v>304</v>
      </c>
      <c r="B225" s="3212" t="s">
        <v>3102</v>
      </c>
      <c r="C225" s="3212"/>
      <c r="D225" s="3212"/>
      <c r="E225" s="3212"/>
      <c r="F225" s="3212">
        <v>1930</v>
      </c>
      <c r="G225" s="3225"/>
    </row>
    <row r="226" spans="1:7" s="3201" customFormat="1" ht="14.25" customHeight="1">
      <c r="A226" s="3212" t="s">
        <v>304</v>
      </c>
      <c r="B226" s="3212" t="s">
        <v>3103</v>
      </c>
      <c r="C226" s="3212"/>
      <c r="D226" s="3212"/>
      <c r="E226" s="3212"/>
      <c r="F226" s="3212">
        <v>1700</v>
      </c>
      <c r="G226" s="3225"/>
    </row>
    <row r="227" spans="1:7" s="3201" customFormat="1" ht="14.25" customHeight="1">
      <c r="A227" s="3212" t="s">
        <v>304</v>
      </c>
      <c r="B227" s="3212" t="s">
        <v>3104</v>
      </c>
      <c r="C227" s="3212"/>
      <c r="D227" s="3212"/>
      <c r="E227" s="3212"/>
      <c r="F227" s="3212">
        <v>1520</v>
      </c>
      <c r="G227" s="3225"/>
    </row>
    <row r="228" spans="1:7" s="3201" customFormat="1" ht="14.25" customHeight="1">
      <c r="A228" s="3212" t="s">
        <v>304</v>
      </c>
      <c r="B228" s="3212" t="s">
        <v>3105</v>
      </c>
      <c r="C228" s="3212"/>
      <c r="D228" s="3212"/>
      <c r="E228" s="3212"/>
      <c r="F228" s="3212">
        <v>1520</v>
      </c>
      <c r="G228" s="3225"/>
    </row>
    <row r="229" spans="1:7" s="3201" customFormat="1" ht="14.25" customHeight="1">
      <c r="A229" s="3212" t="s">
        <v>304</v>
      </c>
      <c r="B229" s="3212" t="s">
        <v>3022</v>
      </c>
      <c r="C229" s="3212"/>
      <c r="D229" s="3212"/>
      <c r="E229" s="3212"/>
      <c r="F229" s="3212">
        <v>1520</v>
      </c>
      <c r="G229" s="3225"/>
    </row>
    <row r="230" spans="1:7" s="3201" customFormat="1" ht="14.25" customHeight="1">
      <c r="A230" s="3212" t="s">
        <v>304</v>
      </c>
      <c r="B230" s="3212" t="s">
        <v>3106</v>
      </c>
      <c r="C230" s="3212"/>
      <c r="D230" s="3212"/>
      <c r="E230" s="3212"/>
      <c r="F230" s="3212">
        <v>1820</v>
      </c>
      <c r="G230" s="3225"/>
    </row>
    <row r="231" spans="1:7" s="3201" customFormat="1" ht="14.25" customHeight="1">
      <c r="A231" s="3212" t="s">
        <v>304</v>
      </c>
      <c r="B231" s="3212" t="s">
        <v>3107</v>
      </c>
      <c r="C231" s="3212"/>
      <c r="D231" s="3212"/>
      <c r="E231" s="3212"/>
      <c r="F231" s="3212">
        <v>1760</v>
      </c>
      <c r="G231" s="3225"/>
    </row>
    <row r="232" spans="1:7" s="3201" customFormat="1" ht="14.25" customHeight="1">
      <c r="A232" s="3212" t="s">
        <v>304</v>
      </c>
      <c r="B232" s="3212" t="s">
        <v>3108</v>
      </c>
      <c r="C232" s="3212"/>
      <c r="D232" s="3212"/>
      <c r="E232" s="3212"/>
      <c r="F232" s="3212">
        <v>1840</v>
      </c>
      <c r="G232" s="3225"/>
    </row>
    <row r="233" spans="1:7" s="3201" customFormat="1" ht="14.25" customHeight="1" thickBot="1">
      <c r="A233" s="3226" t="s">
        <v>304</v>
      </c>
      <c r="B233" s="3219" t="s">
        <v>3039</v>
      </c>
      <c r="C233" s="3219"/>
      <c r="D233" s="3219"/>
      <c r="E233" s="3219"/>
      <c r="F233" s="3219">
        <v>1770</v>
      </c>
      <c r="G233" s="3227"/>
    </row>
    <row r="234" spans="1:7" s="3201" customFormat="1" ht="14.25" customHeight="1">
      <c r="A234" s="3217" t="s">
        <v>305</v>
      </c>
      <c r="B234" s="3208" t="s">
        <v>3109</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2880</v>
      </c>
      <c r="C238" s="3212">
        <v>6920</v>
      </c>
      <c r="D238" s="3212">
        <v>6890</v>
      </c>
      <c r="E238" s="3212">
        <v>8640</v>
      </c>
      <c r="F238" s="3212">
        <v>1310</v>
      </c>
      <c r="G238" s="3212">
        <v>4230</v>
      </c>
    </row>
    <row r="239" spans="1:7" s="3201" customFormat="1" ht="14.25" customHeight="1">
      <c r="A239" s="3212" t="s">
        <v>305</v>
      </c>
      <c r="B239" s="3212" t="s">
        <v>3110</v>
      </c>
      <c r="C239" s="3212">
        <v>6780</v>
      </c>
      <c r="D239" s="3212">
        <v>6750</v>
      </c>
      <c r="E239" s="3212">
        <v>8440</v>
      </c>
      <c r="F239" s="3212">
        <v>1160</v>
      </c>
      <c r="G239" s="3212">
        <v>4140</v>
      </c>
    </row>
    <row r="240" spans="1:7" s="3201" customFormat="1" ht="14.25" customHeight="1">
      <c r="A240" s="3212" t="s">
        <v>305</v>
      </c>
      <c r="B240" s="3212" t="s">
        <v>3111</v>
      </c>
      <c r="C240" s="3212">
        <v>5420</v>
      </c>
      <c r="D240" s="3212">
        <v>5380</v>
      </c>
      <c r="E240" s="3212">
        <v>6640</v>
      </c>
      <c r="F240" s="3212">
        <v>1020</v>
      </c>
      <c r="G240" s="3212">
        <v>3300</v>
      </c>
    </row>
    <row r="241" spans="1:7" s="3201" customFormat="1" ht="14.25" customHeight="1">
      <c r="A241" s="3212" t="s">
        <v>305</v>
      </c>
      <c r="B241" s="3212" t="s">
        <v>3112</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3113</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3114</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3115</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3116</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3117</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2942</v>
      </c>
      <c r="C258" s="3212">
        <v>6190</v>
      </c>
      <c r="D258" s="3212">
        <v>6160</v>
      </c>
      <c r="E258" s="3212">
        <v>7680</v>
      </c>
      <c r="F258" s="3212">
        <v>1170</v>
      </c>
      <c r="G258" s="3212">
        <v>3780</v>
      </c>
    </row>
    <row r="259" spans="1:7" s="3201" customFormat="1" ht="14.25" customHeight="1">
      <c r="A259" s="3212" t="s">
        <v>305</v>
      </c>
      <c r="B259" s="3212" t="s">
        <v>3118</v>
      </c>
      <c r="C259" s="3212">
        <v>7610</v>
      </c>
      <c r="D259" s="3212">
        <v>7570</v>
      </c>
      <c r="E259" s="3212">
        <v>9350</v>
      </c>
      <c r="F259" s="3212">
        <v>1350</v>
      </c>
      <c r="G259" s="3212">
        <v>4650</v>
      </c>
    </row>
    <row r="260" spans="1:7" s="3201" customFormat="1" ht="14.25" customHeight="1">
      <c r="A260" s="3212" t="s">
        <v>305</v>
      </c>
      <c r="B260" s="3212" t="s">
        <v>3119</v>
      </c>
      <c r="C260" s="3212">
        <v>6920</v>
      </c>
      <c r="D260" s="3212">
        <v>6880</v>
      </c>
      <c r="E260" s="3212">
        <v>8380</v>
      </c>
      <c r="F260" s="3212">
        <v>1160</v>
      </c>
      <c r="G260" s="3212">
        <v>4220</v>
      </c>
    </row>
    <row r="261" spans="1:7" s="3201" customFormat="1" ht="14.25" customHeight="1">
      <c r="A261" s="3212" t="s">
        <v>305</v>
      </c>
      <c r="B261" s="3212" t="s">
        <v>3120</v>
      </c>
      <c r="C261" s="3212">
        <v>6850</v>
      </c>
      <c r="D261" s="3212">
        <v>6810</v>
      </c>
      <c r="E261" s="3212">
        <v>8290</v>
      </c>
      <c r="F261" s="3212">
        <v>1130</v>
      </c>
      <c r="G261" s="3212">
        <v>4180</v>
      </c>
    </row>
    <row r="262" spans="1:7" s="3201" customFormat="1" ht="14.25" customHeight="1">
      <c r="A262" s="3212" t="s">
        <v>305</v>
      </c>
      <c r="B262" s="3212" t="s">
        <v>3121</v>
      </c>
      <c r="C262" s="3212">
        <v>5860</v>
      </c>
      <c r="D262" s="3212">
        <v>5820</v>
      </c>
      <c r="E262" s="3212">
        <v>7640</v>
      </c>
      <c r="F262" s="3212">
        <v>1070</v>
      </c>
      <c r="G262" s="3212">
        <v>3570</v>
      </c>
    </row>
    <row r="263" spans="1:7" s="3201" customFormat="1" ht="14.25" customHeight="1">
      <c r="A263" s="3212" t="s">
        <v>305</v>
      </c>
      <c r="B263" s="3212" t="s">
        <v>3122</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3123</v>
      </c>
      <c r="C265" s="3212"/>
      <c r="D265" s="3212"/>
      <c r="E265" s="3212"/>
      <c r="F265" s="3212">
        <v>1500</v>
      </c>
      <c r="G265" s="3212"/>
    </row>
    <row r="266" spans="1:7" s="3201" customFormat="1" ht="14.25" customHeight="1">
      <c r="A266" s="3212" t="s">
        <v>305</v>
      </c>
      <c r="B266" s="3212" t="s">
        <v>3124</v>
      </c>
      <c r="C266" s="3212"/>
      <c r="D266" s="3212"/>
      <c r="E266" s="3212"/>
      <c r="F266" s="3212">
        <v>1500</v>
      </c>
      <c r="G266" s="3212"/>
    </row>
    <row r="267" spans="1:7" s="3201" customFormat="1" ht="14.25" customHeight="1">
      <c r="A267" s="3212" t="s">
        <v>305</v>
      </c>
      <c r="B267" s="3212" t="s">
        <v>3125</v>
      </c>
      <c r="C267" s="3212"/>
      <c r="D267" s="3212"/>
      <c r="E267" s="3212"/>
      <c r="F267" s="3212">
        <v>1500</v>
      </c>
      <c r="G267" s="3212"/>
    </row>
    <row r="268" spans="1:7" s="3201" customFormat="1" ht="14.25" customHeight="1">
      <c r="A268" s="3212" t="s">
        <v>305</v>
      </c>
      <c r="B268" s="3212" t="s">
        <v>3126</v>
      </c>
      <c r="C268" s="3212"/>
      <c r="D268" s="3212"/>
      <c r="E268" s="3212"/>
      <c r="F268" s="3212">
        <v>1290</v>
      </c>
      <c r="G268" s="3212"/>
    </row>
    <row r="269" spans="1:7" s="3201" customFormat="1" ht="14.25" customHeight="1">
      <c r="A269" s="3212" t="s">
        <v>305</v>
      </c>
      <c r="B269" s="3212" t="s">
        <v>3127</v>
      </c>
      <c r="C269" s="3212"/>
      <c r="D269" s="3212"/>
      <c r="E269" s="3212"/>
      <c r="F269" s="3212">
        <v>1150</v>
      </c>
      <c r="G269" s="3212"/>
    </row>
    <row r="270" spans="1:7" s="3201" customFormat="1" ht="14.25" customHeight="1">
      <c r="A270" s="3212" t="s">
        <v>305</v>
      </c>
      <c r="B270" s="3212" t="s">
        <v>3128</v>
      </c>
      <c r="C270" s="3212"/>
      <c r="D270" s="3212"/>
      <c r="E270" s="3212"/>
      <c r="F270" s="3212">
        <v>1380</v>
      </c>
      <c r="G270" s="3212"/>
    </row>
    <row r="271" spans="1:7" s="3201" customFormat="1" ht="14.25" customHeight="1">
      <c r="A271" s="3212" t="s">
        <v>305</v>
      </c>
      <c r="B271" s="3212" t="s">
        <v>3129</v>
      </c>
      <c r="C271" s="3212"/>
      <c r="D271" s="3212"/>
      <c r="E271" s="3212"/>
      <c r="F271" s="3212">
        <v>1460</v>
      </c>
      <c r="G271" s="3212"/>
    </row>
    <row r="272" spans="1:7" s="3201" customFormat="1" ht="14.25" customHeight="1">
      <c r="A272" s="3212" t="s">
        <v>305</v>
      </c>
      <c r="B272" s="3212" t="s">
        <v>3130</v>
      </c>
      <c r="C272" s="3212"/>
      <c r="D272" s="3212"/>
      <c r="E272" s="3212"/>
      <c r="F272" s="3212">
        <v>1460</v>
      </c>
      <c r="G272" s="3212"/>
    </row>
    <row r="273" spans="1:7" s="3201" customFormat="1" ht="14.25" customHeight="1">
      <c r="A273" s="3212" t="s">
        <v>305</v>
      </c>
      <c r="B273" s="3212" t="s">
        <v>3023</v>
      </c>
      <c r="C273" s="3212"/>
      <c r="D273" s="3212"/>
      <c r="E273" s="3212"/>
      <c r="F273" s="3212">
        <v>1490</v>
      </c>
      <c r="G273" s="3212"/>
    </row>
    <row r="274" spans="1:7" s="3201" customFormat="1" ht="14.25" customHeight="1">
      <c r="A274" s="3212" t="s">
        <v>305</v>
      </c>
      <c r="B274" s="3212" t="s">
        <v>3131</v>
      </c>
      <c r="C274" s="3212"/>
      <c r="D274" s="3212"/>
      <c r="E274" s="3212"/>
      <c r="F274" s="3212">
        <v>1490</v>
      </c>
      <c r="G274" s="3212"/>
    </row>
    <row r="275" spans="1:7" s="3201" customFormat="1" ht="14.25" customHeight="1">
      <c r="A275" s="3212" t="s">
        <v>305</v>
      </c>
      <c r="B275" s="3212" t="s">
        <v>3132</v>
      </c>
      <c r="C275" s="3212"/>
      <c r="D275" s="3212"/>
      <c r="E275" s="3212"/>
      <c r="F275" s="3212">
        <v>1220</v>
      </c>
      <c r="G275" s="3212"/>
    </row>
    <row r="276" spans="1:7" s="3201" customFormat="1" ht="14.25" customHeight="1" thickBot="1">
      <c r="A276" s="3220" t="s">
        <v>305</v>
      </c>
      <c r="B276" s="3222" t="s">
        <v>3133</v>
      </c>
      <c r="C276" s="3223"/>
      <c r="D276" s="3223"/>
      <c r="E276" s="3223"/>
      <c r="F276" s="3223">
        <v>1380</v>
      </c>
      <c r="G276" s="3223"/>
    </row>
    <row r="277" spans="1:7" s="3201" customFormat="1" ht="14.25" customHeight="1">
      <c r="A277" s="3217" t="s">
        <v>306</v>
      </c>
      <c r="B277" s="3208" t="s">
        <v>3134</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3135</v>
      </c>
      <c r="C279" s="3212">
        <v>4760</v>
      </c>
      <c r="D279" s="3212">
        <v>4720</v>
      </c>
      <c r="E279" s="3212">
        <v>5540</v>
      </c>
      <c r="F279" s="3212">
        <v>810</v>
      </c>
      <c r="G279" s="3225">
        <v>2850</v>
      </c>
    </row>
    <row r="280" spans="1:7" s="3201" customFormat="1" ht="14.25" customHeight="1">
      <c r="A280" s="3212" t="s">
        <v>306</v>
      </c>
      <c r="B280" s="3212" t="s">
        <v>3136</v>
      </c>
      <c r="C280" s="3212">
        <v>4010</v>
      </c>
      <c r="D280" s="3212">
        <v>3950</v>
      </c>
      <c r="E280" s="3212">
        <v>4710</v>
      </c>
      <c r="F280" s="3212">
        <v>800</v>
      </c>
      <c r="G280" s="3225">
        <v>2390</v>
      </c>
    </row>
    <row r="281" spans="1:7" s="3201" customFormat="1" ht="14.25" customHeight="1">
      <c r="A281" s="3212" t="s">
        <v>306</v>
      </c>
      <c r="B281" s="3212" t="s">
        <v>3137</v>
      </c>
      <c r="C281" s="3212">
        <v>4480</v>
      </c>
      <c r="D281" s="3212">
        <v>4420</v>
      </c>
      <c r="E281" s="3212">
        <v>5230</v>
      </c>
      <c r="F281" s="3212">
        <v>870</v>
      </c>
      <c r="G281" s="3225">
        <v>2660</v>
      </c>
    </row>
    <row r="282" spans="1:7" s="3201" customFormat="1" ht="14.25" customHeight="1">
      <c r="A282" s="3212" t="s">
        <v>306</v>
      </c>
      <c r="B282" s="3212" t="s">
        <v>3138</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3139</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3140</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2915</v>
      </c>
      <c r="C293" s="3212">
        <v>5320</v>
      </c>
      <c r="D293" s="3212">
        <v>5270</v>
      </c>
      <c r="E293" s="3212">
        <v>6160</v>
      </c>
      <c r="F293" s="3212">
        <v>990</v>
      </c>
      <c r="G293" s="3225">
        <v>3170</v>
      </c>
    </row>
    <row r="294" spans="1:7" s="3201" customFormat="1" ht="14.25" customHeight="1">
      <c r="A294" s="3212" t="s">
        <v>306</v>
      </c>
      <c r="B294" s="3212" t="s">
        <v>3141</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2934</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3142</v>
      </c>
      <c r="C302" s="3212">
        <v>5520</v>
      </c>
      <c r="D302" s="3212">
        <v>5470</v>
      </c>
      <c r="E302" s="3212">
        <v>6410</v>
      </c>
      <c r="F302" s="3212">
        <v>950</v>
      </c>
      <c r="G302" s="3225">
        <v>3300</v>
      </c>
    </row>
    <row r="303" spans="1:7" s="3201" customFormat="1" ht="14.25" customHeight="1">
      <c r="A303" s="3212" t="s">
        <v>306</v>
      </c>
      <c r="B303" s="3212" t="s">
        <v>2954</v>
      </c>
      <c r="C303" s="3212">
        <v>5630</v>
      </c>
      <c r="D303" s="3212">
        <v>5590</v>
      </c>
      <c r="E303" s="3212">
        <v>6550</v>
      </c>
      <c r="F303" s="3212">
        <v>1010</v>
      </c>
      <c r="G303" s="3225">
        <v>3370</v>
      </c>
    </row>
    <row r="304" spans="1:7" s="3201" customFormat="1" ht="14.25" customHeight="1">
      <c r="A304" s="3212" t="s">
        <v>306</v>
      </c>
      <c r="B304" s="3212" t="s">
        <v>2961</v>
      </c>
      <c r="C304" s="3212">
        <v>5680</v>
      </c>
      <c r="D304" s="3212">
        <v>5620</v>
      </c>
      <c r="E304" s="3212">
        <v>6620</v>
      </c>
      <c r="F304" s="3212">
        <v>1050</v>
      </c>
      <c r="G304" s="3225">
        <v>3390</v>
      </c>
    </row>
    <row r="305" spans="1:7" s="3201" customFormat="1" ht="14.25" customHeight="1">
      <c r="A305" s="3212" t="s">
        <v>306</v>
      </c>
      <c r="B305" s="3212" t="s">
        <v>2967</v>
      </c>
      <c r="C305" s="3212">
        <v>5590</v>
      </c>
      <c r="D305" s="3212">
        <v>5530</v>
      </c>
      <c r="E305" s="3212">
        <v>6460</v>
      </c>
      <c r="F305" s="3212">
        <v>900</v>
      </c>
      <c r="G305" s="3225">
        <v>3340</v>
      </c>
    </row>
    <row r="306" spans="1:7" s="3201" customFormat="1" ht="14.25" customHeight="1">
      <c r="A306" s="3212" t="s">
        <v>306</v>
      </c>
      <c r="B306" s="3212" t="s">
        <v>3143</v>
      </c>
      <c r="C306" s="3212">
        <v>5560</v>
      </c>
      <c r="D306" s="3212">
        <v>5510</v>
      </c>
      <c r="E306" s="3212">
        <v>6440</v>
      </c>
      <c r="F306" s="3212">
        <v>900</v>
      </c>
      <c r="G306" s="3225">
        <v>3320</v>
      </c>
    </row>
    <row r="307" spans="1:7" s="3201" customFormat="1" ht="14.25" customHeight="1">
      <c r="A307" s="3212" t="s">
        <v>306</v>
      </c>
      <c r="B307" s="3212" t="s">
        <v>2979</v>
      </c>
      <c r="C307" s="3212">
        <v>5650</v>
      </c>
      <c r="D307" s="3212">
        <v>5600</v>
      </c>
      <c r="E307" s="3212">
        <v>6590</v>
      </c>
      <c r="F307" s="3212">
        <v>930</v>
      </c>
      <c r="G307" s="3225">
        <v>3380</v>
      </c>
    </row>
    <row r="308" spans="1:7" s="3201" customFormat="1" ht="14.25" customHeight="1">
      <c r="A308" s="3212" t="s">
        <v>306</v>
      </c>
      <c r="B308" s="3212" t="s">
        <v>3144</v>
      </c>
      <c r="C308" s="3212">
        <v>5620</v>
      </c>
      <c r="D308" s="3212">
        <v>5580</v>
      </c>
      <c r="E308" s="3212">
        <v>6540</v>
      </c>
      <c r="F308" s="3212">
        <v>910</v>
      </c>
      <c r="G308" s="3225">
        <v>3370</v>
      </c>
    </row>
    <row r="309" spans="1:7" s="3201" customFormat="1" ht="14.25" customHeight="1">
      <c r="A309" s="3212" t="s">
        <v>306</v>
      </c>
      <c r="B309" s="3212" t="s">
        <v>3145</v>
      </c>
      <c r="C309" s="3212">
        <v>5060</v>
      </c>
      <c r="D309" s="3212">
        <v>5020</v>
      </c>
      <c r="E309" s="3212">
        <v>6370</v>
      </c>
      <c r="F309" s="3212">
        <v>800</v>
      </c>
      <c r="G309" s="3225">
        <v>3020</v>
      </c>
    </row>
    <row r="310" spans="1:7" s="3201" customFormat="1" ht="14.25" customHeight="1">
      <c r="A310" s="3212" t="s">
        <v>306</v>
      </c>
      <c r="B310" s="3212" t="s">
        <v>2994</v>
      </c>
      <c r="C310" s="3212">
        <v>5150</v>
      </c>
      <c r="D310" s="3212">
        <v>5110</v>
      </c>
      <c r="E310" s="3212">
        <v>6500</v>
      </c>
      <c r="F310" s="3212">
        <v>880</v>
      </c>
      <c r="G310" s="3225">
        <v>3080</v>
      </c>
    </row>
    <row r="311" spans="1:7" s="3201" customFormat="1" ht="14.25" customHeight="1">
      <c r="A311" s="3212" t="s">
        <v>306</v>
      </c>
      <c r="B311" s="3212" t="s">
        <v>3146</v>
      </c>
      <c r="C311" s="3212">
        <v>4750</v>
      </c>
      <c r="D311" s="3212">
        <v>4710</v>
      </c>
      <c r="E311" s="3212">
        <v>5510</v>
      </c>
      <c r="F311" s="3212">
        <v>880</v>
      </c>
      <c r="G311" s="3225">
        <v>2840</v>
      </c>
    </row>
    <row r="312" spans="1:7" s="3201" customFormat="1" ht="14.25" customHeight="1">
      <c r="A312" s="3212" t="s">
        <v>306</v>
      </c>
      <c r="B312" s="3212" t="s">
        <v>3004</v>
      </c>
      <c r="C312" s="3212">
        <v>4690</v>
      </c>
      <c r="D312" s="3212">
        <v>4640</v>
      </c>
      <c r="E312" s="3212">
        <v>5420</v>
      </c>
      <c r="F312" s="3212">
        <v>800</v>
      </c>
      <c r="G312" s="3225">
        <v>2800</v>
      </c>
    </row>
    <row r="313" spans="1:7" s="3201" customFormat="1" ht="14.25" customHeight="1">
      <c r="A313" s="3212" t="s">
        <v>306</v>
      </c>
      <c r="B313" s="3212" t="s">
        <v>3009</v>
      </c>
      <c r="C313" s="3212">
        <v>4810</v>
      </c>
      <c r="D313" s="3212">
        <v>4760</v>
      </c>
      <c r="E313" s="3212">
        <v>5550</v>
      </c>
      <c r="F313" s="3212">
        <v>920</v>
      </c>
      <c r="G313" s="3225">
        <v>2870</v>
      </c>
    </row>
    <row r="314" spans="1:7" s="3201" customFormat="1" ht="14.25" customHeight="1">
      <c r="A314" s="3212" t="s">
        <v>306</v>
      </c>
      <c r="B314" s="3212" t="s">
        <v>3147</v>
      </c>
      <c r="C314" s="3212"/>
      <c r="D314" s="3212"/>
      <c r="E314" s="3212"/>
      <c r="F314" s="3212">
        <v>1020</v>
      </c>
      <c r="G314" s="3225"/>
    </row>
    <row r="315" spans="1:7" s="3201" customFormat="1" ht="14.25" customHeight="1">
      <c r="A315" s="3212" t="s">
        <v>306</v>
      </c>
      <c r="B315" s="3212" t="s">
        <v>3148</v>
      </c>
      <c r="C315" s="3212"/>
      <c r="D315" s="3212"/>
      <c r="E315" s="3212"/>
      <c r="F315" s="3212">
        <v>1050</v>
      </c>
      <c r="G315" s="3225"/>
    </row>
    <row r="316" spans="1:7" s="3201" customFormat="1" ht="14.25" customHeight="1">
      <c r="A316" s="3212" t="s">
        <v>306</v>
      </c>
      <c r="B316" s="3212" t="s">
        <v>3024</v>
      </c>
      <c r="C316" s="3212"/>
      <c r="D316" s="3212"/>
      <c r="E316" s="3212"/>
      <c r="F316" s="3212">
        <v>900</v>
      </c>
      <c r="G316" s="3225"/>
    </row>
    <row r="317" spans="1:7" s="3201" customFormat="1" ht="14.25" customHeight="1">
      <c r="A317" s="3212" t="s">
        <v>306</v>
      </c>
      <c r="B317" s="3212" t="s">
        <v>3149</v>
      </c>
      <c r="C317" s="3212"/>
      <c r="D317" s="3212"/>
      <c r="E317" s="3212"/>
      <c r="F317" s="3212">
        <v>920</v>
      </c>
      <c r="G317" s="3225"/>
    </row>
    <row r="318" spans="1:7" s="3201" customFormat="1" ht="14.25" customHeight="1">
      <c r="A318" s="3212" t="s">
        <v>306</v>
      </c>
      <c r="B318" s="3212" t="s">
        <v>3150</v>
      </c>
      <c r="C318" s="3212"/>
      <c r="D318" s="3212"/>
      <c r="E318" s="3212"/>
      <c r="F318" s="3212">
        <v>1080</v>
      </c>
      <c r="G318" s="3225"/>
    </row>
    <row r="319" spans="1:7" s="3201" customFormat="1" ht="14.25" customHeight="1">
      <c r="A319" s="3212" t="s">
        <v>306</v>
      </c>
      <c r="B319" s="3212" t="s">
        <v>3037</v>
      </c>
      <c r="C319" s="3212"/>
      <c r="D319" s="3212"/>
      <c r="E319" s="3212"/>
      <c r="F319" s="3212">
        <v>1020</v>
      </c>
      <c r="G319" s="3225"/>
    </row>
    <row r="320" spans="1:7" s="3201" customFormat="1" ht="14.25" customHeight="1">
      <c r="A320" s="3212" t="s">
        <v>306</v>
      </c>
      <c r="B320" s="3212" t="s">
        <v>3040</v>
      </c>
      <c r="C320" s="3212"/>
      <c r="D320" s="3212"/>
      <c r="E320" s="3212"/>
      <c r="F320" s="3212">
        <v>1050</v>
      </c>
      <c r="G320" s="3225"/>
    </row>
    <row r="321" spans="1:7" s="3201" customFormat="1" ht="14.25" customHeight="1">
      <c r="A321" s="3212" t="s">
        <v>306</v>
      </c>
      <c r="B321" s="3212" t="s">
        <v>3042</v>
      </c>
      <c r="C321" s="3212"/>
      <c r="D321" s="3212"/>
      <c r="E321" s="3212"/>
      <c r="F321" s="3212">
        <v>960</v>
      </c>
      <c r="G321" s="3225"/>
    </row>
    <row r="322" spans="1:7" s="3201" customFormat="1" ht="14.25" customHeight="1">
      <c r="A322" s="3212" t="s">
        <v>306</v>
      </c>
      <c r="B322" s="3212" t="s">
        <v>3044</v>
      </c>
      <c r="C322" s="3212"/>
      <c r="D322" s="3212"/>
      <c r="E322" s="3212"/>
      <c r="F322" s="3212">
        <v>960</v>
      </c>
      <c r="G322" s="3225"/>
    </row>
    <row r="323" spans="1:7" s="3201" customFormat="1" ht="14.25" customHeight="1">
      <c r="A323" s="3212" t="s">
        <v>306</v>
      </c>
      <c r="B323" s="3212" t="s">
        <v>3046</v>
      </c>
      <c r="C323" s="3212"/>
      <c r="D323" s="3212"/>
      <c r="E323" s="3212"/>
      <c r="F323" s="3212">
        <v>880</v>
      </c>
      <c r="G323" s="3225"/>
    </row>
    <row r="324" spans="1:7" s="3201" customFormat="1" ht="14.25" customHeight="1">
      <c r="A324" s="3212" t="s">
        <v>306</v>
      </c>
      <c r="B324" s="3212" t="s">
        <v>3048</v>
      </c>
      <c r="C324" s="3212"/>
      <c r="D324" s="3212"/>
      <c r="E324" s="3212"/>
      <c r="F324" s="3212">
        <v>930</v>
      </c>
      <c r="G324" s="3225"/>
    </row>
    <row r="325" spans="1:7" s="3201" customFormat="1" ht="14.25" customHeight="1">
      <c r="A325" s="3212" t="s">
        <v>306</v>
      </c>
      <c r="B325" s="3213" t="s">
        <v>3050</v>
      </c>
      <c r="C325" s="3212"/>
      <c r="D325" s="3212"/>
      <c r="E325" s="3212"/>
      <c r="F325" s="3212">
        <v>900</v>
      </c>
      <c r="G325" s="3225"/>
    </row>
    <row r="326" spans="1:7" s="3201" customFormat="1" ht="14.25" customHeight="1" thickBot="1">
      <c r="A326" s="3226" t="s">
        <v>306</v>
      </c>
      <c r="B326" s="3219" t="s">
        <v>3052</v>
      </c>
      <c r="C326" s="3219"/>
      <c r="D326" s="3219"/>
      <c r="E326" s="3219"/>
      <c r="F326" s="3219">
        <v>790</v>
      </c>
      <c r="G326" s="3227"/>
    </row>
    <row r="327" spans="1:7" s="3201" customFormat="1" ht="14.25" customHeight="1">
      <c r="A327" s="3217" t="s">
        <v>307</v>
      </c>
      <c r="B327" s="3208" t="s">
        <v>3151</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3152</v>
      </c>
      <c r="C329" s="3212">
        <v>2730</v>
      </c>
      <c r="D329" s="3212">
        <v>2690</v>
      </c>
      <c r="E329" s="3212">
        <v>3100</v>
      </c>
      <c r="F329" s="3212">
        <v>660</v>
      </c>
      <c r="G329" s="3212">
        <v>1610</v>
      </c>
    </row>
    <row r="330" spans="1:7" s="3201" customFormat="1" ht="14.25" customHeight="1">
      <c r="A330" s="3212" t="s">
        <v>307</v>
      </c>
      <c r="B330" s="3212" t="s">
        <v>3153</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2886</v>
      </c>
      <c r="C332" s="3212">
        <v>3520</v>
      </c>
      <c r="D332" s="3212">
        <v>3480</v>
      </c>
      <c r="E332" s="3212">
        <v>3830</v>
      </c>
      <c r="F332" s="3212">
        <v>720</v>
      </c>
      <c r="G332" s="3212">
        <v>2090</v>
      </c>
    </row>
    <row r="333" spans="1:7" s="3201" customFormat="1" ht="14.25" customHeight="1">
      <c r="A333" s="3212" t="s">
        <v>307</v>
      </c>
      <c r="B333" s="3212" t="s">
        <v>3154</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2896</v>
      </c>
      <c r="C336" s="3212">
        <v>3570</v>
      </c>
      <c r="D336" s="3212">
        <v>3530</v>
      </c>
      <c r="E336" s="3212">
        <v>3880</v>
      </c>
      <c r="F336" s="3212">
        <v>770</v>
      </c>
      <c r="G336" s="3212">
        <v>2110</v>
      </c>
    </row>
    <row r="337" spans="1:10" s="3201" customFormat="1" ht="14.25" customHeight="1">
      <c r="A337" s="3212" t="s">
        <v>307</v>
      </c>
      <c r="B337" s="3212" t="s">
        <v>3155</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3156</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3157</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2921</v>
      </c>
      <c r="C345" s="3212">
        <v>3190</v>
      </c>
      <c r="D345" s="3212">
        <v>3140</v>
      </c>
      <c r="E345" s="3212">
        <v>3450</v>
      </c>
      <c r="F345" s="3212">
        <v>720</v>
      </c>
      <c r="G345" s="3212">
        <v>1880</v>
      </c>
      <c r="J345" s="3201"/>
    </row>
    <row r="346" spans="1:10">
      <c r="A346" s="3212" t="s">
        <v>307</v>
      </c>
      <c r="B346" s="3212" t="s">
        <v>3158</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2930</v>
      </c>
      <c r="C348" s="3212">
        <v>4000</v>
      </c>
      <c r="D348" s="3212">
        <v>3950</v>
      </c>
      <c r="E348" s="3212">
        <v>4430</v>
      </c>
      <c r="F348" s="3212">
        <v>760</v>
      </c>
      <c r="G348" s="3212">
        <v>2360</v>
      </c>
      <c r="J348" s="3201"/>
    </row>
    <row r="349" spans="1:10">
      <c r="A349" s="3212" t="s">
        <v>307</v>
      </c>
      <c r="B349" s="3212" t="s">
        <v>2935</v>
      </c>
      <c r="C349" s="3212">
        <v>3820</v>
      </c>
      <c r="D349" s="3212">
        <v>3780</v>
      </c>
      <c r="E349" s="3212">
        <v>4170</v>
      </c>
      <c r="F349" s="3212">
        <v>710</v>
      </c>
      <c r="G349" s="3212">
        <v>2260</v>
      </c>
      <c r="J349" s="3201"/>
    </row>
    <row r="350" spans="1:10">
      <c r="A350" s="3212" t="s">
        <v>307</v>
      </c>
      <c r="B350" s="3212" t="s">
        <v>3159</v>
      </c>
      <c r="C350" s="3212">
        <v>3760</v>
      </c>
      <c r="D350" s="3212">
        <v>3730</v>
      </c>
      <c r="E350" s="3212">
        <v>4100</v>
      </c>
      <c r="F350" s="3212">
        <v>800</v>
      </c>
      <c r="G350" s="3212">
        <v>2230</v>
      </c>
      <c r="J350" s="3201"/>
    </row>
    <row r="351" spans="1:10">
      <c r="A351" s="3212" t="s">
        <v>307</v>
      </c>
      <c r="B351" s="3212" t="s">
        <v>2943</v>
      </c>
      <c r="C351" s="3212">
        <v>3610</v>
      </c>
      <c r="D351" s="3212">
        <v>3580</v>
      </c>
      <c r="E351" s="3212">
        <v>3930</v>
      </c>
      <c r="F351" s="3212">
        <v>700</v>
      </c>
      <c r="G351" s="3212">
        <v>2140</v>
      </c>
      <c r="J351" s="3201"/>
    </row>
    <row r="352" spans="1:10">
      <c r="A352" s="3212" t="s">
        <v>307</v>
      </c>
      <c r="B352" s="3212" t="s">
        <v>2948</v>
      </c>
      <c r="C352" s="3212">
        <v>3670</v>
      </c>
      <c r="D352" s="3212">
        <v>3630</v>
      </c>
      <c r="E352" s="3212">
        <v>4000</v>
      </c>
      <c r="F352" s="3212">
        <v>750</v>
      </c>
      <c r="G352" s="3212">
        <v>2180</v>
      </c>
    </row>
    <row r="353" spans="1:7" s="3205" customFormat="1">
      <c r="A353" s="3212" t="s">
        <v>307</v>
      </c>
      <c r="B353" s="3212" t="s">
        <v>3160</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2968</v>
      </c>
      <c r="C355" s="3212">
        <v>3650</v>
      </c>
      <c r="D355" s="3212">
        <v>3610</v>
      </c>
      <c r="E355" s="3212">
        <v>4200</v>
      </c>
      <c r="F355" s="3212">
        <v>640</v>
      </c>
      <c r="G355" s="3212">
        <v>2160</v>
      </c>
    </row>
    <row r="356" spans="1:7" s="3205" customFormat="1">
      <c r="A356" s="3212" t="s">
        <v>307</v>
      </c>
      <c r="B356" s="3212" t="s">
        <v>2975</v>
      </c>
      <c r="C356" s="3212">
        <v>3260</v>
      </c>
      <c r="D356" s="3212">
        <v>3230</v>
      </c>
      <c r="E356" s="3212">
        <v>3740</v>
      </c>
      <c r="F356" s="3212">
        <v>600</v>
      </c>
      <c r="G356" s="3212">
        <v>1930</v>
      </c>
    </row>
    <row r="357" spans="1:7" s="3205" customFormat="1" ht="12" thickBot="1">
      <c r="A357" s="3220" t="s">
        <v>307</v>
      </c>
      <c r="B357" s="3223" t="s">
        <v>3161</v>
      </c>
      <c r="C357" s="3223">
        <v>3690</v>
      </c>
      <c r="D357" s="3223">
        <v>3650</v>
      </c>
      <c r="E357" s="3223">
        <v>4020</v>
      </c>
      <c r="F357" s="3223">
        <v>700</v>
      </c>
      <c r="G357" s="3223">
        <v>2190</v>
      </c>
    </row>
    <row r="358" spans="1:7" s="3205" customFormat="1">
      <c r="A358" s="3217" t="s">
        <v>3162</v>
      </c>
      <c r="B358" s="3208" t="s">
        <v>3163</v>
      </c>
      <c r="C358" s="3208">
        <v>2080</v>
      </c>
      <c r="D358" s="3208">
        <v>2040</v>
      </c>
      <c r="E358" s="3208">
        <v>2010</v>
      </c>
      <c r="F358" s="3208">
        <v>530</v>
      </c>
      <c r="G358" s="3224">
        <v>1230</v>
      </c>
    </row>
    <row r="359" spans="1:7" s="3205" customFormat="1">
      <c r="A359" s="3212" t="s">
        <v>3162</v>
      </c>
      <c r="B359" s="3212" t="s">
        <v>3164</v>
      </c>
      <c r="C359" s="3212">
        <v>1850</v>
      </c>
      <c r="D359" s="3212">
        <v>1820</v>
      </c>
      <c r="E359" s="3212">
        <v>1780</v>
      </c>
      <c r="F359" s="3212">
        <v>520</v>
      </c>
      <c r="G359" s="3225">
        <v>1100</v>
      </c>
    </row>
    <row r="360" spans="1:7" s="3205" customFormat="1">
      <c r="A360" s="3212" t="s">
        <v>3162</v>
      </c>
      <c r="B360" s="3212" t="s">
        <v>3165</v>
      </c>
      <c r="C360" s="3212">
        <v>2020</v>
      </c>
      <c r="D360" s="3212">
        <v>1990</v>
      </c>
      <c r="E360" s="3212">
        <v>1950</v>
      </c>
      <c r="F360" s="3212">
        <v>500</v>
      </c>
      <c r="G360" s="3225">
        <v>1200</v>
      </c>
    </row>
    <row r="361" spans="1:7" s="3205" customFormat="1">
      <c r="A361" s="3212" t="s">
        <v>3162</v>
      </c>
      <c r="B361" s="3212" t="s">
        <v>153</v>
      </c>
      <c r="C361" s="3212">
        <v>2260</v>
      </c>
      <c r="D361" s="3212">
        <v>2220</v>
      </c>
      <c r="E361" s="3212">
        <v>2180</v>
      </c>
      <c r="F361" s="3212">
        <v>580</v>
      </c>
      <c r="G361" s="3225">
        <v>1340</v>
      </c>
    </row>
    <row r="362" spans="1:7" s="3205" customFormat="1">
      <c r="A362" s="3212" t="s">
        <v>3162</v>
      </c>
      <c r="B362" s="3212" t="s">
        <v>3166</v>
      </c>
      <c r="C362" s="3212">
        <v>2650</v>
      </c>
      <c r="D362" s="3212">
        <v>2610</v>
      </c>
      <c r="E362" s="3212">
        <v>2570</v>
      </c>
      <c r="F362" s="3212">
        <v>630</v>
      </c>
      <c r="G362" s="3225">
        <v>1570</v>
      </c>
    </row>
    <row r="363" spans="1:7" s="3205" customFormat="1">
      <c r="A363" s="3212" t="s">
        <v>3162</v>
      </c>
      <c r="B363" s="3212" t="s">
        <v>2887</v>
      </c>
      <c r="C363" s="3212">
        <v>2390</v>
      </c>
      <c r="D363" s="3212">
        <v>2360</v>
      </c>
      <c r="E363" s="3212">
        <v>2320</v>
      </c>
      <c r="F363" s="3212">
        <v>600</v>
      </c>
      <c r="G363" s="3225">
        <v>1420</v>
      </c>
    </row>
    <row r="364" spans="1:7" s="3205" customFormat="1">
      <c r="A364" s="3212" t="s">
        <v>3162</v>
      </c>
      <c r="B364" s="3212" t="s">
        <v>3167</v>
      </c>
      <c r="C364" s="3212">
        <v>2050</v>
      </c>
      <c r="D364" s="3212">
        <v>2030</v>
      </c>
      <c r="E364" s="3212">
        <v>1990</v>
      </c>
      <c r="F364" s="3212">
        <v>550</v>
      </c>
      <c r="G364" s="3225">
        <v>1220</v>
      </c>
    </row>
    <row r="365" spans="1:7" s="3205" customFormat="1">
      <c r="A365" s="3212" t="s">
        <v>3162</v>
      </c>
      <c r="B365" s="3212" t="s">
        <v>200</v>
      </c>
      <c r="C365" s="3212">
        <v>2140</v>
      </c>
      <c r="D365" s="3212">
        <v>2100</v>
      </c>
      <c r="E365" s="3212">
        <v>2060</v>
      </c>
      <c r="F365" s="3212">
        <v>540</v>
      </c>
      <c r="G365" s="3225">
        <v>1270</v>
      </c>
    </row>
    <row r="366" spans="1:7" s="3205" customFormat="1">
      <c r="A366" s="3212" t="s">
        <v>3162</v>
      </c>
      <c r="B366" s="3212" t="s">
        <v>2894</v>
      </c>
      <c r="C366" s="3212">
        <v>2410</v>
      </c>
      <c r="D366" s="3212">
        <v>2370</v>
      </c>
      <c r="E366" s="3212">
        <v>2330</v>
      </c>
      <c r="F366" s="3212">
        <v>570</v>
      </c>
      <c r="G366" s="3225">
        <v>1440</v>
      </c>
    </row>
    <row r="367" spans="1:7" s="3205" customFormat="1">
      <c r="A367" s="3212" t="s">
        <v>3162</v>
      </c>
      <c r="B367" s="3212" t="s">
        <v>3168</v>
      </c>
      <c r="C367" s="3212">
        <v>2300</v>
      </c>
      <c r="D367" s="3212">
        <v>2260</v>
      </c>
      <c r="E367" s="3212">
        <v>2220</v>
      </c>
      <c r="F367" s="3212">
        <v>560</v>
      </c>
      <c r="G367" s="3225">
        <v>1370</v>
      </c>
    </row>
    <row r="368" spans="1:7" s="3205" customFormat="1">
      <c r="A368" s="3212" t="s">
        <v>3162</v>
      </c>
      <c r="B368" s="3212" t="s">
        <v>3169</v>
      </c>
      <c r="C368" s="3212">
        <v>2430</v>
      </c>
      <c r="D368" s="3212">
        <v>2390</v>
      </c>
      <c r="E368" s="3212">
        <v>2350</v>
      </c>
      <c r="F368" s="3212">
        <v>570</v>
      </c>
      <c r="G368" s="3225">
        <v>1450</v>
      </c>
    </row>
    <row r="369" spans="1:7" s="3205" customFormat="1">
      <c r="A369" s="3212" t="s">
        <v>3162</v>
      </c>
      <c r="B369" s="3212" t="s">
        <v>214</v>
      </c>
      <c r="C369" s="3212">
        <v>2320</v>
      </c>
      <c r="D369" s="3212">
        <v>2290</v>
      </c>
      <c r="E369" s="3212">
        <v>2250</v>
      </c>
      <c r="F369" s="3212">
        <v>550</v>
      </c>
      <c r="G369" s="3225">
        <v>1380</v>
      </c>
    </row>
    <row r="370" spans="1:7" s="3205" customFormat="1">
      <c r="A370" s="3212" t="s">
        <v>3162</v>
      </c>
      <c r="B370" s="3212" t="s">
        <v>221</v>
      </c>
      <c r="C370" s="3212">
        <v>2190</v>
      </c>
      <c r="D370" s="3212">
        <v>2170</v>
      </c>
      <c r="E370" s="3212">
        <v>2130</v>
      </c>
      <c r="F370" s="3212">
        <v>530</v>
      </c>
      <c r="G370" s="3225">
        <v>1310</v>
      </c>
    </row>
    <row r="371" spans="1:7" s="3205" customFormat="1">
      <c r="A371" s="3212" t="s">
        <v>3162</v>
      </c>
      <c r="B371" s="3212" t="s">
        <v>229</v>
      </c>
      <c r="C371" s="3212">
        <v>2460</v>
      </c>
      <c r="D371" s="3212">
        <v>2420</v>
      </c>
      <c r="E371" s="3212">
        <v>2370</v>
      </c>
      <c r="F371" s="3212">
        <v>560</v>
      </c>
      <c r="G371" s="3225">
        <v>1470</v>
      </c>
    </row>
    <row r="372" spans="1:7" s="3205" customFormat="1">
      <c r="A372" s="3212" t="s">
        <v>3162</v>
      </c>
      <c r="B372" s="3212" t="s">
        <v>3170</v>
      </c>
      <c r="C372" s="3212">
        <v>2250</v>
      </c>
      <c r="D372" s="3212">
        <v>2210</v>
      </c>
      <c r="E372" s="3212">
        <v>2180</v>
      </c>
      <c r="F372" s="3212">
        <v>550</v>
      </c>
      <c r="G372" s="3225">
        <v>1340</v>
      </c>
    </row>
    <row r="373" spans="1:7" s="3205" customFormat="1">
      <c r="A373" s="3212" t="s">
        <v>3162</v>
      </c>
      <c r="B373" s="3212" t="s">
        <v>258</v>
      </c>
      <c r="C373" s="3212">
        <v>2210</v>
      </c>
      <c r="D373" s="3212">
        <v>2190</v>
      </c>
      <c r="E373" s="3212">
        <v>2150</v>
      </c>
      <c r="F373" s="3212">
        <v>530</v>
      </c>
      <c r="G373" s="3225">
        <v>1320</v>
      </c>
    </row>
    <row r="374" spans="1:7" s="3205" customFormat="1">
      <c r="A374" s="3212" t="s">
        <v>3162</v>
      </c>
      <c r="B374" s="3212" t="s">
        <v>266</v>
      </c>
      <c r="C374" s="3212">
        <v>2320</v>
      </c>
      <c r="D374" s="3212">
        <v>2280</v>
      </c>
      <c r="E374" s="3212">
        <v>2230</v>
      </c>
      <c r="F374" s="3212">
        <v>580</v>
      </c>
      <c r="G374" s="3225">
        <v>1380</v>
      </c>
    </row>
    <row r="375" spans="1:7" s="3205" customFormat="1">
      <c r="A375" s="3212" t="s">
        <v>3162</v>
      </c>
      <c r="B375" s="3212" t="s">
        <v>3171</v>
      </c>
      <c r="C375" s="3212">
        <v>2090</v>
      </c>
      <c r="D375" s="3212">
        <v>2050</v>
      </c>
      <c r="E375" s="3212">
        <v>2020</v>
      </c>
      <c r="F375" s="3212">
        <v>520</v>
      </c>
      <c r="G375" s="3225">
        <v>1240</v>
      </c>
    </row>
    <row r="376" spans="1:7" s="3205" customFormat="1">
      <c r="A376" s="3212" t="s">
        <v>3162</v>
      </c>
      <c r="B376" s="3212" t="s">
        <v>277</v>
      </c>
      <c r="C376" s="3212">
        <v>2010</v>
      </c>
      <c r="D376" s="3212">
        <v>1980</v>
      </c>
      <c r="E376" s="3212">
        <v>1940</v>
      </c>
      <c r="F376" s="3212">
        <v>540</v>
      </c>
      <c r="G376" s="3225">
        <v>1190</v>
      </c>
    </row>
    <row r="377" spans="1:7" s="3205" customFormat="1" ht="12" thickBot="1">
      <c r="A377" s="3220" t="s">
        <v>3162</v>
      </c>
      <c r="B377" s="3223" t="s">
        <v>2924</v>
      </c>
      <c r="C377" s="3223">
        <v>1930</v>
      </c>
      <c r="D377" s="3223">
        <v>1890</v>
      </c>
      <c r="E377" s="3223">
        <v>1860</v>
      </c>
      <c r="F377" s="3223">
        <v>530</v>
      </c>
      <c r="G377" s="3228">
        <v>1150</v>
      </c>
    </row>
    <row r="378" spans="1:7" s="3205" customFormat="1">
      <c r="A378" s="3229" t="s">
        <v>3172</v>
      </c>
      <c r="B378" s="3208" t="s">
        <v>3173</v>
      </c>
      <c r="C378" s="3208">
        <v>1520</v>
      </c>
      <c r="D378" s="3208">
        <v>1490</v>
      </c>
      <c r="E378" s="3208">
        <v>1460</v>
      </c>
      <c r="F378" s="3208">
        <v>460</v>
      </c>
      <c r="G378" s="3224">
        <v>940</v>
      </c>
    </row>
    <row r="379" spans="1:7" s="3205" customFormat="1">
      <c r="A379" s="3230" t="s">
        <v>3172</v>
      </c>
      <c r="B379" s="3212" t="s">
        <v>3174</v>
      </c>
      <c r="C379" s="3212">
        <v>1500</v>
      </c>
      <c r="D379" s="3212">
        <v>1470</v>
      </c>
      <c r="E379" s="3212">
        <v>1430</v>
      </c>
      <c r="F379" s="3212">
        <v>460</v>
      </c>
      <c r="G379" s="3225">
        <v>920</v>
      </c>
    </row>
    <row r="380" spans="1:7" s="3205" customFormat="1">
      <c r="A380" s="3230" t="s">
        <v>3172</v>
      </c>
      <c r="B380" s="3212" t="s">
        <v>3175</v>
      </c>
      <c r="C380" s="3212">
        <v>1620</v>
      </c>
      <c r="D380" s="3212">
        <v>1590</v>
      </c>
      <c r="E380" s="3212">
        <v>1560</v>
      </c>
      <c r="F380" s="3212">
        <v>480</v>
      </c>
      <c r="G380" s="3225">
        <v>1000</v>
      </c>
    </row>
    <row r="381" spans="1:7" s="3205" customFormat="1">
      <c r="A381" s="3230" t="s">
        <v>3172</v>
      </c>
      <c r="B381" s="3212" t="s">
        <v>3176</v>
      </c>
      <c r="C381" s="3212">
        <v>1460</v>
      </c>
      <c r="D381" s="3212">
        <v>1430</v>
      </c>
      <c r="E381" s="3212">
        <v>1390</v>
      </c>
      <c r="F381" s="3212">
        <v>450</v>
      </c>
      <c r="G381" s="3225">
        <v>900</v>
      </c>
    </row>
    <row r="382" spans="1:7" s="3205" customFormat="1">
      <c r="A382" s="3230" t="s">
        <v>3172</v>
      </c>
      <c r="B382" s="3212" t="s">
        <v>3177</v>
      </c>
      <c r="C382" s="3212">
        <v>1310</v>
      </c>
      <c r="D382" s="3212">
        <v>1280</v>
      </c>
      <c r="E382" s="3212">
        <v>1250</v>
      </c>
      <c r="F382" s="3212">
        <v>440</v>
      </c>
      <c r="G382" s="3225">
        <v>800</v>
      </c>
    </row>
    <row r="383" spans="1:7" s="3205" customFormat="1">
      <c r="A383" s="3230" t="s">
        <v>3172</v>
      </c>
      <c r="B383" s="3212" t="s">
        <v>3178</v>
      </c>
      <c r="C383" s="3212">
        <v>1260</v>
      </c>
      <c r="D383" s="3212">
        <v>1230</v>
      </c>
      <c r="E383" s="3212">
        <v>1200</v>
      </c>
      <c r="F383" s="3212">
        <v>420</v>
      </c>
      <c r="G383" s="3225">
        <v>770</v>
      </c>
    </row>
    <row r="384" spans="1:7" s="3205" customFormat="1" ht="12" thickBot="1">
      <c r="A384" s="3231" t="s">
        <v>3172</v>
      </c>
      <c r="B384" s="3219" t="s">
        <v>3179</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86" t="s">
        <v>3180</v>
      </c>
      <c r="B1" s="3786"/>
    </row>
    <row r="2" spans="1:7" ht="14.25" thickBot="1">
      <c r="A2" s="3234"/>
      <c r="B2" s="3234"/>
    </row>
    <row r="3" spans="1:7" ht="14.25" thickBot="1">
      <c r="A3" s="3234"/>
      <c r="B3" s="3234"/>
      <c r="C3" s="3235" t="s">
        <v>2810</v>
      </c>
      <c r="D3" s="3235" t="s">
        <v>2866</v>
      </c>
      <c r="E3" s="3235" t="s">
        <v>2812</v>
      </c>
      <c r="F3" s="3235" t="s">
        <v>2867</v>
      </c>
      <c r="G3" s="3235" t="s">
        <v>2630</v>
      </c>
    </row>
    <row r="4" spans="1:7" ht="14.25" thickBot="1">
      <c r="A4" s="3236" t="s">
        <v>2865</v>
      </c>
      <c r="B4" s="3237" t="s">
        <v>2871</v>
      </c>
      <c r="C4" s="3235"/>
      <c r="D4" s="3235"/>
      <c r="E4" s="3235"/>
      <c r="F4" s="3235"/>
      <c r="G4" s="3235"/>
    </row>
    <row r="5" spans="1:7">
      <c r="A5" s="3238" t="s">
        <v>2839</v>
      </c>
      <c r="B5" s="3239" t="s">
        <v>2853</v>
      </c>
      <c r="C5" s="3240">
        <v>9.8000000000000004E-2</v>
      </c>
      <c r="D5" s="3240">
        <v>8.6999999999999994E-2</v>
      </c>
      <c r="E5" s="3240">
        <v>8.6999999999999994E-2</v>
      </c>
      <c r="F5" s="3240">
        <v>9.8000000000000004E-2</v>
      </c>
      <c r="G5" s="3241">
        <v>9.5000000000000001E-2</v>
      </c>
    </row>
    <row r="6" spans="1:7">
      <c r="A6" s="3242" t="s">
        <v>144</v>
      </c>
      <c r="B6" s="3243" t="s">
        <v>2868</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2854</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2904</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2922</v>
      </c>
      <c r="C29" s="3252"/>
      <c r="D29" s="3248">
        <v>5.1999999999999998E-2</v>
      </c>
      <c r="E29" s="3248">
        <v>7.0000000000000007E-2</v>
      </c>
      <c r="F29" s="3252"/>
      <c r="G29" s="3250">
        <v>7.0999999999999994E-2</v>
      </c>
    </row>
    <row r="30" spans="1:7">
      <c r="A30" s="3253" t="s">
        <v>296</v>
      </c>
      <c r="B30" s="3239" t="s">
        <v>2855</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2841</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2925</v>
      </c>
      <c r="C50" s="3244">
        <v>9.8000000000000004E-2</v>
      </c>
      <c r="D50" s="3244">
        <v>7.2999999999999995E-2</v>
      </c>
      <c r="E50" s="3244">
        <v>7.0999999999999994E-2</v>
      </c>
      <c r="F50" s="3255"/>
      <c r="G50" s="3245">
        <v>7.2999999999999995E-2</v>
      </c>
    </row>
    <row r="51" spans="1:7">
      <c r="A51" s="3254" t="s">
        <v>296</v>
      </c>
      <c r="B51" s="3243" t="s">
        <v>2927</v>
      </c>
      <c r="C51" s="3244">
        <v>9.9000000000000005E-2</v>
      </c>
      <c r="D51" s="3244">
        <v>8.5000000000000006E-2</v>
      </c>
      <c r="E51" s="3244">
        <v>6.3E-2</v>
      </c>
      <c r="F51" s="3255"/>
      <c r="G51" s="3245">
        <v>9.6000000000000002E-2</v>
      </c>
    </row>
    <row r="52" spans="1:7">
      <c r="A52" s="3254" t="s">
        <v>296</v>
      </c>
      <c r="B52" s="3243" t="s">
        <v>2931</v>
      </c>
      <c r="C52" s="3244">
        <v>7.3999999999999996E-2</v>
      </c>
      <c r="D52" s="3244">
        <v>9.6000000000000002E-2</v>
      </c>
      <c r="E52" s="3244">
        <v>0.05</v>
      </c>
      <c r="F52" s="3255"/>
      <c r="G52" s="3245">
        <v>9.8000000000000004E-2</v>
      </c>
    </row>
    <row r="53" spans="1:7">
      <c r="A53" s="3254" t="s">
        <v>296</v>
      </c>
      <c r="B53" s="3243" t="s">
        <v>2936</v>
      </c>
      <c r="C53" s="3244">
        <v>8.5999999999999993E-2</v>
      </c>
      <c r="D53" s="3255"/>
      <c r="E53" s="3244">
        <v>9.1999999999999998E-2</v>
      </c>
      <c r="F53" s="3255"/>
      <c r="G53" s="3256"/>
    </row>
    <row r="54" spans="1:7" ht="14.25" thickBot="1">
      <c r="A54" s="3257" t="s">
        <v>296</v>
      </c>
      <c r="B54" s="3247" t="s">
        <v>2939</v>
      </c>
      <c r="C54" s="3248">
        <v>9.6000000000000002E-2</v>
      </c>
      <c r="D54" s="3249"/>
      <c r="E54" s="3258"/>
      <c r="F54" s="3249"/>
      <c r="G54" s="3259"/>
    </row>
    <row r="55" spans="1:7">
      <c r="A55" s="3253" t="s">
        <v>110</v>
      </c>
      <c r="B55" s="3239" t="s">
        <v>2856</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2937</v>
      </c>
      <c r="C78" s="3244">
        <v>0.1</v>
      </c>
      <c r="D78" s="3244">
        <v>8.5000000000000006E-2</v>
      </c>
      <c r="E78" s="3244">
        <v>9.6000000000000002E-2</v>
      </c>
      <c r="F78" s="3255"/>
      <c r="G78" s="3245">
        <v>9.6000000000000002E-2</v>
      </c>
    </row>
    <row r="79" spans="1:7">
      <c r="A79" s="3254" t="s">
        <v>110</v>
      </c>
      <c r="B79" s="3243" t="s">
        <v>2940</v>
      </c>
      <c r="C79" s="3244">
        <v>0.05</v>
      </c>
      <c r="D79" s="3244">
        <v>9.6000000000000002E-2</v>
      </c>
      <c r="E79" s="3244">
        <v>9.5000000000000001E-2</v>
      </c>
      <c r="F79" s="3255"/>
      <c r="G79" s="3245">
        <v>9.8000000000000004E-2</v>
      </c>
    </row>
    <row r="80" spans="1:7">
      <c r="A80" s="3254" t="s">
        <v>110</v>
      </c>
      <c r="B80" s="3243" t="s">
        <v>2944</v>
      </c>
      <c r="C80" s="3244">
        <v>8.5999999999999993E-2</v>
      </c>
      <c r="D80" s="3260"/>
      <c r="E80" s="3244">
        <v>0.1</v>
      </c>
      <c r="F80" s="3255"/>
      <c r="G80" s="3256"/>
    </row>
    <row r="81" spans="1:7">
      <c r="A81" s="3254" t="s">
        <v>110</v>
      </c>
      <c r="B81" s="3243" t="s">
        <v>2949</v>
      </c>
      <c r="C81" s="3244">
        <v>9.6000000000000002E-2</v>
      </c>
      <c r="D81" s="3255"/>
      <c r="E81" s="3244">
        <v>9.8000000000000004E-2</v>
      </c>
      <c r="F81" s="3255"/>
      <c r="G81" s="3256"/>
    </row>
    <row r="82" spans="1:7">
      <c r="A82" s="3254" t="s">
        <v>110</v>
      </c>
      <c r="B82" s="3243" t="s">
        <v>2956</v>
      </c>
      <c r="C82" s="3260"/>
      <c r="D82" s="3255"/>
      <c r="E82" s="3244">
        <v>7.6999999999999999E-2</v>
      </c>
      <c r="F82" s="3255"/>
      <c r="G82" s="3256"/>
    </row>
    <row r="83" spans="1:7">
      <c r="A83" s="3254" t="s">
        <v>110</v>
      </c>
      <c r="B83" s="3243" t="s">
        <v>2962</v>
      </c>
      <c r="C83" s="3255"/>
      <c r="D83" s="3255"/>
      <c r="E83" s="3255"/>
      <c r="F83" s="3244">
        <v>0.1</v>
      </c>
      <c r="G83" s="3261"/>
    </row>
    <row r="84" spans="1:7">
      <c r="A84" s="3254" t="s">
        <v>110</v>
      </c>
      <c r="B84" s="3243" t="s">
        <v>2969</v>
      </c>
      <c r="C84" s="3255"/>
      <c r="D84" s="3255"/>
      <c r="E84" s="3255"/>
      <c r="F84" s="3244">
        <v>0.1</v>
      </c>
      <c r="G84" s="3261"/>
    </row>
    <row r="85" spans="1:7">
      <c r="A85" s="3254" t="s">
        <v>110</v>
      </c>
      <c r="B85" s="3243" t="s">
        <v>2976</v>
      </c>
      <c r="C85" s="3255"/>
      <c r="D85" s="3255"/>
      <c r="E85" s="3255"/>
      <c r="F85" s="3244">
        <v>0.1</v>
      </c>
      <c r="G85" s="3261"/>
    </row>
    <row r="86" spans="1:7" ht="14.25" thickBot="1">
      <c r="A86" s="3257" t="s">
        <v>110</v>
      </c>
      <c r="B86" s="3247" t="s">
        <v>2981</v>
      </c>
      <c r="C86" s="3248">
        <v>9.8000000000000004E-2</v>
      </c>
      <c r="D86" s="3248">
        <v>9.8000000000000004E-2</v>
      </c>
      <c r="E86" s="3248">
        <v>9.6000000000000002E-2</v>
      </c>
      <c r="F86" s="3258"/>
      <c r="G86" s="3250">
        <v>0.1</v>
      </c>
    </row>
    <row r="87" spans="1:7">
      <c r="A87" s="3253" t="s">
        <v>303</v>
      </c>
      <c r="B87" s="3239" t="s">
        <v>2857</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2950</v>
      </c>
      <c r="C113" s="3244">
        <v>0.1</v>
      </c>
      <c r="D113" s="3244">
        <v>0.1</v>
      </c>
      <c r="E113" s="3255"/>
      <c r="F113" s="3255"/>
      <c r="G113" s="3245">
        <v>0.1</v>
      </c>
    </row>
    <row r="114" spans="1:7">
      <c r="A114" s="3254" t="s">
        <v>303</v>
      </c>
      <c r="B114" s="3243" t="s">
        <v>2957</v>
      </c>
      <c r="C114" s="3244">
        <v>9.7000000000000003E-2</v>
      </c>
      <c r="D114" s="3244">
        <v>9.7000000000000003E-2</v>
      </c>
      <c r="E114" s="3255"/>
      <c r="F114" s="3255"/>
      <c r="G114" s="3245">
        <v>9.9000000000000005E-2</v>
      </c>
    </row>
    <row r="115" spans="1:7">
      <c r="A115" s="3254" t="s">
        <v>303</v>
      </c>
      <c r="B115" s="3243" t="s">
        <v>2963</v>
      </c>
      <c r="C115" s="3244">
        <v>0.1</v>
      </c>
      <c r="D115" s="3244">
        <v>0.1</v>
      </c>
      <c r="E115" s="3255"/>
      <c r="F115" s="3255"/>
      <c r="G115" s="3245">
        <v>0.1</v>
      </c>
    </row>
    <row r="116" spans="1:7">
      <c r="A116" s="3254" t="s">
        <v>303</v>
      </c>
      <c r="B116" s="3243" t="s">
        <v>2970</v>
      </c>
      <c r="C116" s="3244">
        <v>0.1</v>
      </c>
      <c r="D116" s="3244">
        <v>0.1</v>
      </c>
      <c r="E116" s="3255"/>
      <c r="F116" s="3255"/>
      <c r="G116" s="3245">
        <v>0.1</v>
      </c>
    </row>
    <row r="117" spans="1:7">
      <c r="A117" s="3254" t="s">
        <v>303</v>
      </c>
      <c r="B117" s="3243" t="s">
        <v>2977</v>
      </c>
      <c r="C117" s="3244">
        <v>9.7000000000000003E-2</v>
      </c>
      <c r="D117" s="3244">
        <v>9.7000000000000003E-2</v>
      </c>
      <c r="E117" s="3255"/>
      <c r="F117" s="3255"/>
      <c r="G117" s="3245">
        <v>9.7000000000000003E-2</v>
      </c>
    </row>
    <row r="118" spans="1:7">
      <c r="A118" s="3254" t="s">
        <v>303</v>
      </c>
      <c r="B118" s="3243" t="s">
        <v>2982</v>
      </c>
      <c r="C118" s="3244">
        <v>0.1</v>
      </c>
      <c r="D118" s="3244">
        <v>0.1</v>
      </c>
      <c r="E118" s="3255"/>
      <c r="F118" s="3255"/>
      <c r="G118" s="3245">
        <v>0.1</v>
      </c>
    </row>
    <row r="119" spans="1:7">
      <c r="A119" s="3254" t="s">
        <v>303</v>
      </c>
      <c r="B119" s="3243" t="s">
        <v>2986</v>
      </c>
      <c r="C119" s="3244">
        <v>5.0999999999999997E-2</v>
      </c>
      <c r="D119" s="3244">
        <v>5.1999999999999998E-2</v>
      </c>
      <c r="E119" s="3255"/>
      <c r="F119" s="3260"/>
      <c r="G119" s="3245">
        <v>0.06</v>
      </c>
    </row>
    <row r="120" spans="1:7">
      <c r="A120" s="3254" t="s">
        <v>303</v>
      </c>
      <c r="B120" s="3243" t="s">
        <v>2990</v>
      </c>
      <c r="C120" s="3255"/>
      <c r="D120" s="3255"/>
      <c r="E120" s="3255"/>
      <c r="F120" s="3244">
        <v>0.1</v>
      </c>
      <c r="G120" s="3261"/>
    </row>
    <row r="121" spans="1:7">
      <c r="A121" s="3254" t="s">
        <v>303</v>
      </c>
      <c r="B121" s="3243" t="s">
        <v>2995</v>
      </c>
      <c r="C121" s="3255"/>
      <c r="D121" s="3255"/>
      <c r="E121" s="3255"/>
      <c r="F121" s="3244">
        <v>0.1</v>
      </c>
      <c r="G121" s="3261"/>
    </row>
    <row r="122" spans="1:7">
      <c r="A122" s="3254" t="s">
        <v>303</v>
      </c>
      <c r="B122" s="3243" t="s">
        <v>3000</v>
      </c>
      <c r="C122" s="3244">
        <v>0.1</v>
      </c>
      <c r="D122" s="3244">
        <v>0.1</v>
      </c>
      <c r="E122" s="3244">
        <v>9.8000000000000004E-2</v>
      </c>
      <c r="F122" s="3244">
        <v>0.1</v>
      </c>
      <c r="G122" s="3245">
        <v>0.1</v>
      </c>
    </row>
    <row r="123" spans="1:7">
      <c r="A123" s="3254" t="s">
        <v>303</v>
      </c>
      <c r="B123" s="3243" t="s">
        <v>3005</v>
      </c>
      <c r="C123" s="3244">
        <v>0.1</v>
      </c>
      <c r="D123" s="3244">
        <v>0.1</v>
      </c>
      <c r="E123" s="3244">
        <v>9.8000000000000004E-2</v>
      </c>
      <c r="F123" s="3244">
        <v>0.1</v>
      </c>
      <c r="G123" s="3245">
        <v>0.1</v>
      </c>
    </row>
    <row r="124" spans="1:7">
      <c r="A124" s="3254" t="s">
        <v>303</v>
      </c>
      <c r="B124" s="3243" t="s">
        <v>3010</v>
      </c>
      <c r="C124" s="3244">
        <v>0.1</v>
      </c>
      <c r="D124" s="3244">
        <v>0.1</v>
      </c>
      <c r="E124" s="3244">
        <v>9.8000000000000004E-2</v>
      </c>
      <c r="F124" s="3260"/>
      <c r="G124" s="3245">
        <v>0.1</v>
      </c>
    </row>
    <row r="125" spans="1:7">
      <c r="A125" s="3254" t="s">
        <v>303</v>
      </c>
      <c r="B125" s="3243" t="s">
        <v>3015</v>
      </c>
      <c r="C125" s="3244">
        <v>9.8000000000000004E-2</v>
      </c>
      <c r="D125" s="3244">
        <v>9.8000000000000004E-2</v>
      </c>
      <c r="E125" s="3244">
        <v>9.6000000000000002E-2</v>
      </c>
      <c r="F125" s="3260"/>
      <c r="G125" s="3245">
        <v>0.1</v>
      </c>
    </row>
    <row r="126" spans="1:7" ht="14.25" thickBot="1">
      <c r="A126" s="3257" t="s">
        <v>303</v>
      </c>
      <c r="B126" s="3247" t="s">
        <v>3181</v>
      </c>
      <c r="C126" s="3248">
        <v>0.1</v>
      </c>
      <c r="D126" s="3248">
        <v>0.1</v>
      </c>
      <c r="E126" s="3248">
        <v>9.8000000000000004E-2</v>
      </c>
      <c r="F126" s="3248">
        <v>0.1</v>
      </c>
      <c r="G126" s="3250">
        <v>0.1</v>
      </c>
    </row>
    <row r="127" spans="1:7">
      <c r="A127" s="3253" t="s">
        <v>29</v>
      </c>
      <c r="B127" s="3239" t="s">
        <v>2858</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2928</v>
      </c>
      <c r="C148" s="3244">
        <v>0.13</v>
      </c>
      <c r="D148" s="3244">
        <v>0.13</v>
      </c>
      <c r="E148" s="3244">
        <v>0.13</v>
      </c>
      <c r="F148" s="3255"/>
      <c r="G148" s="3245">
        <v>0.13</v>
      </c>
    </row>
    <row r="149" spans="1:7">
      <c r="A149" s="3254" t="s">
        <v>29</v>
      </c>
      <c r="B149" s="3243" t="s">
        <v>2932</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2951</v>
      </c>
      <c r="C153" s="3244">
        <v>0.13</v>
      </c>
      <c r="D153" s="3244">
        <v>0.13</v>
      </c>
      <c r="E153" s="3244">
        <v>0.13</v>
      </c>
      <c r="F153" s="3244">
        <v>0.13</v>
      </c>
      <c r="G153" s="3245">
        <v>0.13</v>
      </c>
    </row>
    <row r="154" spans="1:7">
      <c r="A154" s="3254" t="s">
        <v>29</v>
      </c>
      <c r="B154" s="3243" t="s">
        <v>2958</v>
      </c>
      <c r="C154" s="3244">
        <v>0.121</v>
      </c>
      <c r="D154" s="3244">
        <v>0.121</v>
      </c>
      <c r="E154" s="3244">
        <v>0.105</v>
      </c>
      <c r="F154" s="3244">
        <v>0.121</v>
      </c>
      <c r="G154" s="3245">
        <v>0.123</v>
      </c>
    </row>
    <row r="155" spans="1:7">
      <c r="A155" s="3254" t="s">
        <v>29</v>
      </c>
      <c r="B155" s="3243" t="s">
        <v>2964</v>
      </c>
      <c r="C155" s="3244">
        <v>0.1</v>
      </c>
      <c r="D155" s="3244">
        <v>0.1</v>
      </c>
      <c r="E155" s="3244">
        <v>0.1</v>
      </c>
      <c r="F155" s="3244">
        <v>0.1</v>
      </c>
      <c r="G155" s="3245">
        <v>0.1</v>
      </c>
    </row>
    <row r="156" spans="1:7">
      <c r="A156" s="3254" t="s">
        <v>29</v>
      </c>
      <c r="B156" s="3243" t="s">
        <v>2971</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2991</v>
      </c>
      <c r="C160" s="3244">
        <v>0.13</v>
      </c>
      <c r="D160" s="3244">
        <v>0.13</v>
      </c>
      <c r="E160" s="3244">
        <v>0.124</v>
      </c>
      <c r="F160" s="3244">
        <v>0.126</v>
      </c>
      <c r="G160" s="3245">
        <v>0.13</v>
      </c>
    </row>
    <row r="161" spans="1:7">
      <c r="A161" s="3254" t="s">
        <v>29</v>
      </c>
      <c r="B161" s="3243" t="s">
        <v>2996</v>
      </c>
      <c r="C161" s="3244">
        <v>0.13</v>
      </c>
      <c r="D161" s="3244">
        <v>0.13</v>
      </c>
      <c r="E161" s="3244">
        <v>0.124</v>
      </c>
      <c r="F161" s="3244">
        <v>0.127</v>
      </c>
      <c r="G161" s="3245">
        <v>0.13</v>
      </c>
    </row>
    <row r="162" spans="1:7">
      <c r="A162" s="3254" t="s">
        <v>29</v>
      </c>
      <c r="B162" s="3243" t="s">
        <v>3001</v>
      </c>
      <c r="C162" s="3244">
        <v>0.1</v>
      </c>
      <c r="D162" s="3244">
        <v>0.1</v>
      </c>
      <c r="E162" s="3244">
        <v>0.1</v>
      </c>
      <c r="F162" s="3244">
        <v>0.121</v>
      </c>
      <c r="G162" s="3245">
        <v>0.105</v>
      </c>
    </row>
    <row r="163" spans="1:7">
      <c r="A163" s="3254" t="s">
        <v>29</v>
      </c>
      <c r="B163" s="3243" t="s">
        <v>3006</v>
      </c>
      <c r="C163" s="3244">
        <v>0.1</v>
      </c>
      <c r="D163" s="3244">
        <v>0.1</v>
      </c>
      <c r="E163" s="3244">
        <v>0.1</v>
      </c>
      <c r="F163" s="3244">
        <v>0.1</v>
      </c>
      <c r="G163" s="3245">
        <v>0.1</v>
      </c>
    </row>
    <row r="164" spans="1:7">
      <c r="A164" s="3254" t="s">
        <v>29</v>
      </c>
      <c r="B164" s="3243" t="s">
        <v>3011</v>
      </c>
      <c r="C164" s="3260"/>
      <c r="D164" s="3260"/>
      <c r="E164" s="3260"/>
      <c r="F164" s="3244">
        <v>0.1</v>
      </c>
      <c r="G164" s="3256"/>
    </row>
    <row r="165" spans="1:7">
      <c r="A165" s="3254" t="s">
        <v>29</v>
      </c>
      <c r="B165" s="3243" t="s">
        <v>3182</v>
      </c>
      <c r="C165" s="3244">
        <v>0.126</v>
      </c>
      <c r="D165" s="3244">
        <v>0.126</v>
      </c>
      <c r="E165" s="3244">
        <v>0.11899999999999999</v>
      </c>
      <c r="F165" s="3244">
        <v>0.13</v>
      </c>
      <c r="G165" s="3245">
        <v>0.128</v>
      </c>
    </row>
    <row r="166" spans="1:7">
      <c r="A166" s="3254" t="s">
        <v>29</v>
      </c>
      <c r="B166" s="3243" t="s">
        <v>3021</v>
      </c>
      <c r="C166" s="3244">
        <v>0.129</v>
      </c>
      <c r="D166" s="3244">
        <v>0.129</v>
      </c>
      <c r="E166" s="3244">
        <v>0.123</v>
      </c>
      <c r="F166" s="3244">
        <v>0.128</v>
      </c>
      <c r="G166" s="3245">
        <v>0.13</v>
      </c>
    </row>
    <row r="167" spans="1:7">
      <c r="A167" s="3254" t="s">
        <v>29</v>
      </c>
      <c r="B167" s="3243" t="s">
        <v>3025</v>
      </c>
      <c r="C167" s="3244">
        <v>0.125</v>
      </c>
      <c r="D167" s="3244">
        <v>0.125</v>
      </c>
      <c r="E167" s="3244">
        <v>0.11700000000000001</v>
      </c>
      <c r="F167" s="3244">
        <v>0.13</v>
      </c>
      <c r="G167" s="3245">
        <v>0.126</v>
      </c>
    </row>
    <row r="168" spans="1:7">
      <c r="A168" s="3254" t="s">
        <v>29</v>
      </c>
      <c r="B168" s="3243" t="s">
        <v>3030</v>
      </c>
      <c r="C168" s="3244">
        <v>0.128</v>
      </c>
      <c r="D168" s="3244">
        <v>0.128</v>
      </c>
      <c r="E168" s="3244">
        <v>0.123</v>
      </c>
      <c r="F168" s="3255"/>
      <c r="G168" s="3245">
        <v>0.13</v>
      </c>
    </row>
    <row r="169" spans="1:7">
      <c r="A169" s="3254" t="s">
        <v>29</v>
      </c>
      <c r="B169" s="3243" t="s">
        <v>3183</v>
      </c>
      <c r="C169" s="3260"/>
      <c r="D169" s="3260"/>
      <c r="E169" s="3260"/>
      <c r="F169" s="3244">
        <v>0.05</v>
      </c>
      <c r="G169" s="3256"/>
    </row>
    <row r="170" spans="1:7">
      <c r="A170" s="3254" t="s">
        <v>29</v>
      </c>
      <c r="B170" s="3243" t="s">
        <v>3184</v>
      </c>
      <c r="C170" s="3260"/>
      <c r="D170" s="3260"/>
      <c r="E170" s="3260"/>
      <c r="F170" s="3244">
        <v>0.05</v>
      </c>
      <c r="G170" s="3256"/>
    </row>
    <row r="171" spans="1:7">
      <c r="A171" s="3254" t="s">
        <v>29</v>
      </c>
      <c r="B171" s="3243" t="s">
        <v>3185</v>
      </c>
      <c r="C171" s="3260"/>
      <c r="D171" s="3260"/>
      <c r="E171" s="3260"/>
      <c r="F171" s="3244">
        <v>0.05</v>
      </c>
      <c r="G171" s="3261"/>
    </row>
    <row r="172" spans="1:7">
      <c r="A172" s="3254" t="s">
        <v>29</v>
      </c>
      <c r="B172" s="3243" t="s">
        <v>3186</v>
      </c>
      <c r="C172" s="3260"/>
      <c r="D172" s="3260"/>
      <c r="E172" s="3260"/>
      <c r="F172" s="3244">
        <v>0.05</v>
      </c>
      <c r="G172" s="3261"/>
    </row>
    <row r="173" spans="1:7">
      <c r="A173" s="3254" t="s">
        <v>29</v>
      </c>
      <c r="B173" s="3243" t="s">
        <v>3187</v>
      </c>
      <c r="C173" s="3260"/>
      <c r="D173" s="3260"/>
      <c r="E173" s="3260"/>
      <c r="F173" s="3244">
        <v>0.05</v>
      </c>
      <c r="G173" s="3256"/>
    </row>
    <row r="174" spans="1:7">
      <c r="A174" s="3254" t="s">
        <v>29</v>
      </c>
      <c r="B174" s="3243" t="s">
        <v>3188</v>
      </c>
      <c r="C174" s="3260"/>
      <c r="D174" s="3260"/>
      <c r="E174" s="3260"/>
      <c r="F174" s="3244">
        <v>0.05</v>
      </c>
      <c r="G174" s="3256"/>
    </row>
    <row r="175" spans="1:7">
      <c r="A175" s="3254" t="s">
        <v>29</v>
      </c>
      <c r="B175" s="3243" t="s">
        <v>3189</v>
      </c>
      <c r="C175" s="3260"/>
      <c r="D175" s="3260"/>
      <c r="E175" s="3260"/>
      <c r="F175" s="3244">
        <v>0.05</v>
      </c>
      <c r="G175" s="3256"/>
    </row>
    <row r="176" spans="1:7">
      <c r="A176" s="3254" t="s">
        <v>29</v>
      </c>
      <c r="B176" s="3243" t="s">
        <v>3190</v>
      </c>
      <c r="C176" s="3260"/>
      <c r="D176" s="3260"/>
      <c r="E176" s="3260"/>
      <c r="F176" s="3244">
        <v>0.05</v>
      </c>
      <c r="G176" s="3256"/>
    </row>
    <row r="177" spans="1:7">
      <c r="A177" s="3254" t="s">
        <v>29</v>
      </c>
      <c r="B177" s="3243" t="s">
        <v>3191</v>
      </c>
      <c r="C177" s="3255"/>
      <c r="D177" s="3255"/>
      <c r="E177" s="3255"/>
      <c r="F177" s="3244">
        <v>0.05</v>
      </c>
      <c r="G177" s="3261"/>
    </row>
    <row r="178" spans="1:7">
      <c r="A178" s="3254" t="s">
        <v>29</v>
      </c>
      <c r="B178" s="3243" t="s">
        <v>3192</v>
      </c>
      <c r="C178" s="3255"/>
      <c r="D178" s="3255"/>
      <c r="E178" s="3255"/>
      <c r="F178" s="3244">
        <v>0.05</v>
      </c>
      <c r="G178" s="3261"/>
    </row>
    <row r="179" spans="1:7">
      <c r="A179" s="3254" t="s">
        <v>29</v>
      </c>
      <c r="B179" s="3243" t="s">
        <v>3193</v>
      </c>
      <c r="C179" s="3255"/>
      <c r="D179" s="3255"/>
      <c r="E179" s="3255"/>
      <c r="F179" s="3244">
        <v>0.05</v>
      </c>
      <c r="G179" s="3261"/>
    </row>
    <row r="180" spans="1:7">
      <c r="A180" s="3254" t="s">
        <v>29</v>
      </c>
      <c r="B180" s="3243" t="s">
        <v>3194</v>
      </c>
      <c r="C180" s="3255"/>
      <c r="D180" s="3255"/>
      <c r="E180" s="3255"/>
      <c r="F180" s="3244">
        <v>0.05</v>
      </c>
      <c r="G180" s="3261"/>
    </row>
    <row r="181" spans="1:7">
      <c r="A181" s="3254" t="s">
        <v>29</v>
      </c>
      <c r="B181" s="3243" t="s">
        <v>3195</v>
      </c>
      <c r="C181" s="3255"/>
      <c r="D181" s="3255"/>
      <c r="E181" s="3255"/>
      <c r="F181" s="3244">
        <v>0.05</v>
      </c>
      <c r="G181" s="3261"/>
    </row>
    <row r="182" spans="1:7">
      <c r="A182" s="3254" t="s">
        <v>29</v>
      </c>
      <c r="B182" s="3243" t="s">
        <v>3196</v>
      </c>
      <c r="C182" s="3255"/>
      <c r="D182" s="3255"/>
      <c r="E182" s="3255"/>
      <c r="F182" s="3244">
        <v>0.05</v>
      </c>
      <c r="G182" s="3261"/>
    </row>
    <row r="183" spans="1:7">
      <c r="A183" s="3254" t="s">
        <v>29</v>
      </c>
      <c r="B183" s="3243" t="s">
        <v>3197</v>
      </c>
      <c r="C183" s="3255"/>
      <c r="D183" s="3255"/>
      <c r="E183" s="3255"/>
      <c r="F183" s="3244">
        <v>0.05</v>
      </c>
      <c r="G183" s="3261"/>
    </row>
    <row r="184" spans="1:7">
      <c r="A184" s="3254" t="s">
        <v>29</v>
      </c>
      <c r="B184" s="3243" t="s">
        <v>3198</v>
      </c>
      <c r="C184" s="3255"/>
      <c r="D184" s="3255"/>
      <c r="E184" s="3255"/>
      <c r="F184" s="3244">
        <v>0.05</v>
      </c>
      <c r="G184" s="3261"/>
    </row>
    <row r="185" spans="1:7">
      <c r="A185" s="3254" t="s">
        <v>29</v>
      </c>
      <c r="B185" s="3243" t="s">
        <v>3199</v>
      </c>
      <c r="C185" s="3255"/>
      <c r="D185" s="3255"/>
      <c r="E185" s="3255"/>
      <c r="F185" s="3244">
        <v>0.05</v>
      </c>
      <c r="G185" s="3261"/>
    </row>
    <row r="186" spans="1:7">
      <c r="A186" s="3254" t="s">
        <v>29</v>
      </c>
      <c r="B186" s="3243" t="s">
        <v>3200</v>
      </c>
      <c r="C186" s="3255"/>
      <c r="D186" s="3255"/>
      <c r="E186" s="3255"/>
      <c r="F186" s="3244">
        <v>0.05</v>
      </c>
      <c r="G186" s="3261"/>
    </row>
    <row r="187" spans="1:7">
      <c r="A187" s="3254" t="s">
        <v>29</v>
      </c>
      <c r="B187" s="3243" t="s">
        <v>3201</v>
      </c>
      <c r="C187" s="3255"/>
      <c r="D187" s="3255"/>
      <c r="E187" s="3255"/>
      <c r="F187" s="3244">
        <v>0.05</v>
      </c>
      <c r="G187" s="3261"/>
    </row>
    <row r="188" spans="1:7">
      <c r="A188" s="3254" t="s">
        <v>29</v>
      </c>
      <c r="B188" s="3243" t="s">
        <v>3202</v>
      </c>
      <c r="C188" s="3255"/>
      <c r="D188" s="3255"/>
      <c r="E188" s="3255"/>
      <c r="F188" s="3244">
        <v>0.05</v>
      </c>
      <c r="G188" s="3261"/>
    </row>
    <row r="189" spans="1:7" ht="14.25" thickBot="1">
      <c r="A189" s="3257" t="s">
        <v>29</v>
      </c>
      <c r="B189" s="3247" t="s">
        <v>3203</v>
      </c>
      <c r="C189" s="3249"/>
      <c r="D189" s="3249"/>
      <c r="E189" s="3249"/>
      <c r="F189" s="3248">
        <v>0.05</v>
      </c>
      <c r="G189" s="3262"/>
    </row>
    <row r="190" spans="1:7">
      <c r="A190" s="3253" t="s">
        <v>304</v>
      </c>
      <c r="B190" s="3239" t="s">
        <v>2859</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2895</v>
      </c>
      <c r="C199" s="3244">
        <v>0.13</v>
      </c>
      <c r="D199" s="3244">
        <v>0.13</v>
      </c>
      <c r="E199" s="3244">
        <v>0.13</v>
      </c>
      <c r="F199" s="3244">
        <v>0.13</v>
      </c>
      <c r="G199" s="3245">
        <v>0.13</v>
      </c>
    </row>
    <row r="200" spans="1:7">
      <c r="A200" s="3254" t="s">
        <v>304</v>
      </c>
      <c r="B200" s="3243" t="s">
        <v>2898</v>
      </c>
      <c r="C200" s="3260"/>
      <c r="D200" s="3260"/>
      <c r="E200" s="3260"/>
      <c r="F200" s="3244">
        <v>0.13</v>
      </c>
      <c r="G200" s="3256"/>
    </row>
    <row r="201" spans="1:7">
      <c r="A201" s="3254" t="s">
        <v>304</v>
      </c>
      <c r="B201" s="3243" t="s">
        <v>2903</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2906</v>
      </c>
      <c r="C203" s="3244">
        <v>0.129</v>
      </c>
      <c r="D203" s="3244">
        <v>0.129</v>
      </c>
      <c r="E203" s="3244">
        <v>0.13</v>
      </c>
      <c r="F203" s="3244">
        <v>0.13</v>
      </c>
      <c r="G203" s="3245">
        <v>0.13</v>
      </c>
    </row>
    <row r="204" spans="1:7">
      <c r="A204" s="3254" t="s">
        <v>304</v>
      </c>
      <c r="B204" s="3243" t="s">
        <v>2909</v>
      </c>
      <c r="C204" s="3244">
        <v>0.129</v>
      </c>
      <c r="D204" s="3244">
        <v>0.129</v>
      </c>
      <c r="E204" s="3244">
        <v>0.123</v>
      </c>
      <c r="F204" s="3244">
        <v>0.13</v>
      </c>
      <c r="G204" s="3245">
        <v>0.13</v>
      </c>
    </row>
    <row r="205" spans="1:7">
      <c r="A205" s="3254" t="s">
        <v>304</v>
      </c>
      <c r="B205" s="3243" t="s">
        <v>2911</v>
      </c>
      <c r="C205" s="3244">
        <v>0.13</v>
      </c>
      <c r="D205" s="3244">
        <v>0.13</v>
      </c>
      <c r="E205" s="3244">
        <v>0.13</v>
      </c>
      <c r="F205" s="3244">
        <v>0.13</v>
      </c>
      <c r="G205" s="3245">
        <v>0.13</v>
      </c>
    </row>
    <row r="206" spans="1:7">
      <c r="A206" s="3254" t="s">
        <v>304</v>
      </c>
      <c r="B206" s="3243" t="s">
        <v>2914</v>
      </c>
      <c r="C206" s="3244">
        <v>0.13</v>
      </c>
      <c r="D206" s="3244">
        <v>0.13</v>
      </c>
      <c r="E206" s="3244">
        <v>0.13</v>
      </c>
      <c r="F206" s="3244">
        <v>0.128</v>
      </c>
      <c r="G206" s="3245">
        <v>0.13</v>
      </c>
    </row>
    <row r="207" spans="1:7">
      <c r="A207" s="3254" t="s">
        <v>304</v>
      </c>
      <c r="B207" s="3243" t="s">
        <v>2916</v>
      </c>
      <c r="C207" s="3244">
        <v>0.13</v>
      </c>
      <c r="D207" s="3244">
        <v>0.13</v>
      </c>
      <c r="E207" s="3244">
        <v>0.13</v>
      </c>
      <c r="F207" s="3244">
        <v>0.13</v>
      </c>
      <c r="G207" s="3245">
        <v>0.13</v>
      </c>
    </row>
    <row r="208" spans="1:7">
      <c r="A208" s="3254" t="s">
        <v>304</v>
      </c>
      <c r="B208" s="3243" t="s">
        <v>2919</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2926</v>
      </c>
      <c r="C210" s="3244">
        <v>0.121</v>
      </c>
      <c r="D210" s="3244">
        <v>0.121</v>
      </c>
      <c r="E210" s="3244">
        <v>0.125</v>
      </c>
      <c r="F210" s="3244">
        <v>0.13</v>
      </c>
      <c r="G210" s="3245">
        <v>0.123</v>
      </c>
    </row>
    <row r="211" spans="1:7">
      <c r="A211" s="3254" t="s">
        <v>304</v>
      </c>
      <c r="B211" s="3243" t="s">
        <v>2929</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2941</v>
      </c>
      <c r="C214" s="3244">
        <v>0.128</v>
      </c>
      <c r="D214" s="3244">
        <v>0.128</v>
      </c>
      <c r="E214" s="3244">
        <v>0.13</v>
      </c>
      <c r="F214" s="3244">
        <v>0.13</v>
      </c>
      <c r="G214" s="3245">
        <v>0.13</v>
      </c>
    </row>
    <row r="215" spans="1:7">
      <c r="A215" s="3254" t="s">
        <v>304</v>
      </c>
      <c r="B215" s="3243" t="s">
        <v>2945</v>
      </c>
      <c r="C215" s="3244">
        <v>0.13</v>
      </c>
      <c r="D215" s="3244">
        <v>0.13</v>
      </c>
      <c r="E215" s="3244">
        <v>0.13</v>
      </c>
      <c r="F215" s="3244">
        <v>0.129</v>
      </c>
      <c r="G215" s="3245">
        <v>0.13</v>
      </c>
    </row>
    <row r="216" spans="1:7">
      <c r="A216" s="3254" t="s">
        <v>304</v>
      </c>
      <c r="B216" s="3243" t="s">
        <v>2952</v>
      </c>
      <c r="C216" s="3244">
        <v>0.13</v>
      </c>
      <c r="D216" s="3244">
        <v>0.13</v>
      </c>
      <c r="E216" s="3244">
        <v>0.13</v>
      </c>
      <c r="F216" s="3244">
        <v>0.13</v>
      </c>
      <c r="G216" s="3245">
        <v>0.13</v>
      </c>
    </row>
    <row r="217" spans="1:7">
      <c r="A217" s="3254" t="s">
        <v>304</v>
      </c>
      <c r="B217" s="3243" t="s">
        <v>2959</v>
      </c>
      <c r="C217" s="3244">
        <v>0.129</v>
      </c>
      <c r="D217" s="3244">
        <v>0.129</v>
      </c>
      <c r="E217" s="3244">
        <v>0.13</v>
      </c>
      <c r="F217" s="3244">
        <v>0.13</v>
      </c>
      <c r="G217" s="3245">
        <v>0.13</v>
      </c>
    </row>
    <row r="218" spans="1:7">
      <c r="A218" s="3254" t="s">
        <v>304</v>
      </c>
      <c r="B218" s="3243" t="s">
        <v>2965</v>
      </c>
      <c r="C218" s="3255"/>
      <c r="D218" s="3255"/>
      <c r="E218" s="3255"/>
      <c r="F218" s="3244">
        <v>0.05</v>
      </c>
      <c r="G218" s="3261"/>
    </row>
    <row r="219" spans="1:7">
      <c r="A219" s="3254" t="s">
        <v>304</v>
      </c>
      <c r="B219" s="3243" t="s">
        <v>2972</v>
      </c>
      <c r="C219" s="3255"/>
      <c r="D219" s="3255"/>
      <c r="E219" s="3255"/>
      <c r="F219" s="3244">
        <v>0.05</v>
      </c>
      <c r="G219" s="3261"/>
    </row>
    <row r="220" spans="1:7">
      <c r="A220" s="3254" t="s">
        <v>304</v>
      </c>
      <c r="B220" s="3243" t="s">
        <v>2978</v>
      </c>
      <c r="C220" s="3255"/>
      <c r="D220" s="3255"/>
      <c r="E220" s="3255"/>
      <c r="F220" s="3244">
        <v>0.05</v>
      </c>
      <c r="G220" s="3261"/>
    </row>
    <row r="221" spans="1:7">
      <c r="A221" s="3254" t="s">
        <v>304</v>
      </c>
      <c r="B221" s="3243" t="s">
        <v>2983</v>
      </c>
      <c r="C221" s="3255"/>
      <c r="D221" s="3255"/>
      <c r="E221" s="3255"/>
      <c r="F221" s="3244">
        <v>0.05</v>
      </c>
      <c r="G221" s="3261"/>
    </row>
    <row r="222" spans="1:7">
      <c r="A222" s="3254" t="s">
        <v>304</v>
      </c>
      <c r="B222" s="3243" t="s">
        <v>2987</v>
      </c>
      <c r="C222" s="3255"/>
      <c r="D222" s="3255"/>
      <c r="E222" s="3255"/>
      <c r="F222" s="3244">
        <v>0.05</v>
      </c>
      <c r="G222" s="3261"/>
    </row>
    <row r="223" spans="1:7">
      <c r="A223" s="3254" t="s">
        <v>304</v>
      </c>
      <c r="B223" s="3243" t="s">
        <v>2992</v>
      </c>
      <c r="C223" s="3255"/>
      <c r="D223" s="3255"/>
      <c r="E223" s="3255"/>
      <c r="F223" s="3244">
        <v>0.05</v>
      </c>
      <c r="G223" s="3261"/>
    </row>
    <row r="224" spans="1:7">
      <c r="A224" s="3254" t="s">
        <v>304</v>
      </c>
      <c r="B224" s="3243" t="s">
        <v>2997</v>
      </c>
      <c r="C224" s="3255"/>
      <c r="D224" s="3255"/>
      <c r="E224" s="3255"/>
      <c r="F224" s="3244">
        <v>0.05</v>
      </c>
      <c r="G224" s="3261"/>
    </row>
    <row r="225" spans="1:7">
      <c r="A225" s="3254" t="s">
        <v>304</v>
      </c>
      <c r="B225" s="3243" t="s">
        <v>3002</v>
      </c>
      <c r="C225" s="3255"/>
      <c r="D225" s="3255"/>
      <c r="E225" s="3255"/>
      <c r="F225" s="3244">
        <v>0.05</v>
      </c>
      <c r="G225" s="3261"/>
    </row>
    <row r="226" spans="1:7">
      <c r="A226" s="3254" t="s">
        <v>304</v>
      </c>
      <c r="B226" s="3243" t="s">
        <v>3204</v>
      </c>
      <c r="C226" s="3255"/>
      <c r="D226" s="3255"/>
      <c r="E226" s="3255"/>
      <c r="F226" s="3244">
        <v>0.05</v>
      </c>
      <c r="G226" s="3261"/>
    </row>
    <row r="227" spans="1:7">
      <c r="A227" s="3254" t="s">
        <v>304</v>
      </c>
      <c r="B227" s="3243" t="s">
        <v>3205</v>
      </c>
      <c r="C227" s="3255"/>
      <c r="D227" s="3255"/>
      <c r="E227" s="3255"/>
      <c r="F227" s="3244">
        <v>0.05</v>
      </c>
      <c r="G227" s="3261"/>
    </row>
    <row r="228" spans="1:7">
      <c r="A228" s="3254" t="s">
        <v>304</v>
      </c>
      <c r="B228" s="3243" t="s">
        <v>3206</v>
      </c>
      <c r="C228" s="3255"/>
      <c r="D228" s="3255"/>
      <c r="E228" s="3255"/>
      <c r="F228" s="3244">
        <v>0.05</v>
      </c>
      <c r="G228" s="3261"/>
    </row>
    <row r="229" spans="1:7">
      <c r="A229" s="3254" t="s">
        <v>304</v>
      </c>
      <c r="B229" s="3243" t="s">
        <v>3207</v>
      </c>
      <c r="C229" s="3255"/>
      <c r="D229" s="3255"/>
      <c r="E229" s="3255"/>
      <c r="F229" s="3244">
        <v>0.05</v>
      </c>
      <c r="G229" s="3261"/>
    </row>
    <row r="230" spans="1:7">
      <c r="A230" s="3254" t="s">
        <v>304</v>
      </c>
      <c r="B230" s="3243" t="s">
        <v>3208</v>
      </c>
      <c r="C230" s="3255"/>
      <c r="D230" s="3255"/>
      <c r="E230" s="3255"/>
      <c r="F230" s="3244">
        <v>0.05</v>
      </c>
      <c r="G230" s="3261"/>
    </row>
    <row r="231" spans="1:7">
      <c r="A231" s="3254" t="s">
        <v>304</v>
      </c>
      <c r="B231" s="3243" t="s">
        <v>3209</v>
      </c>
      <c r="C231" s="3255"/>
      <c r="D231" s="3255"/>
      <c r="E231" s="3255"/>
      <c r="F231" s="3244">
        <v>0.05</v>
      </c>
      <c r="G231" s="3261"/>
    </row>
    <row r="232" spans="1:7">
      <c r="A232" s="3254" t="s">
        <v>304</v>
      </c>
      <c r="B232" s="3243" t="s">
        <v>3210</v>
      </c>
      <c r="C232" s="3255"/>
      <c r="D232" s="3255"/>
      <c r="E232" s="3255"/>
      <c r="F232" s="3244">
        <v>0.05</v>
      </c>
      <c r="G232" s="3261"/>
    </row>
    <row r="233" spans="1:7" ht="14.25" thickBot="1">
      <c r="A233" s="3257" t="s">
        <v>304</v>
      </c>
      <c r="B233" s="3247" t="s">
        <v>3211</v>
      </c>
      <c r="C233" s="3249"/>
      <c r="D233" s="3249"/>
      <c r="E233" s="3249"/>
      <c r="F233" s="3248">
        <v>0.05</v>
      </c>
      <c r="G233" s="3262"/>
    </row>
    <row r="234" spans="1:7">
      <c r="A234" s="3253" t="s">
        <v>305</v>
      </c>
      <c r="B234" s="3239" t="s">
        <v>2860</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2880</v>
      </c>
      <c r="C238" s="3244">
        <v>0.14899999999999999</v>
      </c>
      <c r="D238" s="3244">
        <v>0.14899999999999999</v>
      </c>
      <c r="E238" s="3244">
        <v>0.15</v>
      </c>
      <c r="F238" s="3244">
        <v>0.15</v>
      </c>
      <c r="G238" s="3245">
        <v>0.15</v>
      </c>
    </row>
    <row r="239" spans="1:7">
      <c r="A239" s="3254" t="s">
        <v>305</v>
      </c>
      <c r="B239" s="3243" t="s">
        <v>2884</v>
      </c>
      <c r="C239" s="3244">
        <v>0.15</v>
      </c>
      <c r="D239" s="3244">
        <v>0.15</v>
      </c>
      <c r="E239" s="3244">
        <v>0.15</v>
      </c>
      <c r="F239" s="3244">
        <v>0.15</v>
      </c>
      <c r="G239" s="3245">
        <v>0.15</v>
      </c>
    </row>
    <row r="240" spans="1:7">
      <c r="A240" s="3254" t="s">
        <v>305</v>
      </c>
      <c r="B240" s="3243" t="s">
        <v>2889</v>
      </c>
      <c r="C240" s="3244">
        <v>0.15</v>
      </c>
      <c r="D240" s="3244">
        <v>0.15</v>
      </c>
      <c r="E240" s="3244">
        <v>0.15</v>
      </c>
      <c r="F240" s="3244">
        <v>0.15</v>
      </c>
      <c r="G240" s="3245">
        <v>0.15</v>
      </c>
    </row>
    <row r="241" spans="1:7">
      <c r="A241" s="3254" t="s">
        <v>305</v>
      </c>
      <c r="B241" s="3243" t="s">
        <v>2893</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2899</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2907</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2912</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2920</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2933</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2942</v>
      </c>
      <c r="C258" s="3244">
        <v>0.14299999999999999</v>
      </c>
      <c r="D258" s="3244">
        <v>0.14299999999999999</v>
      </c>
      <c r="E258" s="3244">
        <v>0.15</v>
      </c>
      <c r="F258" s="3244">
        <v>0.14799999999999999</v>
      </c>
      <c r="G258" s="3245">
        <v>0.14599999999999999</v>
      </c>
    </row>
    <row r="259" spans="1:7">
      <c r="A259" s="3254" t="s">
        <v>305</v>
      </c>
      <c r="B259" s="3243" t="s">
        <v>2946</v>
      </c>
      <c r="C259" s="3244">
        <v>0.14399999999999999</v>
      </c>
      <c r="D259" s="3244">
        <v>0.14399999999999999</v>
      </c>
      <c r="E259" s="3244">
        <v>0.14899999999999999</v>
      </c>
      <c r="F259" s="3244">
        <v>0.14699999999999999</v>
      </c>
      <c r="G259" s="3245">
        <v>0.14599999999999999</v>
      </c>
    </row>
    <row r="260" spans="1:7">
      <c r="A260" s="3254" t="s">
        <v>305</v>
      </c>
      <c r="B260" s="3243" t="s">
        <v>2953</v>
      </c>
      <c r="C260" s="3244">
        <v>0.109</v>
      </c>
      <c r="D260" s="3244">
        <v>0.111</v>
      </c>
      <c r="E260" s="3244">
        <v>0.13100000000000001</v>
      </c>
      <c r="F260" s="3244">
        <v>0.126</v>
      </c>
      <c r="G260" s="3245">
        <v>0.11899999999999999</v>
      </c>
    </row>
    <row r="261" spans="1:7">
      <c r="A261" s="3254" t="s">
        <v>305</v>
      </c>
      <c r="B261" s="3243" t="s">
        <v>2960</v>
      </c>
      <c r="C261" s="3244">
        <v>0.1</v>
      </c>
      <c r="D261" s="3244">
        <v>0.1</v>
      </c>
      <c r="E261" s="3244">
        <v>0.11799999999999999</v>
      </c>
      <c r="F261" s="3244">
        <v>0.108</v>
      </c>
      <c r="G261" s="3245">
        <v>0.107</v>
      </c>
    </row>
    <row r="262" spans="1:7">
      <c r="A262" s="3254" t="s">
        <v>305</v>
      </c>
      <c r="B262" s="3243" t="s">
        <v>2966</v>
      </c>
      <c r="C262" s="3244">
        <v>0.1</v>
      </c>
      <c r="D262" s="3244">
        <v>0.1</v>
      </c>
      <c r="E262" s="3244">
        <v>0.1</v>
      </c>
      <c r="F262" s="3244">
        <v>0.14099999999999999</v>
      </c>
      <c r="G262" s="3245">
        <v>0.1</v>
      </c>
    </row>
    <row r="263" spans="1:7">
      <c r="A263" s="3254" t="s">
        <v>305</v>
      </c>
      <c r="B263" s="3243" t="s">
        <v>2973</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2984</v>
      </c>
      <c r="C265" s="3255"/>
      <c r="D265" s="3255"/>
      <c r="E265" s="3255"/>
      <c r="F265" s="3244">
        <v>0.05</v>
      </c>
      <c r="G265" s="3261"/>
    </row>
    <row r="266" spans="1:7">
      <c r="A266" s="3254" t="s">
        <v>305</v>
      </c>
      <c r="B266" s="3243" t="s">
        <v>2988</v>
      </c>
      <c r="C266" s="3255"/>
      <c r="D266" s="3255"/>
      <c r="E266" s="3255"/>
      <c r="F266" s="3244">
        <v>0.05</v>
      </c>
      <c r="G266" s="3261"/>
    </row>
    <row r="267" spans="1:7">
      <c r="A267" s="3254" t="s">
        <v>305</v>
      </c>
      <c r="B267" s="3243" t="s">
        <v>2993</v>
      </c>
      <c r="C267" s="3255"/>
      <c r="D267" s="3255"/>
      <c r="E267" s="3255"/>
      <c r="F267" s="3244">
        <v>0.05</v>
      </c>
      <c r="G267" s="3261"/>
    </row>
    <row r="268" spans="1:7">
      <c r="A268" s="3254" t="s">
        <v>305</v>
      </c>
      <c r="B268" s="3243" t="s">
        <v>2998</v>
      </c>
      <c r="C268" s="3255"/>
      <c r="D268" s="3255"/>
      <c r="E268" s="3255"/>
      <c r="F268" s="3244">
        <v>0.05</v>
      </c>
      <c r="G268" s="3261"/>
    </row>
    <row r="269" spans="1:7">
      <c r="A269" s="3254" t="s">
        <v>305</v>
      </c>
      <c r="B269" s="3243" t="s">
        <v>3003</v>
      </c>
      <c r="C269" s="3255"/>
      <c r="D269" s="3255"/>
      <c r="E269" s="3255"/>
      <c r="F269" s="3244">
        <v>0.05</v>
      </c>
      <c r="G269" s="3261"/>
    </row>
    <row r="270" spans="1:7">
      <c r="A270" s="3254" t="s">
        <v>305</v>
      </c>
      <c r="B270" s="3243" t="s">
        <v>3008</v>
      </c>
      <c r="C270" s="3255"/>
      <c r="D270" s="3255"/>
      <c r="E270" s="3255"/>
      <c r="F270" s="3244">
        <v>0.05</v>
      </c>
      <c r="G270" s="3261"/>
    </row>
    <row r="271" spans="1:7">
      <c r="A271" s="3254" t="s">
        <v>305</v>
      </c>
      <c r="B271" s="3243" t="s">
        <v>3212</v>
      </c>
      <c r="C271" s="3255"/>
      <c r="D271" s="3255"/>
      <c r="E271" s="3255"/>
      <c r="F271" s="3244">
        <v>0.05</v>
      </c>
      <c r="G271" s="3261"/>
    </row>
    <row r="272" spans="1:7">
      <c r="A272" s="3254" t="s">
        <v>305</v>
      </c>
      <c r="B272" s="3243" t="s">
        <v>3213</v>
      </c>
      <c r="C272" s="3255"/>
      <c r="D272" s="3255"/>
      <c r="E272" s="3255"/>
      <c r="F272" s="3244">
        <v>0.05</v>
      </c>
      <c r="G272" s="3261"/>
    </row>
    <row r="273" spans="1:7">
      <c r="A273" s="3254" t="s">
        <v>305</v>
      </c>
      <c r="B273" s="3243" t="s">
        <v>3214</v>
      </c>
      <c r="C273" s="3255"/>
      <c r="D273" s="3255"/>
      <c r="E273" s="3255"/>
      <c r="F273" s="3244">
        <v>0.05</v>
      </c>
      <c r="G273" s="3261"/>
    </row>
    <row r="274" spans="1:7">
      <c r="A274" s="3254" t="s">
        <v>305</v>
      </c>
      <c r="B274" s="3243" t="s">
        <v>3215</v>
      </c>
      <c r="C274" s="3255"/>
      <c r="D274" s="3255"/>
      <c r="E274" s="3255"/>
      <c r="F274" s="3244">
        <v>0.05</v>
      </c>
      <c r="G274" s="3261"/>
    </row>
    <row r="275" spans="1:7">
      <c r="A275" s="3254" t="s">
        <v>305</v>
      </c>
      <c r="B275" s="3243" t="s">
        <v>3216</v>
      </c>
      <c r="C275" s="3255"/>
      <c r="D275" s="3255"/>
      <c r="E275" s="3255"/>
      <c r="F275" s="3244">
        <v>0.05</v>
      </c>
      <c r="G275" s="3261"/>
    </row>
    <row r="276" spans="1:7" ht="14.25" thickBot="1">
      <c r="A276" s="3257" t="s">
        <v>305</v>
      </c>
      <c r="B276" s="3247" t="s">
        <v>3217</v>
      </c>
      <c r="C276" s="3249"/>
      <c r="D276" s="3249"/>
      <c r="E276" s="3249"/>
      <c r="F276" s="3248">
        <v>0.05</v>
      </c>
      <c r="G276" s="3262"/>
    </row>
    <row r="277" spans="1:7">
      <c r="A277" s="3253" t="s">
        <v>306</v>
      </c>
      <c r="B277" s="3239" t="s">
        <v>2861</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2873</v>
      </c>
      <c r="C279" s="3244">
        <v>0.15</v>
      </c>
      <c r="D279" s="3244">
        <v>0.15</v>
      </c>
      <c r="E279" s="3244">
        <v>0.15</v>
      </c>
      <c r="F279" s="3244">
        <v>0.15</v>
      </c>
      <c r="G279" s="3245">
        <v>0.15</v>
      </c>
    </row>
    <row r="280" spans="1:7">
      <c r="A280" s="3254" t="s">
        <v>306</v>
      </c>
      <c r="B280" s="3243" t="s">
        <v>2877</v>
      </c>
      <c r="C280" s="3244">
        <v>0.15</v>
      </c>
      <c r="D280" s="3244">
        <v>0.15</v>
      </c>
      <c r="E280" s="3244">
        <v>0.15</v>
      </c>
      <c r="F280" s="3244">
        <v>0.15</v>
      </c>
      <c r="G280" s="3245">
        <v>0.15</v>
      </c>
    </row>
    <row r="281" spans="1:7">
      <c r="A281" s="3254" t="s">
        <v>306</v>
      </c>
      <c r="B281" s="3243" t="s">
        <v>2881</v>
      </c>
      <c r="C281" s="3244">
        <v>0.15</v>
      </c>
      <c r="D281" s="3244">
        <v>0.15</v>
      </c>
      <c r="E281" s="3244">
        <v>0.15</v>
      </c>
      <c r="F281" s="3244">
        <v>0.15</v>
      </c>
      <c r="G281" s="3245">
        <v>0.15</v>
      </c>
    </row>
    <row r="282" spans="1:7">
      <c r="A282" s="3254" t="s">
        <v>306</v>
      </c>
      <c r="B282" s="3243" t="s">
        <v>2885</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2900</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2905</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2915</v>
      </c>
      <c r="C293" s="3244">
        <v>0.15</v>
      </c>
      <c r="D293" s="3244">
        <v>0.15</v>
      </c>
      <c r="E293" s="3244">
        <v>0.15</v>
      </c>
      <c r="F293" s="3244">
        <v>0.14499999999999999</v>
      </c>
      <c r="G293" s="3245">
        <v>0.15</v>
      </c>
    </row>
    <row r="294" spans="1:7">
      <c r="A294" s="3254" t="s">
        <v>306</v>
      </c>
      <c r="B294" s="3243" t="s">
        <v>2917</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2934</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2947</v>
      </c>
      <c r="C302" s="3244">
        <v>0.15</v>
      </c>
      <c r="D302" s="3244">
        <v>0.15</v>
      </c>
      <c r="E302" s="3244">
        <v>0.15</v>
      </c>
      <c r="F302" s="3244">
        <v>0.14699999999999999</v>
      </c>
      <c r="G302" s="3245">
        <v>0.15</v>
      </c>
    </row>
    <row r="303" spans="1:7">
      <c r="A303" s="3254" t="s">
        <v>306</v>
      </c>
      <c r="B303" s="3243" t="s">
        <v>2954</v>
      </c>
      <c r="C303" s="3244">
        <v>0.15</v>
      </c>
      <c r="D303" s="3244">
        <v>0.15</v>
      </c>
      <c r="E303" s="3244">
        <v>0.15</v>
      </c>
      <c r="F303" s="3244">
        <v>0.14199999999999999</v>
      </c>
      <c r="G303" s="3245">
        <v>0.15</v>
      </c>
    </row>
    <row r="304" spans="1:7">
      <c r="A304" s="3254" t="s">
        <v>306</v>
      </c>
      <c r="B304" s="3243" t="s">
        <v>2961</v>
      </c>
      <c r="C304" s="3244">
        <v>0.15</v>
      </c>
      <c r="D304" s="3244">
        <v>0.15</v>
      </c>
      <c r="E304" s="3244">
        <v>0.15</v>
      </c>
      <c r="F304" s="3244">
        <v>0.14499999999999999</v>
      </c>
      <c r="G304" s="3245">
        <v>0.15</v>
      </c>
    </row>
    <row r="305" spans="1:7">
      <c r="A305" s="3254" t="s">
        <v>306</v>
      </c>
      <c r="B305" s="3243" t="s">
        <v>2967</v>
      </c>
      <c r="C305" s="3244">
        <v>0.15</v>
      </c>
      <c r="D305" s="3244">
        <v>0.15</v>
      </c>
      <c r="E305" s="3244">
        <v>0.15</v>
      </c>
      <c r="F305" s="3244">
        <v>0.111</v>
      </c>
      <c r="G305" s="3245">
        <v>0.15</v>
      </c>
    </row>
    <row r="306" spans="1:7">
      <c r="A306" s="3254" t="s">
        <v>306</v>
      </c>
      <c r="B306" s="3243" t="s">
        <v>2974</v>
      </c>
      <c r="C306" s="3244">
        <v>0.15</v>
      </c>
      <c r="D306" s="3244">
        <v>0.15</v>
      </c>
      <c r="E306" s="3244">
        <v>0.15</v>
      </c>
      <c r="F306" s="3244">
        <v>0.126</v>
      </c>
      <c r="G306" s="3245">
        <v>0.15</v>
      </c>
    </row>
    <row r="307" spans="1:7">
      <c r="A307" s="3254" t="s">
        <v>306</v>
      </c>
      <c r="B307" s="3243" t="s">
        <v>2979</v>
      </c>
      <c r="C307" s="3244">
        <v>0.15</v>
      </c>
      <c r="D307" s="3244">
        <v>0.15</v>
      </c>
      <c r="E307" s="3244">
        <v>0.15</v>
      </c>
      <c r="F307" s="3244">
        <v>0.12</v>
      </c>
      <c r="G307" s="3245">
        <v>0.15</v>
      </c>
    </row>
    <row r="308" spans="1:7">
      <c r="A308" s="3254" t="s">
        <v>306</v>
      </c>
      <c r="B308" s="3243" t="s">
        <v>2985</v>
      </c>
      <c r="C308" s="3244">
        <v>0.15</v>
      </c>
      <c r="D308" s="3244">
        <v>0.15</v>
      </c>
      <c r="E308" s="3244">
        <v>0.15</v>
      </c>
      <c r="F308" s="3244">
        <v>0.13</v>
      </c>
      <c r="G308" s="3245">
        <v>0.15</v>
      </c>
    </row>
    <row r="309" spans="1:7">
      <c r="A309" s="3254" t="s">
        <v>306</v>
      </c>
      <c r="B309" s="3243" t="s">
        <v>2989</v>
      </c>
      <c r="C309" s="3244">
        <v>0.15</v>
      </c>
      <c r="D309" s="3244">
        <v>0.15</v>
      </c>
      <c r="E309" s="3244">
        <v>0.15</v>
      </c>
      <c r="F309" s="3244">
        <v>0.14099999999999999</v>
      </c>
      <c r="G309" s="3245">
        <v>0.15</v>
      </c>
    </row>
    <row r="310" spans="1:7">
      <c r="A310" s="3254" t="s">
        <v>306</v>
      </c>
      <c r="B310" s="3243" t="s">
        <v>2994</v>
      </c>
      <c r="C310" s="3244">
        <v>0.15</v>
      </c>
      <c r="D310" s="3244">
        <v>0.15</v>
      </c>
      <c r="E310" s="3244">
        <v>0.15</v>
      </c>
      <c r="F310" s="3244">
        <v>0.15</v>
      </c>
      <c r="G310" s="3245">
        <v>0.15</v>
      </c>
    </row>
    <row r="311" spans="1:7">
      <c r="A311" s="3254" t="s">
        <v>306</v>
      </c>
      <c r="B311" s="3243" t="s">
        <v>2999</v>
      </c>
      <c r="C311" s="3244">
        <v>0.13200000000000001</v>
      </c>
      <c r="D311" s="3244">
        <v>0.13300000000000001</v>
      </c>
      <c r="E311" s="3244">
        <v>0.14499999999999999</v>
      </c>
      <c r="F311" s="3244">
        <v>0.14199999999999999</v>
      </c>
      <c r="G311" s="3245">
        <v>0.14000000000000001</v>
      </c>
    </row>
    <row r="312" spans="1:7">
      <c r="A312" s="3254" t="s">
        <v>306</v>
      </c>
      <c r="B312" s="3243" t="s">
        <v>3004</v>
      </c>
      <c r="C312" s="3244">
        <v>0.13800000000000001</v>
      </c>
      <c r="D312" s="3244">
        <v>0.14000000000000001</v>
      </c>
      <c r="E312" s="3244">
        <v>0.14599999999999999</v>
      </c>
      <c r="F312" s="3244">
        <v>0.14899999999999999</v>
      </c>
      <c r="G312" s="3245">
        <v>0.14199999999999999</v>
      </c>
    </row>
    <row r="313" spans="1:7">
      <c r="A313" s="3254" t="s">
        <v>306</v>
      </c>
      <c r="B313" s="3243" t="s">
        <v>3009</v>
      </c>
      <c r="C313" s="3244">
        <v>0.125</v>
      </c>
      <c r="D313" s="3244">
        <v>0.127</v>
      </c>
      <c r="E313" s="3244">
        <v>0.14399999999999999</v>
      </c>
      <c r="F313" s="3244">
        <v>0.115</v>
      </c>
      <c r="G313" s="3245">
        <v>0.13600000000000001</v>
      </c>
    </row>
    <row r="314" spans="1:7">
      <c r="A314" s="3254" t="s">
        <v>306</v>
      </c>
      <c r="B314" s="3243" t="s">
        <v>3218</v>
      </c>
      <c r="C314" s="3260"/>
      <c r="D314" s="3260"/>
      <c r="E314" s="3260"/>
      <c r="F314" s="3244">
        <v>0.05</v>
      </c>
      <c r="G314" s="3261"/>
    </row>
    <row r="315" spans="1:7">
      <c r="A315" s="3254" t="s">
        <v>306</v>
      </c>
      <c r="B315" s="3243" t="s">
        <v>3219</v>
      </c>
      <c r="C315" s="3260"/>
      <c r="D315" s="3260"/>
      <c r="E315" s="3260"/>
      <c r="F315" s="3244">
        <v>0.05</v>
      </c>
      <c r="G315" s="3261"/>
    </row>
    <row r="316" spans="1:7">
      <c r="A316" s="3254" t="s">
        <v>306</v>
      </c>
      <c r="B316" s="3243" t="s">
        <v>3220</v>
      </c>
      <c r="C316" s="3255"/>
      <c r="D316" s="3255"/>
      <c r="E316" s="3255"/>
      <c r="F316" s="3244">
        <v>0.05</v>
      </c>
      <c r="G316" s="3261"/>
    </row>
    <row r="317" spans="1:7">
      <c r="A317" s="3254" t="s">
        <v>306</v>
      </c>
      <c r="B317" s="3243" t="s">
        <v>3221</v>
      </c>
      <c r="C317" s="3255"/>
      <c r="D317" s="3255"/>
      <c r="E317" s="3255"/>
      <c r="F317" s="3244">
        <v>0.05</v>
      </c>
      <c r="G317" s="3261"/>
    </row>
    <row r="318" spans="1:7">
      <c r="A318" s="3254" t="s">
        <v>306</v>
      </c>
      <c r="B318" s="3243" t="s">
        <v>3222</v>
      </c>
      <c r="C318" s="3255"/>
      <c r="D318" s="3255"/>
      <c r="E318" s="3255"/>
      <c r="F318" s="3244">
        <v>0.05</v>
      </c>
      <c r="G318" s="3261"/>
    </row>
    <row r="319" spans="1:7">
      <c r="A319" s="3254" t="s">
        <v>306</v>
      </c>
      <c r="B319" s="3243" t="s">
        <v>3223</v>
      </c>
      <c r="C319" s="3255"/>
      <c r="D319" s="3255"/>
      <c r="E319" s="3255"/>
      <c r="F319" s="3244">
        <v>0.05</v>
      </c>
      <c r="G319" s="3261"/>
    </row>
    <row r="320" spans="1:7">
      <c r="A320" s="3254" t="s">
        <v>306</v>
      </c>
      <c r="B320" s="3243" t="s">
        <v>3224</v>
      </c>
      <c r="C320" s="3255"/>
      <c r="D320" s="3255"/>
      <c r="E320" s="3255"/>
      <c r="F320" s="3244">
        <v>0.05</v>
      </c>
      <c r="G320" s="3261"/>
    </row>
    <row r="321" spans="1:7">
      <c r="A321" s="3254" t="s">
        <v>306</v>
      </c>
      <c r="B321" s="3243" t="s">
        <v>3225</v>
      </c>
      <c r="C321" s="3255"/>
      <c r="D321" s="3255"/>
      <c r="E321" s="3255"/>
      <c r="F321" s="3244">
        <v>0.05</v>
      </c>
      <c r="G321" s="3261"/>
    </row>
    <row r="322" spans="1:7">
      <c r="A322" s="3254" t="s">
        <v>306</v>
      </c>
      <c r="B322" s="3243" t="s">
        <v>3226</v>
      </c>
      <c r="C322" s="3255"/>
      <c r="D322" s="3255"/>
      <c r="E322" s="3255"/>
      <c r="F322" s="3244">
        <v>0.05</v>
      </c>
      <c r="G322" s="3261"/>
    </row>
    <row r="323" spans="1:7">
      <c r="A323" s="3254" t="s">
        <v>306</v>
      </c>
      <c r="B323" s="3243" t="s">
        <v>3227</v>
      </c>
      <c r="C323" s="3255"/>
      <c r="D323" s="3255"/>
      <c r="E323" s="3255"/>
      <c r="F323" s="3244">
        <v>0.05</v>
      </c>
      <c r="G323" s="3261"/>
    </row>
    <row r="324" spans="1:7">
      <c r="A324" s="3254" t="s">
        <v>306</v>
      </c>
      <c r="B324" s="3243" t="s">
        <v>3228</v>
      </c>
      <c r="C324" s="3255"/>
      <c r="D324" s="3255"/>
      <c r="E324" s="3255"/>
      <c r="F324" s="3244">
        <v>0.05</v>
      </c>
      <c r="G324" s="3261"/>
    </row>
    <row r="325" spans="1:7">
      <c r="A325" s="3254" t="s">
        <v>306</v>
      </c>
      <c r="B325" s="3243" t="s">
        <v>3229</v>
      </c>
      <c r="C325" s="3255"/>
      <c r="D325" s="3255"/>
      <c r="E325" s="3255"/>
      <c r="F325" s="3244">
        <v>0.05</v>
      </c>
      <c r="G325" s="3261"/>
    </row>
    <row r="326" spans="1:7" ht="14.25" thickBot="1">
      <c r="A326" s="3257" t="s">
        <v>306</v>
      </c>
      <c r="B326" s="3247" t="s">
        <v>3230</v>
      </c>
      <c r="C326" s="3249"/>
      <c r="D326" s="3249"/>
      <c r="E326" s="3249"/>
      <c r="F326" s="3248">
        <v>0.05</v>
      </c>
      <c r="G326" s="3262"/>
    </row>
    <row r="327" spans="1:7">
      <c r="A327" s="3253" t="s">
        <v>307</v>
      </c>
      <c r="B327" s="3239" t="s">
        <v>2862</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2874</v>
      </c>
      <c r="C329" s="3244">
        <v>0.15</v>
      </c>
      <c r="D329" s="3244">
        <v>0.15</v>
      </c>
      <c r="E329" s="3244">
        <v>0.15</v>
      </c>
      <c r="F329" s="3244">
        <v>0.15</v>
      </c>
      <c r="G329" s="3245">
        <v>0.15</v>
      </c>
    </row>
    <row r="330" spans="1:7">
      <c r="A330" s="3254" t="s">
        <v>307</v>
      </c>
      <c r="B330" s="3243" t="s">
        <v>2878</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2886</v>
      </c>
      <c r="C332" s="3244">
        <v>0.15</v>
      </c>
      <c r="D332" s="3244">
        <v>0.15</v>
      </c>
      <c r="E332" s="3244">
        <v>0.15</v>
      </c>
      <c r="F332" s="3244">
        <v>0.15</v>
      </c>
      <c r="G332" s="3245">
        <v>0.15</v>
      </c>
    </row>
    <row r="333" spans="1:7">
      <c r="A333" s="3254" t="s">
        <v>307</v>
      </c>
      <c r="B333" s="3243" t="s">
        <v>2890</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2896</v>
      </c>
      <c r="C336" s="3244">
        <v>0.15</v>
      </c>
      <c r="D336" s="3244">
        <v>0.15</v>
      </c>
      <c r="E336" s="3244">
        <v>0.15</v>
      </c>
      <c r="F336" s="3244">
        <v>0.14199999999999999</v>
      </c>
      <c r="G336" s="3245">
        <v>0.15</v>
      </c>
    </row>
    <row r="337" spans="1:7">
      <c r="A337" s="3254" t="s">
        <v>307</v>
      </c>
      <c r="B337" s="3243" t="s">
        <v>2901</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2908</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2913</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2921</v>
      </c>
      <c r="C345" s="3244">
        <v>0.15</v>
      </c>
      <c r="D345" s="3244">
        <v>0.15</v>
      </c>
      <c r="E345" s="3244">
        <v>0.15</v>
      </c>
      <c r="F345" s="3244">
        <v>0.13800000000000001</v>
      </c>
      <c r="G345" s="3245">
        <v>0.15</v>
      </c>
    </row>
    <row r="346" spans="1:7">
      <c r="A346" s="3254" t="s">
        <v>307</v>
      </c>
      <c r="B346" s="3243" t="s">
        <v>2923</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2930</v>
      </c>
      <c r="C348" s="3244">
        <v>0.15</v>
      </c>
      <c r="D348" s="3244">
        <v>0.15</v>
      </c>
      <c r="E348" s="3244">
        <v>0.15</v>
      </c>
      <c r="F348" s="3244">
        <v>0.14399999999999999</v>
      </c>
      <c r="G348" s="3245">
        <v>0.15</v>
      </c>
    </row>
    <row r="349" spans="1:7">
      <c r="A349" s="3254" t="s">
        <v>307</v>
      </c>
      <c r="B349" s="3243" t="s">
        <v>2935</v>
      </c>
      <c r="C349" s="3244">
        <v>0.15</v>
      </c>
      <c r="D349" s="3244">
        <v>0.15</v>
      </c>
      <c r="E349" s="3244">
        <v>0.15</v>
      </c>
      <c r="F349" s="3244">
        <v>0.15</v>
      </c>
      <c r="G349" s="3245">
        <v>0.15</v>
      </c>
    </row>
    <row r="350" spans="1:7">
      <c r="A350" s="3254" t="s">
        <v>307</v>
      </c>
      <c r="B350" s="3243" t="s">
        <v>2938</v>
      </c>
      <c r="C350" s="3244">
        <v>0.15</v>
      </c>
      <c r="D350" s="3244">
        <v>0.15</v>
      </c>
      <c r="E350" s="3244">
        <v>0.15</v>
      </c>
      <c r="F350" s="3244">
        <v>0.14699999999999999</v>
      </c>
      <c r="G350" s="3245">
        <v>0.15</v>
      </c>
    </row>
    <row r="351" spans="1:7">
      <c r="A351" s="3254" t="s">
        <v>307</v>
      </c>
      <c r="B351" s="3243" t="s">
        <v>2943</v>
      </c>
      <c r="C351" s="3244">
        <v>0.15</v>
      </c>
      <c r="D351" s="3244">
        <v>0.15</v>
      </c>
      <c r="E351" s="3244">
        <v>0.15</v>
      </c>
      <c r="F351" s="3244">
        <v>0.13</v>
      </c>
      <c r="G351" s="3245">
        <v>0.15</v>
      </c>
    </row>
    <row r="352" spans="1:7">
      <c r="A352" s="3254" t="s">
        <v>307</v>
      </c>
      <c r="B352" s="3243" t="s">
        <v>2948</v>
      </c>
      <c r="C352" s="3244">
        <v>0.15</v>
      </c>
      <c r="D352" s="3244">
        <v>0.15</v>
      </c>
      <c r="E352" s="3244">
        <v>0.15</v>
      </c>
      <c r="F352" s="3244">
        <v>0.14599999999999999</v>
      </c>
      <c r="G352" s="3245">
        <v>0.15</v>
      </c>
    </row>
    <row r="353" spans="1:7">
      <c r="A353" s="3254" t="s">
        <v>307</v>
      </c>
      <c r="B353" s="3243" t="s">
        <v>2955</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2968</v>
      </c>
      <c r="C355" s="3244">
        <v>0.15</v>
      </c>
      <c r="D355" s="3244">
        <v>0.15</v>
      </c>
      <c r="E355" s="3244">
        <v>0.15</v>
      </c>
      <c r="F355" s="3244">
        <v>0.15</v>
      </c>
      <c r="G355" s="3245">
        <v>0.15</v>
      </c>
    </row>
    <row r="356" spans="1:7">
      <c r="A356" s="3254" t="s">
        <v>307</v>
      </c>
      <c r="B356" s="3243" t="s">
        <v>2975</v>
      </c>
      <c r="C356" s="3244">
        <v>0.15</v>
      </c>
      <c r="D356" s="3244">
        <v>0.15</v>
      </c>
      <c r="E356" s="3244">
        <v>0.15</v>
      </c>
      <c r="F356" s="3244">
        <v>0.15</v>
      </c>
      <c r="G356" s="3245">
        <v>0.15</v>
      </c>
    </row>
    <row r="357" spans="1:7" ht="14.25" thickBot="1">
      <c r="A357" s="3257" t="s">
        <v>307</v>
      </c>
      <c r="B357" s="3247" t="s">
        <v>2980</v>
      </c>
      <c r="C357" s="3248">
        <v>0.126</v>
      </c>
      <c r="D357" s="3248">
        <v>0.127</v>
      </c>
      <c r="E357" s="3248">
        <v>0.14299999999999999</v>
      </c>
      <c r="F357" s="3248">
        <v>0.125</v>
      </c>
      <c r="G357" s="3250">
        <v>0.129</v>
      </c>
    </row>
    <row r="358" spans="1:7">
      <c r="A358" s="3253" t="s">
        <v>2849</v>
      </c>
      <c r="B358" s="3239" t="s">
        <v>2863</v>
      </c>
      <c r="C358" s="3240">
        <v>0.15</v>
      </c>
      <c r="D358" s="3240">
        <v>0.15</v>
      </c>
      <c r="E358" s="3240">
        <v>0.15</v>
      </c>
      <c r="F358" s="3240">
        <v>0.15</v>
      </c>
      <c r="G358" s="3241">
        <v>0.15</v>
      </c>
    </row>
    <row r="359" spans="1:7">
      <c r="A359" s="3254" t="s">
        <v>2849</v>
      </c>
      <c r="B359" s="3243" t="s">
        <v>2869</v>
      </c>
      <c r="C359" s="3244">
        <v>0.1</v>
      </c>
      <c r="D359" s="3244">
        <v>0.1</v>
      </c>
      <c r="E359" s="3244">
        <v>0.1</v>
      </c>
      <c r="F359" s="3244">
        <v>0.1</v>
      </c>
      <c r="G359" s="3245">
        <v>0.1</v>
      </c>
    </row>
    <row r="360" spans="1:7">
      <c r="A360" s="3254" t="s">
        <v>2849</v>
      </c>
      <c r="B360" s="3243" t="s">
        <v>2875</v>
      </c>
      <c r="C360" s="3244">
        <v>0.15</v>
      </c>
      <c r="D360" s="3244">
        <v>0.15</v>
      </c>
      <c r="E360" s="3244">
        <v>0.15</v>
      </c>
      <c r="F360" s="3244">
        <v>0.14899999999999999</v>
      </c>
      <c r="G360" s="3245">
        <v>0.15</v>
      </c>
    </row>
    <row r="361" spans="1:7">
      <c r="A361" s="3254" t="s">
        <v>2849</v>
      </c>
      <c r="B361" s="3243" t="s">
        <v>153</v>
      </c>
      <c r="C361" s="3244">
        <v>0.15</v>
      </c>
      <c r="D361" s="3244">
        <v>0.15</v>
      </c>
      <c r="E361" s="3244">
        <v>0.15</v>
      </c>
      <c r="F361" s="3244">
        <v>0.115</v>
      </c>
      <c r="G361" s="3245">
        <v>0.15</v>
      </c>
    </row>
    <row r="362" spans="1:7">
      <c r="A362" s="3254" t="s">
        <v>2849</v>
      </c>
      <c r="B362" s="3243" t="s">
        <v>2882</v>
      </c>
      <c r="C362" s="3244">
        <v>0.15</v>
      </c>
      <c r="D362" s="3244">
        <v>0.15</v>
      </c>
      <c r="E362" s="3244">
        <v>0.15</v>
      </c>
      <c r="F362" s="3244">
        <v>0.106</v>
      </c>
      <c r="G362" s="3245">
        <v>0.15</v>
      </c>
    </row>
    <row r="363" spans="1:7">
      <c r="A363" s="3254" t="s">
        <v>2849</v>
      </c>
      <c r="B363" s="3243" t="s">
        <v>2887</v>
      </c>
      <c r="C363" s="3244">
        <v>0.15</v>
      </c>
      <c r="D363" s="3244">
        <v>0.15</v>
      </c>
      <c r="E363" s="3244">
        <v>0.15</v>
      </c>
      <c r="F363" s="3244">
        <v>0.14699999999999999</v>
      </c>
      <c r="G363" s="3245">
        <v>0.15</v>
      </c>
    </row>
    <row r="364" spans="1:7">
      <c r="A364" s="3254" t="s">
        <v>2849</v>
      </c>
      <c r="B364" s="3243" t="s">
        <v>2891</v>
      </c>
      <c r="C364" s="3244">
        <v>0.15</v>
      </c>
      <c r="D364" s="3244">
        <v>0.15</v>
      </c>
      <c r="E364" s="3244">
        <v>0.15</v>
      </c>
      <c r="F364" s="3244">
        <v>0.14799999999999999</v>
      </c>
      <c r="G364" s="3245">
        <v>0.15</v>
      </c>
    </row>
    <row r="365" spans="1:7">
      <c r="A365" s="3254" t="s">
        <v>2849</v>
      </c>
      <c r="B365" s="3243" t="s">
        <v>200</v>
      </c>
      <c r="C365" s="3244">
        <v>0.15</v>
      </c>
      <c r="D365" s="3244">
        <v>0.15</v>
      </c>
      <c r="E365" s="3244">
        <v>0.15</v>
      </c>
      <c r="F365" s="3244">
        <v>0.15</v>
      </c>
      <c r="G365" s="3245">
        <v>0.15</v>
      </c>
    </row>
    <row r="366" spans="1:7">
      <c r="A366" s="3254" t="s">
        <v>2849</v>
      </c>
      <c r="B366" s="3243" t="s">
        <v>2894</v>
      </c>
      <c r="C366" s="3244">
        <v>0.15</v>
      </c>
      <c r="D366" s="3244">
        <v>0.15</v>
      </c>
      <c r="E366" s="3244">
        <v>0.15</v>
      </c>
      <c r="F366" s="3244">
        <v>0.15</v>
      </c>
      <c r="G366" s="3245">
        <v>0.15</v>
      </c>
    </row>
    <row r="367" spans="1:7">
      <c r="A367" s="3254" t="s">
        <v>2849</v>
      </c>
      <c r="B367" s="3243" t="s">
        <v>2897</v>
      </c>
      <c r="C367" s="3244">
        <v>0.15</v>
      </c>
      <c r="D367" s="3244">
        <v>0.15</v>
      </c>
      <c r="E367" s="3244">
        <v>0.15</v>
      </c>
      <c r="F367" s="3244">
        <v>0.14699999999999999</v>
      </c>
      <c r="G367" s="3245">
        <v>0.15</v>
      </c>
    </row>
    <row r="368" spans="1:7">
      <c r="A368" s="3254" t="s">
        <v>2849</v>
      </c>
      <c r="B368" s="3243" t="s">
        <v>2902</v>
      </c>
      <c r="C368" s="3244">
        <v>0.15</v>
      </c>
      <c r="D368" s="3244">
        <v>0.15</v>
      </c>
      <c r="E368" s="3244">
        <v>0.15</v>
      </c>
      <c r="F368" s="3244">
        <v>0.13600000000000001</v>
      </c>
      <c r="G368" s="3245">
        <v>0.15</v>
      </c>
    </row>
    <row r="369" spans="1:7">
      <c r="A369" s="3254" t="s">
        <v>2849</v>
      </c>
      <c r="B369" s="3243" t="s">
        <v>214</v>
      </c>
      <c r="C369" s="3244">
        <v>0.15</v>
      </c>
      <c r="D369" s="3244">
        <v>0.15</v>
      </c>
      <c r="E369" s="3244">
        <v>0.15</v>
      </c>
      <c r="F369" s="3244">
        <v>0.14399999999999999</v>
      </c>
      <c r="G369" s="3245">
        <v>0.15</v>
      </c>
    </row>
    <row r="370" spans="1:7">
      <c r="A370" s="3254" t="s">
        <v>2849</v>
      </c>
      <c r="B370" s="3243" t="s">
        <v>221</v>
      </c>
      <c r="C370" s="3244">
        <v>0.15</v>
      </c>
      <c r="D370" s="3244">
        <v>0.15</v>
      </c>
      <c r="E370" s="3244">
        <v>0.15</v>
      </c>
      <c r="F370" s="3244">
        <v>0.14599999999999999</v>
      </c>
      <c r="G370" s="3245">
        <v>0.15</v>
      </c>
    </row>
    <row r="371" spans="1:7">
      <c r="A371" s="3254" t="s">
        <v>2849</v>
      </c>
      <c r="B371" s="3243" t="s">
        <v>229</v>
      </c>
      <c r="C371" s="3244">
        <v>0.15</v>
      </c>
      <c r="D371" s="3244">
        <v>0.15</v>
      </c>
      <c r="E371" s="3244">
        <v>0.15</v>
      </c>
      <c r="F371" s="3244">
        <v>0.12</v>
      </c>
      <c r="G371" s="3245">
        <v>0.15</v>
      </c>
    </row>
    <row r="372" spans="1:7">
      <c r="A372" s="3254" t="s">
        <v>2849</v>
      </c>
      <c r="B372" s="3243" t="s">
        <v>2910</v>
      </c>
      <c r="C372" s="3244">
        <v>0.15</v>
      </c>
      <c r="D372" s="3244">
        <v>0.15</v>
      </c>
      <c r="E372" s="3244">
        <v>0.15</v>
      </c>
      <c r="F372" s="3244">
        <v>0.14299999999999999</v>
      </c>
      <c r="G372" s="3245">
        <v>0.15</v>
      </c>
    </row>
    <row r="373" spans="1:7">
      <c r="A373" s="3254" t="s">
        <v>2849</v>
      </c>
      <c r="B373" s="3243" t="s">
        <v>258</v>
      </c>
      <c r="C373" s="3244">
        <v>0.15</v>
      </c>
      <c r="D373" s="3244">
        <v>0.15</v>
      </c>
      <c r="E373" s="3244">
        <v>0.15</v>
      </c>
      <c r="F373" s="3244">
        <v>0.14599999999999999</v>
      </c>
      <c r="G373" s="3245">
        <v>0.15</v>
      </c>
    </row>
    <row r="374" spans="1:7">
      <c r="A374" s="3254" t="s">
        <v>2849</v>
      </c>
      <c r="B374" s="3243" t="s">
        <v>266</v>
      </c>
      <c r="C374" s="3244">
        <v>0.15</v>
      </c>
      <c r="D374" s="3244">
        <v>0.15</v>
      </c>
      <c r="E374" s="3244">
        <v>0.15</v>
      </c>
      <c r="F374" s="3244">
        <v>0.14399999999999999</v>
      </c>
      <c r="G374" s="3245">
        <v>0.15</v>
      </c>
    </row>
    <row r="375" spans="1:7">
      <c r="A375" s="3254" t="s">
        <v>2849</v>
      </c>
      <c r="B375" s="3243" t="s">
        <v>2918</v>
      </c>
      <c r="C375" s="3244">
        <v>0.15</v>
      </c>
      <c r="D375" s="3244">
        <v>0.15</v>
      </c>
      <c r="E375" s="3244">
        <v>0.15</v>
      </c>
      <c r="F375" s="3244">
        <v>0.13</v>
      </c>
      <c r="G375" s="3245">
        <v>0.15</v>
      </c>
    </row>
    <row r="376" spans="1:7">
      <c r="A376" s="3254" t="s">
        <v>2849</v>
      </c>
      <c r="B376" s="3243" t="s">
        <v>277</v>
      </c>
      <c r="C376" s="3244">
        <v>0.15</v>
      </c>
      <c r="D376" s="3244">
        <v>0.15</v>
      </c>
      <c r="E376" s="3244">
        <v>0.15</v>
      </c>
      <c r="F376" s="3244">
        <v>0.14199999999999999</v>
      </c>
      <c r="G376" s="3245">
        <v>0.15</v>
      </c>
    </row>
    <row r="377" spans="1:7" ht="14.25" thickBot="1">
      <c r="A377" s="3257" t="s">
        <v>2849</v>
      </c>
      <c r="B377" s="3247" t="s">
        <v>2924</v>
      </c>
      <c r="C377" s="3248">
        <v>0.15</v>
      </c>
      <c r="D377" s="3248">
        <v>0.15</v>
      </c>
      <c r="E377" s="3248">
        <v>0.15</v>
      </c>
      <c r="F377" s="3248">
        <v>0.14000000000000001</v>
      </c>
      <c r="G377" s="3250">
        <v>0.15</v>
      </c>
    </row>
    <row r="378" spans="1:7">
      <c r="A378" s="3253" t="s">
        <v>2850</v>
      </c>
      <c r="B378" s="3239" t="s">
        <v>2864</v>
      </c>
      <c r="C378" s="3240">
        <v>0.15</v>
      </c>
      <c r="D378" s="3240">
        <v>0.15</v>
      </c>
      <c r="E378" s="3240">
        <v>0.15</v>
      </c>
      <c r="F378" s="3240">
        <v>0.107</v>
      </c>
      <c r="G378" s="3241">
        <v>0.15</v>
      </c>
    </row>
    <row r="379" spans="1:7">
      <c r="A379" s="3254" t="s">
        <v>2850</v>
      </c>
      <c r="B379" s="3243" t="s">
        <v>2870</v>
      </c>
      <c r="C379" s="3244">
        <v>0.15</v>
      </c>
      <c r="D379" s="3244">
        <v>0.15</v>
      </c>
      <c r="E379" s="3244">
        <v>0.15</v>
      </c>
      <c r="F379" s="3244">
        <v>0.115</v>
      </c>
      <c r="G379" s="3245">
        <v>0.14899999999999999</v>
      </c>
    </row>
    <row r="380" spans="1:7">
      <c r="A380" s="3254" t="s">
        <v>2850</v>
      </c>
      <c r="B380" s="3243" t="s">
        <v>2876</v>
      </c>
      <c r="C380" s="3244">
        <v>0.15</v>
      </c>
      <c r="D380" s="3244">
        <v>0.15</v>
      </c>
      <c r="E380" s="3244">
        <v>0.15</v>
      </c>
      <c r="F380" s="3244">
        <v>0.1</v>
      </c>
      <c r="G380" s="3245">
        <v>0.14799999999999999</v>
      </c>
    </row>
    <row r="381" spans="1:7">
      <c r="A381" s="3254" t="s">
        <v>2850</v>
      </c>
      <c r="B381" s="3243" t="s">
        <v>2879</v>
      </c>
      <c r="C381" s="3244">
        <v>0.15</v>
      </c>
      <c r="D381" s="3244">
        <v>0.15</v>
      </c>
      <c r="E381" s="3244">
        <v>0.15</v>
      </c>
      <c r="F381" s="3244">
        <v>0.126</v>
      </c>
      <c r="G381" s="3245">
        <v>0.15</v>
      </c>
    </row>
    <row r="382" spans="1:7">
      <c r="A382" s="3254" t="s">
        <v>2850</v>
      </c>
      <c r="B382" s="3243" t="s">
        <v>2883</v>
      </c>
      <c r="C382" s="3244">
        <v>0.15</v>
      </c>
      <c r="D382" s="3244">
        <v>0.15</v>
      </c>
      <c r="E382" s="3244">
        <v>0.15</v>
      </c>
      <c r="F382" s="3244">
        <v>0.15</v>
      </c>
      <c r="G382" s="3245">
        <v>0.15</v>
      </c>
    </row>
    <row r="383" spans="1:7">
      <c r="A383" s="3254" t="s">
        <v>2850</v>
      </c>
      <c r="B383" s="3243" t="s">
        <v>2888</v>
      </c>
      <c r="C383" s="3244">
        <v>0.15</v>
      </c>
      <c r="D383" s="3244">
        <v>0.15</v>
      </c>
      <c r="E383" s="3244">
        <v>0.15</v>
      </c>
      <c r="F383" s="3244">
        <v>0.14699999999999999</v>
      </c>
      <c r="G383" s="3245">
        <v>0.15</v>
      </c>
    </row>
    <row r="384" spans="1:7" ht="14.25" thickBot="1">
      <c r="A384" s="3264" t="s">
        <v>2850</v>
      </c>
      <c r="B384" s="3265" t="s">
        <v>2892</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87" t="s">
        <v>3231</v>
      </c>
      <c r="B1" s="3787"/>
      <c r="C1" s="3787"/>
      <c r="D1" s="3787"/>
      <c r="E1" s="3787"/>
      <c r="F1" s="3788"/>
    </row>
    <row r="2" spans="1:6">
      <c r="A2" s="3270" t="s">
        <v>3232</v>
      </c>
      <c r="B2" s="3271"/>
      <c r="C2" s="3271"/>
      <c r="D2" s="3271"/>
      <c r="E2" s="3271"/>
      <c r="F2" s="3271"/>
    </row>
    <row r="3" spans="1:6">
      <c r="A3" s="3270" t="s">
        <v>3233</v>
      </c>
      <c r="B3" s="3271"/>
      <c r="C3" s="3271"/>
      <c r="D3" s="3271"/>
      <c r="E3" s="3271"/>
      <c r="F3" s="3272" t="s">
        <v>3234</v>
      </c>
    </row>
    <row r="4" spans="1:6">
      <c r="A4" s="3273" t="s">
        <v>672</v>
      </c>
      <c r="B4" s="3273" t="s">
        <v>673</v>
      </c>
      <c r="C4" s="3273" t="s">
        <v>21</v>
      </c>
      <c r="D4" s="3273" t="s">
        <v>674</v>
      </c>
      <c r="E4" s="3273" t="s">
        <v>3</v>
      </c>
      <c r="F4" s="3273" t="s">
        <v>3235</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45631</v>
      </c>
      <c r="B1" s="3189" t="s">
        <v>3381</v>
      </c>
      <c r="C1" s="3190"/>
      <c r="D1" s="3190"/>
      <c r="E1" s="3190"/>
      <c r="F1" s="3190"/>
      <c r="G1" s="3190"/>
      <c r="H1" s="3190"/>
      <c r="I1" s="3190"/>
      <c r="J1" s="3144"/>
      <c r="K1" s="3190" t="s">
        <v>454</v>
      </c>
      <c r="L1" s="3190"/>
      <c r="M1" s="3190"/>
      <c r="N1" s="3190"/>
      <c r="O1" s="3190"/>
      <c r="P1" s="3190"/>
      <c r="Q1" s="3144"/>
      <c r="R1" s="3789" t="s">
        <v>456</v>
      </c>
      <c r="S1" s="3790"/>
      <c r="T1" s="3790"/>
      <c r="U1" s="3790"/>
      <c r="V1" s="3790"/>
      <c r="W1" s="3790"/>
      <c r="X1" s="3144"/>
      <c r="Y1" s="3789" t="s">
        <v>457</v>
      </c>
      <c r="Z1" s="3790"/>
      <c r="AA1" s="3790"/>
      <c r="AB1" s="3790"/>
      <c r="AC1" s="3790"/>
      <c r="AD1" s="3790"/>
    </row>
    <row r="2" spans="1:30" s="3122" customFormat="1" ht="14.25" thickBot="1">
      <c r="B2" s="3123"/>
      <c r="C2" s="3124"/>
      <c r="D2" s="3125" t="s">
        <v>2809</v>
      </c>
      <c r="E2" s="3126" t="s">
        <v>2810</v>
      </c>
      <c r="F2" s="3126" t="s">
        <v>2811</v>
      </c>
      <c r="G2" s="3126" t="s">
        <v>2812</v>
      </c>
      <c r="H2" s="3126" t="s">
        <v>2813</v>
      </c>
      <c r="I2" s="3126" t="s">
        <v>2630</v>
      </c>
      <c r="J2" s="3127"/>
      <c r="K2" s="3125" t="s">
        <v>2809</v>
      </c>
      <c r="L2" s="3126" t="s">
        <v>2810</v>
      </c>
      <c r="M2" s="3126" t="s">
        <v>2811</v>
      </c>
      <c r="N2" s="3126" t="s">
        <v>2812</v>
      </c>
      <c r="O2" s="3126" t="s">
        <v>2814</v>
      </c>
      <c r="P2" s="3126" t="s">
        <v>2630</v>
      </c>
      <c r="Q2" s="3127"/>
      <c r="R2" s="3125" t="s">
        <v>2809</v>
      </c>
      <c r="S2" s="3126" t="s">
        <v>2810</v>
      </c>
      <c r="T2" s="3126" t="s">
        <v>2811</v>
      </c>
      <c r="U2" s="3126" t="s">
        <v>2815</v>
      </c>
      <c r="V2" s="3126" t="s">
        <v>2816</v>
      </c>
      <c r="W2" s="3126" t="s">
        <v>2630</v>
      </c>
      <c r="X2" s="3127"/>
      <c r="Y2" s="3125" t="s">
        <v>2809</v>
      </c>
      <c r="Z2" s="3126" t="s">
        <v>2810</v>
      </c>
      <c r="AA2" s="3126" t="s">
        <v>2811</v>
      </c>
      <c r="AB2" s="3126" t="s">
        <v>2817</v>
      </c>
      <c r="AC2" s="3126" t="s">
        <v>2816</v>
      </c>
      <c r="AD2" s="3126" t="s">
        <v>2630</v>
      </c>
    </row>
    <row r="3" spans="1:30" s="3140" customFormat="1" ht="12.75">
      <c r="A3" s="3128" t="s">
        <v>2818</v>
      </c>
      <c r="B3" s="3129"/>
      <c r="C3" s="3130"/>
      <c r="D3" s="3130">
        <f>ROUND(AVERAGEIF(D4:D21,"&lt;&gt;0"),2)</f>
        <v>0.47</v>
      </c>
      <c r="E3" s="3130">
        <f t="shared" ref="E3:H3" si="0">ROUND(AVERAGEIF(E4:E21,"&lt;&gt;0"),2)</f>
        <v>0.3</v>
      </c>
      <c r="F3" s="3130">
        <f t="shared" si="0"/>
        <v>0.04</v>
      </c>
      <c r="G3" s="3130">
        <f t="shared" si="0"/>
        <v>0.51</v>
      </c>
      <c r="H3" s="3130">
        <f t="shared" si="0"/>
        <v>0.55000000000000004</v>
      </c>
      <c r="I3" s="3130">
        <f>F3</f>
        <v>0.04</v>
      </c>
      <c r="J3" s="3131"/>
      <c r="K3" s="3132">
        <f>ROUND(AVERAGEIF(K4:K21,"&lt;&gt;0"),4)</f>
        <v>4.7000000000000002E-3</v>
      </c>
      <c r="L3" s="3133">
        <f t="shared" ref="L3:O3" si="1">ROUND(AVERAGEIF(L4:L21,"&lt;&gt;0"),4)</f>
        <v>3.0000000000000001E-3</v>
      </c>
      <c r="M3" s="3133">
        <f t="shared" si="1"/>
        <v>4.0000000000000002E-4</v>
      </c>
      <c r="N3" s="3133">
        <f t="shared" si="1"/>
        <v>5.1000000000000004E-3</v>
      </c>
      <c r="O3" s="3133">
        <f t="shared" si="1"/>
        <v>5.4999999999999997E-3</v>
      </c>
      <c r="P3" s="3133">
        <f>M3</f>
        <v>4.0000000000000002E-4</v>
      </c>
      <c r="Q3" s="3131"/>
      <c r="R3" s="3134">
        <f>ROUND(SUMPRODUCT(PRODUCT(1+K4:K21)),4)</f>
        <v>1.0723</v>
      </c>
      <c r="S3" s="3135">
        <f t="shared" ref="S3:V3" si="2">ROUND(SUMPRODUCT(PRODUCT(1+L4:L21)),4)</f>
        <v>1.0465</v>
      </c>
      <c r="T3" s="3135">
        <f t="shared" si="2"/>
        <v>1.0054000000000001</v>
      </c>
      <c r="U3" s="3135">
        <f t="shared" si="2"/>
        <v>1.0790999999999999</v>
      </c>
      <c r="V3" s="3135">
        <f t="shared" si="2"/>
        <v>1.0857000000000001</v>
      </c>
      <c r="W3" s="3134">
        <f>T3</f>
        <v>1.0054000000000001</v>
      </c>
      <c r="X3" s="3131"/>
      <c r="Y3" s="3136">
        <f>ROUND(AVERAGEIF(Y8:Y21,"&lt;&gt;0"),4)</f>
        <v>8.3999999999999995E-3</v>
      </c>
      <c r="Z3" s="3137">
        <f t="shared" ref="Z3:AC3" si="3">ROUND(AVERAGEIF(Z8:Z21,"&lt;&gt;0"),4)</f>
        <v>3.5000000000000001E-3</v>
      </c>
      <c r="AA3" s="3138">
        <f t="shared" si="3"/>
        <v>8.0000000000000004E-4</v>
      </c>
      <c r="AB3" s="3136">
        <f t="shared" si="3"/>
        <v>9.1000000000000004E-3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4" t="s">
        <v>3377</v>
      </c>
      <c r="B5" s="3156">
        <v>2025</v>
      </c>
      <c r="C5" s="3157">
        <v>1</v>
      </c>
      <c r="D5" s="3158">
        <v>0</v>
      </c>
      <c r="E5" s="3158">
        <v>0</v>
      </c>
      <c r="F5" s="3158">
        <v>0</v>
      </c>
      <c r="G5" s="3158">
        <v>0</v>
      </c>
      <c r="H5" s="3158">
        <v>0</v>
      </c>
      <c r="I5" s="3159">
        <f t="shared" ref="I5" si="4">F5</f>
        <v>0</v>
      </c>
      <c r="J5" s="3160"/>
      <c r="K5" s="3161">
        <f t="shared" ref="K5" si="5">D5/100</f>
        <v>0</v>
      </c>
      <c r="L5" s="3151">
        <f t="shared" ref="L5" si="6">E5/100</f>
        <v>0</v>
      </c>
      <c r="M5" s="3151">
        <f t="shared" ref="M5" si="7">F5/100</f>
        <v>0</v>
      </c>
      <c r="N5" s="3151">
        <f t="shared" ref="N5" si="8">G5/100</f>
        <v>0</v>
      </c>
      <c r="O5" s="3151">
        <f t="shared" ref="O5" si="9">H5/100</f>
        <v>0</v>
      </c>
      <c r="P5" s="3151">
        <f>M5</f>
        <v>0</v>
      </c>
      <c r="Q5" s="3160"/>
      <c r="R5" s="3162">
        <f>ROUND(IF(项目基本情况!$B$8="出让",SUMPRODUCT(PRODUCT(1+K5:$K$21)),SUMPRODUCT(PRODUCT(1+K5:$K$20))),4)</f>
        <v>1.0620000000000001</v>
      </c>
      <c r="S5" s="3162">
        <f>ROUND(IF(项目基本情况!$B$8="出让",SUMPRODUCT(PRODUCT(1+L5:$L$21)),SUMPRODUCT(PRODUCT(1+L5:$L$20))),4)</f>
        <v>1.0448</v>
      </c>
      <c r="T5" s="3162">
        <f>ROUND(IF(项目基本情况!$B$8="出让",SUMPRODUCT(PRODUCT(1+M5:$M$21)),SUMPRODUCT(PRODUCT(1+M5:$M$20))),4)</f>
        <v>1.0079</v>
      </c>
      <c r="U5" s="3162">
        <f>ROUND(IF(项目基本情况!$B$8="出让",SUMPRODUCT(PRODUCT(1+N5:$N$21)),SUMPRODUCT(PRODUCT(1+N5:$N$20))),4)</f>
        <v>1.0672999999999999</v>
      </c>
      <c r="V5" s="3162">
        <f>ROUND(IF(项目基本情况!$B$8="出让",SUMPRODUCT(PRODUCT(1+O5:$O$21)),SUMPRODUCT(PRODUCT(1+O5:$O$20))),4)</f>
        <v>1.0818000000000001</v>
      </c>
      <c r="W5" s="3162">
        <f>T5</f>
        <v>1.0079</v>
      </c>
      <c r="X5" s="3160"/>
      <c r="Y5" s="3163">
        <f>IF(D5=0,0,ROUND(AVERAGE(D5:D18)/100,4))</f>
        <v>0</v>
      </c>
      <c r="Z5" s="3163">
        <f t="shared" ref="Z5" si="10">IF(E5=0,0,ROUND(AVERAGE(E5:E18)/100,4))</f>
        <v>0</v>
      </c>
      <c r="AA5" s="3163">
        <f t="shared" ref="AA5" si="11">IF(F5=0,0,ROUND(AVERAGE(F5:F18)/100,4))</f>
        <v>0</v>
      </c>
      <c r="AB5" s="3163">
        <f t="shared" ref="AB5" si="12">IF(G5=0,0,ROUND(AVERAGE(G5:G18)/100,4))</f>
        <v>0</v>
      </c>
      <c r="AC5" s="3163">
        <f t="shared" ref="AC5" si="13">IF(H5=0,0,ROUND(AVERAGE(H5:H18)/100,4))</f>
        <v>0</v>
      </c>
      <c r="AD5" s="3163">
        <f t="shared" ref="AD5" si="14">AA5</f>
        <v>0</v>
      </c>
    </row>
    <row r="6" spans="1:30" s="3174" customFormat="1" ht="12.75">
      <c r="A6" s="3165" t="s">
        <v>3386</v>
      </c>
      <c r="B6" s="3166">
        <v>2024</v>
      </c>
      <c r="C6" s="3167">
        <v>4</v>
      </c>
      <c r="D6" s="3168">
        <v>0</v>
      </c>
      <c r="E6" s="3168">
        <v>0</v>
      </c>
      <c r="F6" s="3168">
        <v>0</v>
      </c>
      <c r="G6" s="3168">
        <v>0</v>
      </c>
      <c r="H6" s="3169">
        <v>0</v>
      </c>
      <c r="I6" s="3170">
        <f t="shared" ref="I6" si="15">F6</f>
        <v>0</v>
      </c>
      <c r="J6" s="3171"/>
      <c r="K6" s="3172">
        <f t="shared" ref="K6" si="16">D6/100</f>
        <v>0</v>
      </c>
      <c r="L6" s="3173">
        <f t="shared" ref="L6" si="17">E6/100</f>
        <v>0</v>
      </c>
      <c r="M6" s="3173">
        <f t="shared" ref="M6" si="18">F6/100</f>
        <v>0</v>
      </c>
      <c r="N6" s="3173">
        <f t="shared" ref="N6" si="19">G6/100</f>
        <v>0</v>
      </c>
      <c r="O6" s="3173">
        <f t="shared" ref="O6" si="20">H6/100</f>
        <v>0</v>
      </c>
      <c r="P6" s="3173">
        <f>M6</f>
        <v>0</v>
      </c>
      <c r="Q6" s="3171"/>
      <c r="R6" s="3171">
        <f>ROUND(IF(项目基本情况!$B$8="出让",SUMPRODUCT(PRODUCT(1+K6:$K$21)),SUMPRODUCT(PRODUCT(1+K6:$K$20))),4)</f>
        <v>1.0620000000000001</v>
      </c>
      <c r="S6" s="3171">
        <f>ROUND(IF(项目基本情况!$B$8="出让",SUMPRODUCT(PRODUCT(1+L6:$L$21)),SUMPRODUCT(PRODUCT(1+L6:$L$20))),4)</f>
        <v>1.0448</v>
      </c>
      <c r="T6" s="3171">
        <f>ROUND(IF(项目基本情况!$B$8="出让",SUMPRODUCT(PRODUCT(1+M6:$M$21)),SUMPRODUCT(PRODUCT(1+M6:$M$20))),4)</f>
        <v>1.0079</v>
      </c>
      <c r="U6" s="3171">
        <f>ROUND(IF(项目基本情况!$B$8="出让",SUMPRODUCT(PRODUCT(1+N6:$N$21)),SUMPRODUCT(PRODUCT(1+N6:$N$20))),4)</f>
        <v>1.0672999999999999</v>
      </c>
      <c r="V6" s="3171">
        <f>ROUND(IF(项目基本情况!$B$8="出让",SUMPRODUCT(PRODUCT(1+O6:$O$21)),SUMPRODUCT(PRODUCT(1+O6:$O$20))),4)</f>
        <v>1.0818000000000001</v>
      </c>
      <c r="W6" s="3171">
        <f>T6</f>
        <v>1.0079</v>
      </c>
      <c r="X6" s="3171"/>
      <c r="Y6" s="3173">
        <f>IF(D6=0,0,ROUND(AVERAGE(D6:D19)/100,4))</f>
        <v>0</v>
      </c>
      <c r="Z6" s="3173">
        <f t="shared" ref="Z6" si="21">IF(E6=0,0,ROUND(AVERAGE(E6:E19)/100,4))</f>
        <v>0</v>
      </c>
      <c r="AA6" s="3173">
        <f t="shared" ref="AA6" si="22">IF(F6=0,0,ROUND(AVERAGE(F6:F19)/100,4))</f>
        <v>0</v>
      </c>
      <c r="AB6" s="3173">
        <f t="shared" ref="AB6" si="23">IF(G6=0,0,ROUND(AVERAGE(G6:G19)/100,4))</f>
        <v>0</v>
      </c>
      <c r="AC6" s="3173">
        <f t="shared" ref="AC6" si="24">IF(H6=0,0,ROUND(AVERAGE(H6:H19)/100,4))</f>
        <v>0</v>
      </c>
      <c r="AD6" s="3173">
        <f t="shared" ref="AD6" si="25">AA6</f>
        <v>0</v>
      </c>
    </row>
    <row r="7" spans="1:30" s="3164" customFormat="1" ht="12.75">
      <c r="A7" s="2204" t="s">
        <v>3385</v>
      </c>
      <c r="B7" s="3156">
        <v>2024</v>
      </c>
      <c r="C7" s="3157">
        <v>3</v>
      </c>
      <c r="D7" s="3158">
        <v>-1.19</v>
      </c>
      <c r="E7" s="3158">
        <v>-0.47</v>
      </c>
      <c r="F7" s="3158">
        <v>-0.28999999999999998</v>
      </c>
      <c r="G7" s="3158">
        <v>-0.74</v>
      </c>
      <c r="H7" s="3158">
        <v>-0.21</v>
      </c>
      <c r="I7" s="3159">
        <f t="shared" ref="I7" si="26">F7</f>
        <v>-0.28999999999999998</v>
      </c>
      <c r="J7" s="3160"/>
      <c r="K7" s="3161">
        <f t="shared" ref="K7" si="27">D7/100</f>
        <v>-1.1899999999999999E-2</v>
      </c>
      <c r="L7" s="3151">
        <f t="shared" ref="L7" si="28">E7/100</f>
        <v>-4.6999999999999993E-3</v>
      </c>
      <c r="M7" s="3151">
        <f t="shared" ref="M7" si="29">F7/100</f>
        <v>-2.8999999999999998E-3</v>
      </c>
      <c r="N7" s="3151">
        <f t="shared" ref="N7" si="30">G7/100</f>
        <v>-7.4000000000000003E-3</v>
      </c>
      <c r="O7" s="3151">
        <f t="shared" ref="O7" si="31">H7/100</f>
        <v>-2.0999999999999999E-3</v>
      </c>
      <c r="P7" s="3151">
        <f>M7</f>
        <v>-2.8999999999999998E-3</v>
      </c>
      <c r="Q7" s="3160"/>
      <c r="R7" s="3162">
        <f>ROUND(IF(项目基本情况!$B$8="出让",SUMPRODUCT(PRODUCT(1+K7:$K$21)),SUMPRODUCT(PRODUCT(1+K7:$K$20))),4)</f>
        <v>1.0620000000000001</v>
      </c>
      <c r="S7" s="3162">
        <f>ROUND(IF(项目基本情况!$B$8="出让",SUMPRODUCT(PRODUCT(1+L7:$L$21)),SUMPRODUCT(PRODUCT(1+L7:$L$20))),4)</f>
        <v>1.0448</v>
      </c>
      <c r="T7" s="3162">
        <f>ROUND(IF(项目基本情况!$B$8="出让",SUMPRODUCT(PRODUCT(1+M7:$M$21)),SUMPRODUCT(PRODUCT(1+M7:$M$20))),4)</f>
        <v>1.0079</v>
      </c>
      <c r="U7" s="3162">
        <f>ROUND(IF(项目基本情况!$B$8="出让",SUMPRODUCT(PRODUCT(1+N7:$N$21)),SUMPRODUCT(PRODUCT(1+N7:$N$20))),4)</f>
        <v>1.0672999999999999</v>
      </c>
      <c r="V7" s="3162">
        <f>ROUND(IF(项目基本情况!$B$8="出让",SUMPRODUCT(PRODUCT(1+O7:$O$21)),SUMPRODUCT(PRODUCT(1+O7:$O$20))),4)</f>
        <v>1.0818000000000001</v>
      </c>
      <c r="W7" s="3162">
        <f>T7</f>
        <v>1.0079</v>
      </c>
      <c r="X7" s="3160"/>
      <c r="Y7" s="3163">
        <f>IF(D7=0,0,ROUND(AVERAGE(D7:D20)/100,4))</f>
        <v>4.3E-3</v>
      </c>
      <c r="Z7" s="3163">
        <f t="shared" ref="Z7" si="32">IF(E7=0,0,ROUND(AVERAGE(E7:E20)/100,4))</f>
        <v>3.0999999999999999E-3</v>
      </c>
      <c r="AA7" s="3163">
        <f t="shared" ref="AA7" si="33">IF(F7=0,0,ROUND(AVERAGE(F7:F20)/100,4))</f>
        <v>5.9999999999999995E-4</v>
      </c>
      <c r="AB7" s="3163">
        <f t="shared" ref="AB7" si="34">IF(G7=0,0,ROUND(AVERAGE(G7:G20)/100,4))</f>
        <v>4.7000000000000002E-3</v>
      </c>
      <c r="AC7" s="3163">
        <f t="shared" ref="AC7" si="35">IF(H7=0,0,ROUND(AVERAGE(H7:H20)/100,4))</f>
        <v>5.5999999999999999E-3</v>
      </c>
      <c r="AD7" s="3163">
        <f t="shared" ref="AD7" si="36">AA7</f>
        <v>5.9999999999999995E-4</v>
      </c>
    </row>
    <row r="8" spans="1:30" s="3164" customFormat="1" ht="12.75">
      <c r="A8" s="3155" t="s">
        <v>3378</v>
      </c>
      <c r="B8" s="3156">
        <v>2024</v>
      </c>
      <c r="C8" s="3157">
        <v>2</v>
      </c>
      <c r="D8" s="3158">
        <v>-0.59</v>
      </c>
      <c r="E8" s="3158">
        <v>-0.21</v>
      </c>
      <c r="F8" s="3158">
        <v>-1.38</v>
      </c>
      <c r="G8" s="3158">
        <v>-1.24</v>
      </c>
      <c r="H8" s="3175">
        <v>0.34</v>
      </c>
      <c r="I8" s="3159">
        <f t="shared" ref="I8:I21" si="37">F8</f>
        <v>-1.38</v>
      </c>
      <c r="J8" s="3160"/>
      <c r="K8" s="3161">
        <f t="shared" ref="K8:O21" si="38">D8/100</f>
        <v>-5.8999999999999999E-3</v>
      </c>
      <c r="L8" s="3151">
        <f t="shared" si="38"/>
        <v>-2.0999999999999999E-3</v>
      </c>
      <c r="M8" s="3151">
        <f t="shared" si="38"/>
        <v>-1.38E-2</v>
      </c>
      <c r="N8" s="3151">
        <f t="shared" si="38"/>
        <v>-1.24E-2</v>
      </c>
      <c r="O8" s="3151">
        <f t="shared" si="38"/>
        <v>3.4000000000000002E-3</v>
      </c>
      <c r="P8" s="3151">
        <f>M8</f>
        <v>-1.38E-2</v>
      </c>
      <c r="Q8" s="3160"/>
      <c r="R8" s="3162">
        <f>ROUND(IF(项目基本情况!$B$8="出让",SUMPRODUCT(PRODUCT(1+K8:$K$21)),SUMPRODUCT(PRODUCT(1+K8:$K$20))),4)</f>
        <v>1.0748</v>
      </c>
      <c r="S8" s="3162">
        <f>ROUND(IF(项目基本情况!$B$8="出让",SUMPRODUCT(PRODUCT(1+L8:$L$21)),SUMPRODUCT(PRODUCT(1+L8:$L$20))),4)</f>
        <v>1.0498000000000001</v>
      </c>
      <c r="T8" s="3162">
        <f>ROUND(IF(项目基本情况!$B$8="出让",SUMPRODUCT(PRODUCT(1+M8:$M$21)),SUMPRODUCT(PRODUCT(1+M8:$M$20))),4)</f>
        <v>1.0107999999999999</v>
      </c>
      <c r="U8" s="3162">
        <f>ROUND(IF(项目基本情况!$B$8="出让",SUMPRODUCT(PRODUCT(1+N8:$N$21)),SUMPRODUCT(PRODUCT(1+N8:$N$20))),4)</f>
        <v>1.0752999999999999</v>
      </c>
      <c r="V8" s="3162">
        <f>ROUND(IF(项目基本情况!$B$8="出让",SUMPRODUCT(PRODUCT(1+O8:$O$21)),SUMPRODUCT(PRODUCT(1+O8:$O$20))),4)</f>
        <v>1.0841000000000001</v>
      </c>
      <c r="W8" s="3162">
        <f>T8</f>
        <v>1.0107999999999999</v>
      </c>
      <c r="X8" s="3160"/>
      <c r="Y8" s="3163">
        <f>IF(D8=0,0,ROUND(AVERAGE(D8:D21)/100,4))</f>
        <v>5.8999999999999999E-3</v>
      </c>
      <c r="Z8" s="3163">
        <f t="shared" ref="Z8:AC8" si="39">IF(E8=0,0,ROUND(AVERAGE(E8:E21)/100,4))</f>
        <v>3.5999999999999999E-3</v>
      </c>
      <c r="AA8" s="3163">
        <f t="shared" si="39"/>
        <v>5.9999999999999995E-4</v>
      </c>
      <c r="AB8" s="3163">
        <f t="shared" si="39"/>
        <v>6.0000000000000001E-3</v>
      </c>
      <c r="AC8" s="3163">
        <f t="shared" si="39"/>
        <v>6.0000000000000001E-3</v>
      </c>
      <c r="AD8" s="3163">
        <f t="shared" ref="AD8:AD20" si="40">AA8</f>
        <v>5.9999999999999995E-4</v>
      </c>
    </row>
    <row r="9" spans="1:30" s="3164" customFormat="1" ht="12.75">
      <c r="A9" s="3155" t="s">
        <v>3374</v>
      </c>
      <c r="B9" s="3156">
        <v>2024</v>
      </c>
      <c r="C9" s="3157">
        <v>1</v>
      </c>
      <c r="D9" s="3158">
        <v>0.08</v>
      </c>
      <c r="E9" s="3158">
        <v>0.46</v>
      </c>
      <c r="F9" s="3158">
        <v>-0.16</v>
      </c>
      <c r="G9" s="3158">
        <v>0.26</v>
      </c>
      <c r="H9" s="3175">
        <v>0.59</v>
      </c>
      <c r="I9" s="3159">
        <v>0</v>
      </c>
      <c r="J9" s="3160"/>
      <c r="K9" s="3161">
        <f t="shared" ref="K9" si="41">D9/100</f>
        <v>8.0000000000000004E-4</v>
      </c>
      <c r="L9" s="3151">
        <f t="shared" ref="L9" si="42">E9/100</f>
        <v>4.5999999999999999E-3</v>
      </c>
      <c r="M9" s="3151">
        <f t="shared" ref="M9" si="43">F9/100</f>
        <v>-1.6000000000000001E-3</v>
      </c>
      <c r="N9" s="3151">
        <f t="shared" ref="N9" si="44">G9/100</f>
        <v>2.5999999999999999E-3</v>
      </c>
      <c r="O9" s="3151">
        <f t="shared" ref="O9" si="45">H9/100</f>
        <v>5.8999999999999999E-3</v>
      </c>
      <c r="P9" s="3151">
        <f t="shared" ref="P9" si="46">M9</f>
        <v>-1.6000000000000001E-3</v>
      </c>
      <c r="Q9" s="3160"/>
      <c r="R9" s="3162">
        <f>ROUND(IF(项目基本情况!$B$8="出让",SUMPRODUCT(PRODUCT(1+K9:$K$21)),SUMPRODUCT(PRODUCT(1+K9:$K$20))),4)</f>
        <v>1.0811999999999999</v>
      </c>
      <c r="S9" s="3162">
        <f>ROUND(IF(项目基本情况!$B$8="出让",SUMPRODUCT(PRODUCT(1+L9:$L$21)),SUMPRODUCT(PRODUCT(1+L9:$L$20))),4)</f>
        <v>1.052</v>
      </c>
      <c r="T9" s="3162">
        <f>ROUND(IF(项目基本情况!$B$8="出让",SUMPRODUCT(PRODUCT(1+M9:$M$21)),SUMPRODUCT(PRODUCT(1+M9:$M$20))),4)</f>
        <v>1.0249999999999999</v>
      </c>
      <c r="U9" s="3162">
        <f>ROUND(IF(项目基本情况!$B$8="出让",SUMPRODUCT(PRODUCT(1+N9:$N$21)),SUMPRODUCT(PRODUCT(1+N9:$N$20))),4)</f>
        <v>1.0888</v>
      </c>
      <c r="V9" s="3162">
        <f>ROUND(IF(项目基本情况!$B$8="出让",SUMPRODUCT(PRODUCT(1+O9:$O$21)),SUMPRODUCT(PRODUCT(1+O9:$O$20))),4)</f>
        <v>1.0804</v>
      </c>
      <c r="W9" s="3162">
        <f t="shared" ref="W9" si="47">T9</f>
        <v>1.0249999999999999</v>
      </c>
      <c r="X9" s="3160"/>
      <c r="Y9" s="3163"/>
      <c r="Z9" s="3163"/>
      <c r="AA9" s="3163"/>
      <c r="AB9" s="3163"/>
      <c r="AC9" s="3163"/>
      <c r="AD9" s="3163"/>
    </row>
    <row r="10" spans="1:30" s="3164" customFormat="1" ht="12.75">
      <c r="A10" s="3155" t="s">
        <v>3370</v>
      </c>
      <c r="B10" s="3156">
        <v>2023</v>
      </c>
      <c r="C10" s="3157">
        <v>4</v>
      </c>
      <c r="D10" s="3158">
        <v>0.19</v>
      </c>
      <c r="E10" s="3158">
        <v>0.24</v>
      </c>
      <c r="F10" s="3158">
        <v>-0.16</v>
      </c>
      <c r="G10" s="3158">
        <v>0.17</v>
      </c>
      <c r="H10" s="3175">
        <v>0.61</v>
      </c>
      <c r="I10" s="3159">
        <f>F10</f>
        <v>-0.16</v>
      </c>
      <c r="J10" s="3160"/>
      <c r="K10" s="3161">
        <f t="shared" si="38"/>
        <v>1.9E-3</v>
      </c>
      <c r="L10" s="3151">
        <f t="shared" si="38"/>
        <v>2.3999999999999998E-3</v>
      </c>
      <c r="M10" s="3151">
        <f t="shared" si="38"/>
        <v>-1.6000000000000001E-3</v>
      </c>
      <c r="N10" s="3151">
        <f t="shared" si="38"/>
        <v>1.7000000000000001E-3</v>
      </c>
      <c r="O10" s="3151">
        <f t="shared" si="38"/>
        <v>6.0999999999999995E-3</v>
      </c>
      <c r="P10" s="3151">
        <f t="shared" ref="P10" si="48">M10</f>
        <v>-1.6000000000000001E-3</v>
      </c>
      <c r="Q10" s="3160"/>
      <c r="R10" s="3162">
        <f>ROUND(IF(项目基本情况!$B$8="出让",SUMPRODUCT(PRODUCT(1+K10:$K$21)),SUMPRODUCT(PRODUCT(1+K10:$K$20))),4)</f>
        <v>1.0804</v>
      </c>
      <c r="S10" s="3162">
        <f>ROUND(IF(项目基本情况!$B$8="出让",SUMPRODUCT(PRODUCT(1+L10:$L$21)),SUMPRODUCT(PRODUCT(1+L10:$L$20))),4)</f>
        <v>1.0471999999999999</v>
      </c>
      <c r="T10" s="3162">
        <f>ROUND(IF(项目基本情况!$B$8="出让",SUMPRODUCT(PRODUCT(1+M10:$M$21)),SUMPRODUCT(PRODUCT(1+M10:$M$20))),4)</f>
        <v>1.0266</v>
      </c>
      <c r="U10" s="3162">
        <f>ROUND(IF(项目基本情况!$B$8="出让",SUMPRODUCT(PRODUCT(1+N10:$N$21)),SUMPRODUCT(PRODUCT(1+N10:$N$20))),4)</f>
        <v>1.0859000000000001</v>
      </c>
      <c r="V10" s="3162">
        <f>ROUND(IF(项目基本情况!$B$8="出让",SUMPRODUCT(PRODUCT(1+O10:$O$21)),SUMPRODUCT(PRODUCT(1+O10:$O$20))),4)</f>
        <v>1.0741000000000001</v>
      </c>
      <c r="W10" s="3162">
        <f t="shared" ref="W10" si="49">T10</f>
        <v>1.0266</v>
      </c>
      <c r="X10" s="3160"/>
      <c r="Y10" s="3163"/>
      <c r="Z10" s="3163"/>
      <c r="AA10" s="3163"/>
      <c r="AB10" s="3163"/>
      <c r="AC10" s="3163"/>
      <c r="AD10" s="3163"/>
    </row>
    <row r="11" spans="1:30" s="3164" customFormat="1" ht="12.75">
      <c r="A11" s="3155" t="s">
        <v>3369</v>
      </c>
      <c r="B11" s="3156">
        <v>2023</v>
      </c>
      <c r="C11" s="3157">
        <v>3</v>
      </c>
      <c r="D11" s="3158">
        <v>0.25</v>
      </c>
      <c r="E11" s="3158">
        <v>0.5</v>
      </c>
      <c r="F11" s="3158">
        <v>0.31</v>
      </c>
      <c r="G11" s="3158">
        <v>0.21</v>
      </c>
      <c r="H11" s="3175">
        <v>0.43</v>
      </c>
      <c r="I11" s="3159">
        <f t="shared" si="37"/>
        <v>0.31</v>
      </c>
      <c r="J11" s="3160"/>
      <c r="K11" s="3161">
        <f t="shared" ref="K11:K13" si="50">D11/100</f>
        <v>2.5000000000000001E-3</v>
      </c>
      <c r="L11" s="3151">
        <f t="shared" ref="L11:L13" si="51">E11/100</f>
        <v>5.0000000000000001E-3</v>
      </c>
      <c r="M11" s="3151">
        <f t="shared" ref="M11:M13" si="52">F11/100</f>
        <v>3.0999999999999999E-3</v>
      </c>
      <c r="N11" s="3151">
        <f t="shared" ref="N11:N13" si="53">G11/100</f>
        <v>2.0999999999999999E-3</v>
      </c>
      <c r="O11" s="3151">
        <f t="shared" ref="O11:O13" si="54">H11/100</f>
        <v>4.3E-3</v>
      </c>
      <c r="P11" s="3151">
        <f t="shared" ref="P11:P13" si="55">M11</f>
        <v>3.0999999999999999E-3</v>
      </c>
      <c r="Q11" s="3160"/>
      <c r="R11" s="3162">
        <f>ROUND(IF(项目基本情况!$B$8="出让",SUMPRODUCT(PRODUCT(1+K11:$K$21)),SUMPRODUCT(PRODUCT(1+K11:$K$20))),4)</f>
        <v>1.0783</v>
      </c>
      <c r="S11" s="3162">
        <f>ROUND(IF(项目基本情况!$B$8="出让",SUMPRODUCT(PRODUCT(1+L11:$L$21)),SUMPRODUCT(PRODUCT(1+L11:$L$20))),4)</f>
        <v>1.0447</v>
      </c>
      <c r="T11" s="3162">
        <f>ROUND(IF(项目基本情况!$B$8="出让",SUMPRODUCT(PRODUCT(1+M11:$M$21)),SUMPRODUCT(PRODUCT(1+M11:$M$20))),4)</f>
        <v>1.0282</v>
      </c>
      <c r="U11" s="3162">
        <f>ROUND(IF(项目基本情况!$B$8="出让",SUMPRODUCT(PRODUCT(1+N11:$N$21)),SUMPRODUCT(PRODUCT(1+N11:$N$20))),4)</f>
        <v>1.0841000000000001</v>
      </c>
      <c r="V11" s="3162">
        <f>ROUND(IF(项目基本情况!$B$8="出让",SUMPRODUCT(PRODUCT(1+O11:$O$21)),SUMPRODUCT(PRODUCT(1+O11:$O$20))),4)</f>
        <v>1.0674999999999999</v>
      </c>
      <c r="W11" s="3162">
        <f t="shared" ref="W11:W12" si="56">T11</f>
        <v>1.0282</v>
      </c>
      <c r="X11" s="3160"/>
      <c r="Y11" s="3163"/>
      <c r="Z11" s="3163"/>
      <c r="AA11" s="3163"/>
      <c r="AB11" s="3163"/>
      <c r="AC11" s="3163"/>
      <c r="AD11" s="3163"/>
    </row>
    <row r="12" spans="1:30" s="3164" customFormat="1" ht="12.75">
      <c r="A12" s="3155" t="s">
        <v>3367</v>
      </c>
      <c r="B12" s="3156">
        <v>2023</v>
      </c>
      <c r="C12" s="3157">
        <v>2</v>
      </c>
      <c r="D12" s="3158">
        <v>0.91</v>
      </c>
      <c r="E12" s="3158">
        <v>0.66</v>
      </c>
      <c r="F12" s="3158">
        <v>0.47</v>
      </c>
      <c r="G12" s="3158">
        <v>0.96</v>
      </c>
      <c r="H12" s="3175">
        <v>0.71</v>
      </c>
      <c r="I12" s="3159">
        <f t="shared" si="37"/>
        <v>0.47</v>
      </c>
      <c r="J12" s="3160"/>
      <c r="K12" s="3161">
        <f t="shared" si="50"/>
        <v>9.1000000000000004E-3</v>
      </c>
      <c r="L12" s="3151">
        <f t="shared" si="51"/>
        <v>6.6E-3</v>
      </c>
      <c r="M12" s="3151">
        <f t="shared" si="52"/>
        <v>4.6999999999999993E-3</v>
      </c>
      <c r="N12" s="3151">
        <f t="shared" si="53"/>
        <v>9.5999999999999992E-3</v>
      </c>
      <c r="O12" s="3151">
        <f t="shared" si="54"/>
        <v>7.0999999999999995E-3</v>
      </c>
      <c r="P12" s="3151">
        <f t="shared" si="55"/>
        <v>4.6999999999999993E-3</v>
      </c>
      <c r="Q12" s="3160"/>
      <c r="R12" s="3162">
        <f>ROUND(IF(项目基本情况!$B$8="出让",SUMPRODUCT(PRODUCT(1+K12:$K$21)),SUMPRODUCT(PRODUCT(1+K12:$K$20))),4)</f>
        <v>1.0755999999999999</v>
      </c>
      <c r="S12" s="3162">
        <f>ROUND(IF(项目基本情况!$B$8="出让",SUMPRODUCT(PRODUCT(1+L12:$L$21)),SUMPRODUCT(PRODUCT(1+L12:$L$20))),4)</f>
        <v>1.0395000000000001</v>
      </c>
      <c r="T12" s="3162">
        <f>ROUND(IF(项目基本情况!$B$8="出让",SUMPRODUCT(PRODUCT(1+M12:$M$21)),SUMPRODUCT(PRODUCT(1+M12:$M$20))),4)</f>
        <v>1.0250999999999999</v>
      </c>
      <c r="U12" s="3162">
        <f>ROUND(IF(项目基本情况!$B$8="出让",SUMPRODUCT(PRODUCT(1+N12:$N$21)),SUMPRODUCT(PRODUCT(1+N12:$N$20))),4)</f>
        <v>1.0818000000000001</v>
      </c>
      <c r="V12" s="3162">
        <f>ROUND(IF(项目基本情况!$B$8="出让",SUMPRODUCT(PRODUCT(1+O12:$O$21)),SUMPRODUCT(PRODUCT(1+O12:$O$20))),4)</f>
        <v>1.0629999999999999</v>
      </c>
      <c r="W12" s="3162">
        <f t="shared" si="56"/>
        <v>1.0250999999999999</v>
      </c>
      <c r="X12" s="3160"/>
      <c r="Y12" s="3163"/>
      <c r="Z12" s="3163"/>
      <c r="AA12" s="3163"/>
      <c r="AB12" s="3163"/>
      <c r="AC12" s="3163"/>
      <c r="AD12" s="3163"/>
    </row>
    <row r="13" spans="1:30" s="3164" customFormat="1" ht="12.75">
      <c r="A13" s="3155" t="s">
        <v>3366</v>
      </c>
      <c r="B13" s="3156">
        <v>2023</v>
      </c>
      <c r="C13" s="3157">
        <v>1</v>
      </c>
      <c r="D13" s="3158">
        <v>0.89</v>
      </c>
      <c r="E13" s="3158">
        <v>0.74</v>
      </c>
      <c r="F13" s="3158">
        <v>0.56999999999999995</v>
      </c>
      <c r="G13" s="3158">
        <v>0.92</v>
      </c>
      <c r="H13" s="3175">
        <v>0.5</v>
      </c>
      <c r="I13" s="3159">
        <f t="shared" si="37"/>
        <v>0.56999999999999995</v>
      </c>
      <c r="J13" s="3160"/>
      <c r="K13" s="3161">
        <f t="shared" si="50"/>
        <v>8.8999999999999999E-3</v>
      </c>
      <c r="L13" s="3151">
        <f t="shared" si="51"/>
        <v>7.4000000000000003E-3</v>
      </c>
      <c r="M13" s="3151">
        <f t="shared" si="52"/>
        <v>5.6999999999999993E-3</v>
      </c>
      <c r="N13" s="3151">
        <f t="shared" si="53"/>
        <v>9.1999999999999998E-3</v>
      </c>
      <c r="O13" s="3151">
        <f t="shared" si="54"/>
        <v>5.0000000000000001E-3</v>
      </c>
      <c r="P13" s="3151">
        <f t="shared" si="55"/>
        <v>5.6999999999999993E-3</v>
      </c>
      <c r="Q13" s="3160"/>
      <c r="R13" s="3162">
        <f>ROUND(IF(项目基本情况!$B$8="出让",SUMPRODUCT(PRODUCT(1+K13:$K$21)),SUMPRODUCT(PRODUCT(1+K13:$K$20))),4)</f>
        <v>1.0659000000000001</v>
      </c>
      <c r="S13" s="3162">
        <f>ROUND(IF(项目基本情况!$B$8="出让",SUMPRODUCT(PRODUCT(1+L13:$L$21)),SUMPRODUCT(PRODUCT(1+L13:$L$20))),4)</f>
        <v>1.0326</v>
      </c>
      <c r="T13" s="3162">
        <f>ROUND(IF(项目基本情况!$B$8="出让",SUMPRODUCT(PRODUCT(1+M13:$M$21)),SUMPRODUCT(PRODUCT(1+M13:$M$20))),4)</f>
        <v>1.0203</v>
      </c>
      <c r="U13" s="3162">
        <f>ROUND(IF(项目基本情况!$B$8="出让",SUMPRODUCT(PRODUCT(1+N13:$N$21)),SUMPRODUCT(PRODUCT(1+N13:$N$20))),4)</f>
        <v>1.0714999999999999</v>
      </c>
      <c r="V13" s="3162">
        <f>ROUND(IF(项目基本情况!$B$8="出让",SUMPRODUCT(PRODUCT(1+O13:$O$21)),SUMPRODUCT(PRODUCT(1+O13:$O$20))),4)</f>
        <v>1.0555000000000001</v>
      </c>
      <c r="W13" s="3162">
        <f t="shared" ref="W13:W20" si="57">T13</f>
        <v>1.0203</v>
      </c>
      <c r="X13" s="3160"/>
      <c r="Y13" s="3163"/>
      <c r="Z13" s="3163"/>
      <c r="AA13" s="3163"/>
      <c r="AB13" s="3163"/>
      <c r="AC13" s="3163"/>
      <c r="AD13" s="3163"/>
    </row>
    <row r="14" spans="1:30" s="3164" customFormat="1" ht="12.75">
      <c r="A14" s="3155" t="s">
        <v>3365</v>
      </c>
      <c r="B14" s="3156">
        <v>2022</v>
      </c>
      <c r="C14" s="3157">
        <v>4</v>
      </c>
      <c r="D14" s="3158">
        <v>0.62</v>
      </c>
      <c r="E14" s="3158">
        <v>0.2</v>
      </c>
      <c r="F14" s="3158">
        <v>0.11</v>
      </c>
      <c r="G14" s="3158">
        <v>0.69</v>
      </c>
      <c r="H14" s="3175">
        <v>0.53</v>
      </c>
      <c r="I14" s="3159">
        <f t="shared" si="37"/>
        <v>0.11</v>
      </c>
      <c r="J14" s="3160"/>
      <c r="K14" s="3161">
        <f t="shared" si="38"/>
        <v>6.1999999999999998E-3</v>
      </c>
      <c r="L14" s="3151">
        <f t="shared" si="38"/>
        <v>2E-3</v>
      </c>
      <c r="M14" s="3151">
        <f t="shared" si="38"/>
        <v>1.1000000000000001E-3</v>
      </c>
      <c r="N14" s="3151">
        <f t="shared" si="38"/>
        <v>6.8999999999999999E-3</v>
      </c>
      <c r="O14" s="3151">
        <f t="shared" si="38"/>
        <v>5.3E-3</v>
      </c>
      <c r="P14" s="3151">
        <f t="shared" ref="P14:P21" si="58">M14</f>
        <v>1.1000000000000001E-3</v>
      </c>
      <c r="Q14" s="3160"/>
      <c r="R14" s="3162">
        <f>ROUND(IF(项目基本情况!$B$8="出让",SUMPRODUCT(PRODUCT(1+K14:$K$21)),SUMPRODUCT(PRODUCT(1+K14:$K$20))),4)</f>
        <v>1.0565</v>
      </c>
      <c r="S14" s="3162">
        <f>ROUND(IF(项目基本情况!$B$8="出让",SUMPRODUCT(PRODUCT(1+L14:$L$21)),SUMPRODUCT(PRODUCT(1+L14:$L$20))),4)</f>
        <v>1.0250999999999999</v>
      </c>
      <c r="T14" s="3162">
        <f>ROUND(IF(项目基本情况!$B$8="出让",SUMPRODUCT(PRODUCT(1+M14:$M$21)),SUMPRODUCT(PRODUCT(1+M14:$M$20))),4)</f>
        <v>1.0145</v>
      </c>
      <c r="U14" s="3162">
        <f>ROUND(IF(项目基本情况!$B$8="出让",SUMPRODUCT(PRODUCT(1+N14:$N$21)),SUMPRODUCT(PRODUCT(1+N14:$N$20))),4)</f>
        <v>1.0618000000000001</v>
      </c>
      <c r="V14" s="3162">
        <f>ROUND(IF(项目基本情况!$B$8="出让",SUMPRODUCT(PRODUCT(1+O14:$O$21)),SUMPRODUCT(PRODUCT(1+O14:$O$20))),4)</f>
        <v>1.0502</v>
      </c>
      <c r="W14" s="3162">
        <f t="shared" si="57"/>
        <v>1.0145</v>
      </c>
      <c r="X14" s="3160"/>
      <c r="Y14" s="3163">
        <f>IF(D14=0,0,ROUND(AVERAGE(D14:D22)/100,4))</f>
        <v>8.0999999999999996E-3</v>
      </c>
      <c r="Z14" s="3163">
        <f t="shared" ref="Z14:AC14" si="59">IF(E14=0,0,ROUND(AVERAGE(E14:E21)/100,4))</f>
        <v>3.3E-3</v>
      </c>
      <c r="AA14" s="3163">
        <f t="shared" si="59"/>
        <v>1.5E-3</v>
      </c>
      <c r="AB14" s="3163">
        <f t="shared" si="59"/>
        <v>8.8999999999999999E-3</v>
      </c>
      <c r="AC14" s="3163">
        <f t="shared" si="59"/>
        <v>6.6E-3</v>
      </c>
      <c r="AD14" s="3163">
        <f t="shared" si="40"/>
        <v>1.5E-3</v>
      </c>
    </row>
    <row r="15" spans="1:30" s="3164" customFormat="1" ht="12.75">
      <c r="A15" s="3155" t="s">
        <v>3363</v>
      </c>
      <c r="B15" s="3156">
        <v>2022</v>
      </c>
      <c r="C15" s="3157">
        <v>3</v>
      </c>
      <c r="D15" s="3158">
        <v>0.66</v>
      </c>
      <c r="E15" s="3158">
        <v>0.32</v>
      </c>
      <c r="F15" s="3158">
        <v>0.23</v>
      </c>
      <c r="G15" s="3158">
        <v>0.72</v>
      </c>
      <c r="H15" s="3175">
        <v>0.63</v>
      </c>
      <c r="I15" s="3159">
        <f t="shared" si="37"/>
        <v>0.23</v>
      </c>
      <c r="J15" s="3160"/>
      <c r="K15" s="3161">
        <f t="shared" si="38"/>
        <v>6.6E-3</v>
      </c>
      <c r="L15" s="3151">
        <f t="shared" si="38"/>
        <v>3.2000000000000002E-3</v>
      </c>
      <c r="M15" s="3151">
        <f t="shared" si="38"/>
        <v>2.3E-3</v>
      </c>
      <c r="N15" s="3151">
        <f t="shared" si="38"/>
        <v>7.1999999999999998E-3</v>
      </c>
      <c r="O15" s="3151">
        <f t="shared" si="38"/>
        <v>6.3E-3</v>
      </c>
      <c r="P15" s="3151">
        <f t="shared" si="58"/>
        <v>2.3E-3</v>
      </c>
      <c r="Q15" s="3160"/>
      <c r="R15" s="3162">
        <f>ROUND(IF(项目基本情况!$B$8="出让",SUMPRODUCT(PRODUCT(1+K15:$K$21)),SUMPRODUCT(PRODUCT(1+K15:$K$20))),4)</f>
        <v>1.05</v>
      </c>
      <c r="S15" s="3162">
        <f>ROUND(IF(项目基本情况!$B$8="出让",SUMPRODUCT(PRODUCT(1+L15:$L$21)),SUMPRODUCT(PRODUCT(1+L15:$L$20))),4)</f>
        <v>1.0229999999999999</v>
      </c>
      <c r="T15" s="3162">
        <f>ROUND(IF(项目基本情况!$B$8="出让",SUMPRODUCT(PRODUCT(1+M15:$M$21)),SUMPRODUCT(PRODUCT(1+M15:$M$20))),4)</f>
        <v>1.0134000000000001</v>
      </c>
      <c r="U15" s="3162">
        <f>ROUND(IF(项目基本情况!$B$8="出让",SUMPRODUCT(PRODUCT(1+N15:$N$21)),SUMPRODUCT(PRODUCT(1+N15:$N$20))),4)</f>
        <v>1.0545</v>
      </c>
      <c r="V15" s="3162">
        <f>ROUND(IF(项目基本情况!$B$8="出让",SUMPRODUCT(PRODUCT(1+O15:$O$21)),SUMPRODUCT(PRODUCT(1+O15:$O$20))),4)</f>
        <v>1.0447</v>
      </c>
      <c r="W15" s="3162">
        <f t="shared" si="57"/>
        <v>1.0134000000000001</v>
      </c>
      <c r="X15" s="3160"/>
      <c r="Y15" s="3163">
        <f>IF(D15=0,0,ROUND(AVERAGE(D15:D21)/100,4))</f>
        <v>8.3999999999999995E-3</v>
      </c>
      <c r="Z15" s="3163">
        <f t="shared" ref="Z15:AC15" si="60">IF(E15=0,0,ROUND(AVERAGE(E15:E21)/100,4))</f>
        <v>3.5000000000000001E-3</v>
      </c>
      <c r="AA15" s="3163">
        <f t="shared" si="60"/>
        <v>1.5E-3</v>
      </c>
      <c r="AB15" s="3163">
        <f t="shared" si="60"/>
        <v>9.1999999999999998E-3</v>
      </c>
      <c r="AC15" s="3163">
        <f t="shared" si="60"/>
        <v>6.7999999999999996E-3</v>
      </c>
      <c r="AD15" s="3163">
        <f t="shared" si="40"/>
        <v>1.5E-3</v>
      </c>
    </row>
    <row r="16" spans="1:30" s="3164" customFormat="1" ht="12.75">
      <c r="A16" s="3155" t="s">
        <v>3354</v>
      </c>
      <c r="B16" s="3156">
        <v>2022</v>
      </c>
      <c r="C16" s="3157">
        <v>2</v>
      </c>
      <c r="D16" s="3158">
        <v>0.93</v>
      </c>
      <c r="E16" s="3158">
        <v>0.15</v>
      </c>
      <c r="F16" s="3158">
        <v>0.01</v>
      </c>
      <c r="G16" s="3158">
        <v>1.05</v>
      </c>
      <c r="H16" s="3175">
        <v>1.08</v>
      </c>
      <c r="I16" s="3159">
        <f t="shared" si="37"/>
        <v>0.01</v>
      </c>
      <c r="J16" s="3160"/>
      <c r="K16" s="3161">
        <f t="shared" si="38"/>
        <v>9.300000000000001E-3</v>
      </c>
      <c r="L16" s="3151">
        <f t="shared" si="38"/>
        <v>1.5E-3</v>
      </c>
      <c r="M16" s="3151">
        <f t="shared" si="38"/>
        <v>1E-4</v>
      </c>
      <c r="N16" s="3151">
        <f t="shared" si="38"/>
        <v>1.0500000000000001E-2</v>
      </c>
      <c r="O16" s="3151">
        <f t="shared" si="38"/>
        <v>1.0800000000000001E-2</v>
      </c>
      <c r="P16" s="3151">
        <f t="shared" si="58"/>
        <v>1E-4</v>
      </c>
      <c r="Q16" s="3160"/>
      <c r="R16" s="3162">
        <f>ROUND(IF(项目基本情况!$B$8="出让",SUMPRODUCT(PRODUCT(1+K16:$K$21)),SUMPRODUCT(PRODUCT(1+K16:$K$20))),4)</f>
        <v>1.0430999999999999</v>
      </c>
      <c r="S16" s="3162">
        <f>ROUND(IF(项目基本情况!$B$8="出让",SUMPRODUCT(PRODUCT(1+L16:$L$21)),SUMPRODUCT(PRODUCT(1+L16:$L$20))),4)</f>
        <v>1.0197000000000001</v>
      </c>
      <c r="T16" s="3162">
        <f>ROUND(IF(项目基本情况!$B$8="出让",SUMPRODUCT(PRODUCT(1+M16:$M$21)),SUMPRODUCT(PRODUCT(1+M16:$M$20))),4)</f>
        <v>1.0109999999999999</v>
      </c>
      <c r="U16" s="3162">
        <f>ROUND(IF(项目基本情况!$B$8="出让",SUMPRODUCT(PRODUCT(1+N16:$N$21)),SUMPRODUCT(PRODUCT(1+N16:$N$20))),4)</f>
        <v>1.0468999999999999</v>
      </c>
      <c r="V16" s="3162">
        <f>ROUND(IF(项目基本情况!$B$8="出让",SUMPRODUCT(PRODUCT(1+O16:$O$21)),SUMPRODUCT(PRODUCT(1+O16:$O$20))),4)</f>
        <v>1.0382</v>
      </c>
      <c r="W16" s="3162">
        <f t="shared" si="57"/>
        <v>1.0109999999999999</v>
      </c>
      <c r="X16" s="3160"/>
      <c r="Y16" s="3163">
        <f>IF(D16=0,0,ROUND(AVERAGE(D16:D21)/100,4))</f>
        <v>8.6999999999999994E-3</v>
      </c>
      <c r="Z16" s="3163">
        <f t="shared" ref="Z16:AC16" si="61">IF(E16=0,0,ROUND(AVERAGE(E16:E21)/100,4))</f>
        <v>3.5000000000000001E-3</v>
      </c>
      <c r="AA16" s="3163">
        <f t="shared" si="61"/>
        <v>1.4E-3</v>
      </c>
      <c r="AB16" s="3163">
        <f t="shared" si="61"/>
        <v>9.4999999999999998E-3</v>
      </c>
      <c r="AC16" s="3163">
        <f t="shared" si="61"/>
        <v>6.8999999999999999E-3</v>
      </c>
      <c r="AD16" s="3163">
        <f t="shared" si="40"/>
        <v>1.4E-3</v>
      </c>
    </row>
    <row r="17" spans="1:30" s="3164" customFormat="1" ht="12.75">
      <c r="A17" s="3155" t="s">
        <v>2819</v>
      </c>
      <c r="B17" s="3156">
        <v>2022</v>
      </c>
      <c r="C17" s="3157">
        <v>1</v>
      </c>
      <c r="D17" s="3158">
        <v>0.89</v>
      </c>
      <c r="E17" s="3158">
        <v>0.44</v>
      </c>
      <c r="F17" s="3158">
        <v>0.37</v>
      </c>
      <c r="G17" s="3158">
        <v>0.96</v>
      </c>
      <c r="H17" s="3175">
        <v>0.64</v>
      </c>
      <c r="I17" s="3159">
        <f t="shared" si="37"/>
        <v>0.37</v>
      </c>
      <c r="J17" s="3160"/>
      <c r="K17" s="3161">
        <f t="shared" si="38"/>
        <v>8.8999999999999999E-3</v>
      </c>
      <c r="L17" s="3151">
        <f t="shared" si="38"/>
        <v>4.4000000000000003E-3</v>
      </c>
      <c r="M17" s="3151">
        <f t="shared" si="38"/>
        <v>3.7000000000000002E-3</v>
      </c>
      <c r="N17" s="3151">
        <f t="shared" si="38"/>
        <v>9.5999999999999992E-3</v>
      </c>
      <c r="O17" s="3151">
        <f t="shared" si="38"/>
        <v>6.4000000000000003E-3</v>
      </c>
      <c r="P17" s="3151">
        <f t="shared" si="58"/>
        <v>3.7000000000000002E-3</v>
      </c>
      <c r="Q17" s="3160"/>
      <c r="R17" s="3162">
        <f>ROUND(IF(项目基本情况!$B$8="出让",SUMPRODUCT(PRODUCT(1+K17:$K$21)),SUMPRODUCT(PRODUCT(1+K17:$K$20))),4)</f>
        <v>1.0335000000000001</v>
      </c>
      <c r="S17" s="3162">
        <f>ROUND(IF(项目基本情况!$B$8="出让",SUMPRODUCT(PRODUCT(1+L17:$L$21)),SUMPRODUCT(PRODUCT(1+L17:$L$20))),4)</f>
        <v>1.0182</v>
      </c>
      <c r="T17" s="3162">
        <f>ROUND(IF(项目基本情况!$B$8="出让",SUMPRODUCT(PRODUCT(1+M17:$M$21)),SUMPRODUCT(PRODUCT(1+M17:$M$20))),4)</f>
        <v>1.0108999999999999</v>
      </c>
      <c r="U17" s="3162">
        <f>ROUND(IF(项目基本情况!$B$8="出让",SUMPRODUCT(PRODUCT(1+N17:$N$21)),SUMPRODUCT(PRODUCT(1+N17:$N$20))),4)</f>
        <v>1.0361</v>
      </c>
      <c r="V17" s="3162">
        <f>ROUND(IF(项目基本情况!$B$8="出让",SUMPRODUCT(PRODUCT(1+O17:$O$21)),SUMPRODUCT(PRODUCT(1+O17:$O$20))),4)</f>
        <v>1.0270999999999999</v>
      </c>
      <c r="W17" s="3162">
        <f t="shared" si="57"/>
        <v>1.0108999999999999</v>
      </c>
      <c r="X17" s="3160"/>
      <c r="Y17" s="3163">
        <f>IF(D17=0,0,ROUND(AVERAGE(D17:D21)/100,4))</f>
        <v>8.6E-3</v>
      </c>
      <c r="Z17" s="3163">
        <f t="shared" ref="Z17:AC17" si="62">IF(E17=0,0,ROUND(AVERAGE(E17:E21)/100,4))</f>
        <v>3.8999999999999998E-3</v>
      </c>
      <c r="AA17" s="3163">
        <f t="shared" si="62"/>
        <v>1.6999999999999999E-3</v>
      </c>
      <c r="AB17" s="3163">
        <f t="shared" si="62"/>
        <v>9.2999999999999992E-3</v>
      </c>
      <c r="AC17" s="3163">
        <f t="shared" si="62"/>
        <v>6.1000000000000004E-3</v>
      </c>
      <c r="AD17" s="3163">
        <f t="shared" si="40"/>
        <v>1.6999999999999999E-3</v>
      </c>
    </row>
    <row r="18" spans="1:30" s="3164" customFormat="1" ht="12.75">
      <c r="A18" s="3155" t="s">
        <v>2820</v>
      </c>
      <c r="B18" s="3156">
        <v>2021</v>
      </c>
      <c r="C18" s="3157">
        <v>4</v>
      </c>
      <c r="D18" s="3158">
        <v>1.03</v>
      </c>
      <c r="E18" s="3158">
        <v>0.24</v>
      </c>
      <c r="F18" s="3158">
        <v>7.0000000000000007E-2</v>
      </c>
      <c r="G18" s="3158">
        <v>1.17</v>
      </c>
      <c r="H18" s="3175">
        <v>0.55000000000000004</v>
      </c>
      <c r="I18" s="3159">
        <f t="shared" si="37"/>
        <v>7.0000000000000007E-2</v>
      </c>
      <c r="J18" s="3160"/>
      <c r="K18" s="3161">
        <f t="shared" si="38"/>
        <v>1.03E-2</v>
      </c>
      <c r="L18" s="3151">
        <f t="shared" si="38"/>
        <v>2.3999999999999998E-3</v>
      </c>
      <c r="M18" s="3151">
        <f t="shared" si="38"/>
        <v>7.000000000000001E-4</v>
      </c>
      <c r="N18" s="3151">
        <f t="shared" si="38"/>
        <v>1.1699999999999999E-2</v>
      </c>
      <c r="O18" s="3151">
        <f t="shared" si="38"/>
        <v>5.5000000000000005E-3</v>
      </c>
      <c r="P18" s="3151">
        <f t="shared" si="58"/>
        <v>7.000000000000001E-4</v>
      </c>
      <c r="Q18" s="3160"/>
      <c r="R18" s="3162">
        <f>ROUND(IF(项目基本情况!$B$8="出让",SUMPRODUCT(PRODUCT(1+K18:$K$21)),SUMPRODUCT(PRODUCT(1+K18:$K$20))),4)</f>
        <v>1.0244</v>
      </c>
      <c r="S18" s="3162">
        <f>ROUND(IF(项目基本情况!$B$8="出让",SUMPRODUCT(PRODUCT(1+L18:$L$21)),SUMPRODUCT(PRODUCT(1+L18:$L$20))),4)</f>
        <v>1.0138</v>
      </c>
      <c r="T18" s="3162">
        <f>ROUND(IF(项目基本情况!$B$8="出让",SUMPRODUCT(PRODUCT(1+M18:$M$21)),SUMPRODUCT(PRODUCT(1+M18:$M$20))),4)</f>
        <v>1.0072000000000001</v>
      </c>
      <c r="U18" s="3162">
        <f>ROUND(IF(项目基本情况!$B$8="出让",SUMPRODUCT(PRODUCT(1+N18:$N$21)),SUMPRODUCT(PRODUCT(1+N18:$N$20))),4)</f>
        <v>1.0262</v>
      </c>
      <c r="V18" s="3162">
        <f>ROUND(IF(项目基本情况!$B$8="出让",SUMPRODUCT(PRODUCT(1+O18:$O$21)),SUMPRODUCT(PRODUCT(1+O18:$O$20))),4)</f>
        <v>1.0205</v>
      </c>
      <c r="W18" s="3162">
        <f t="shared" si="57"/>
        <v>1.0072000000000001</v>
      </c>
      <c r="X18" s="3160"/>
      <c r="Y18" s="3163">
        <f>IF(D18=0,0,ROUND(AVERAGE(D18:D21)/100,4))</f>
        <v>8.5000000000000006E-3</v>
      </c>
      <c r="Z18" s="3163">
        <f t="shared" ref="Z18:AC18" si="63">IF(E18=0,0,ROUND(AVERAGE(E18:E21)/100,4))</f>
        <v>3.8E-3</v>
      </c>
      <c r="AA18" s="3163">
        <f t="shared" si="63"/>
        <v>1.1999999999999999E-3</v>
      </c>
      <c r="AB18" s="3163">
        <f t="shared" si="63"/>
        <v>9.2999999999999992E-3</v>
      </c>
      <c r="AC18" s="3163">
        <f t="shared" si="63"/>
        <v>6.0000000000000001E-3</v>
      </c>
      <c r="AD18" s="3163">
        <f t="shared" si="40"/>
        <v>1.1999999999999999E-3</v>
      </c>
    </row>
    <row r="19" spans="1:30" s="3164" customFormat="1" ht="12.75">
      <c r="A19" s="3155" t="s">
        <v>2821</v>
      </c>
      <c r="B19" s="3156">
        <v>2021</v>
      </c>
      <c r="C19" s="3157">
        <v>3</v>
      </c>
      <c r="D19" s="3158">
        <v>0.47</v>
      </c>
      <c r="E19" s="3158">
        <v>0.41</v>
      </c>
      <c r="F19" s="3158">
        <v>0.24</v>
      </c>
      <c r="G19" s="3158">
        <v>0.48</v>
      </c>
      <c r="H19" s="3175">
        <v>0.48</v>
      </c>
      <c r="I19" s="3159">
        <f t="shared" si="37"/>
        <v>0.24</v>
      </c>
      <c r="J19" s="3160"/>
      <c r="K19" s="3161">
        <f t="shared" si="38"/>
        <v>4.6999999999999993E-3</v>
      </c>
      <c r="L19" s="3151">
        <f t="shared" si="38"/>
        <v>4.0999999999999995E-3</v>
      </c>
      <c r="M19" s="3151">
        <f t="shared" si="38"/>
        <v>2.3999999999999998E-3</v>
      </c>
      <c r="N19" s="3151">
        <f t="shared" si="38"/>
        <v>4.7999999999999996E-3</v>
      </c>
      <c r="O19" s="3151">
        <f t="shared" si="38"/>
        <v>4.7999999999999996E-3</v>
      </c>
      <c r="P19" s="3151">
        <f t="shared" si="58"/>
        <v>2.3999999999999998E-3</v>
      </c>
      <c r="Q19" s="3160"/>
      <c r="R19" s="3162">
        <f>ROUND(IF(项目基本情况!$B$8="出让",SUMPRODUCT(PRODUCT(1+K19:$K$21)),SUMPRODUCT(PRODUCT(1+K19:$K$20))),4)</f>
        <v>1.0139</v>
      </c>
      <c r="S19" s="3162">
        <f>ROUND(IF(项目基本情况!$B$8="出让",SUMPRODUCT(PRODUCT(1+L19:$L$21)),SUMPRODUCT(PRODUCT(1+L19:$L$20))),4)</f>
        <v>1.0113000000000001</v>
      </c>
      <c r="T19" s="3162">
        <f>ROUND(IF(项目基本情况!$B$8="出让",SUMPRODUCT(PRODUCT(1+M19:$M$21)),SUMPRODUCT(PRODUCT(1+M19:$M$20))),4)</f>
        <v>1.0065</v>
      </c>
      <c r="U19" s="3162">
        <f>ROUND(IF(项目基本情况!$B$8="出让",SUMPRODUCT(PRODUCT(1+N19:$N$21)),SUMPRODUCT(PRODUCT(1+N19:$N$20))),4)</f>
        <v>1.0143</v>
      </c>
      <c r="V19" s="3162">
        <f>ROUND(IF(项目基本情况!$B$8="出让",SUMPRODUCT(PRODUCT(1+O19:$O$21)),SUMPRODUCT(PRODUCT(1+O19:$O$20))),4)</f>
        <v>1.0148999999999999</v>
      </c>
      <c r="W19" s="3162">
        <f t="shared" si="57"/>
        <v>1.0065</v>
      </c>
      <c r="X19" s="3160"/>
      <c r="Y19" s="3163">
        <f>IF(D19=0,0,ROUND(AVERAGE(D19:D21)/100,4))</f>
        <v>7.9000000000000008E-3</v>
      </c>
      <c r="Z19" s="3163">
        <f>IF(E19=0,0,ROUND(AVERAGE(E19:E21)/100,4))</f>
        <v>4.3E-3</v>
      </c>
      <c r="AA19" s="3163">
        <f>IF(F19=0,0,ROUND(AVERAGE(F19:F21)/100,4))</f>
        <v>1.2999999999999999E-3</v>
      </c>
      <c r="AB19" s="3163">
        <f>IF(G19=0,0,ROUND(AVERAGE(G19:G21)/100,4))</f>
        <v>8.5000000000000006E-3</v>
      </c>
      <c r="AC19" s="3163">
        <f>IF(H19=0,0,ROUND(AVERAGE(H19:H21)/100,4))</f>
        <v>6.1999999999999998E-3</v>
      </c>
      <c r="AD19" s="3163">
        <f t="shared" si="40"/>
        <v>1.2999999999999999E-3</v>
      </c>
    </row>
    <row r="20" spans="1:30" s="3164" customFormat="1" ht="12.75">
      <c r="A20" s="3155" t="s">
        <v>2822</v>
      </c>
      <c r="B20" s="3156">
        <v>2021</v>
      </c>
      <c r="C20" s="3157">
        <v>2</v>
      </c>
      <c r="D20" s="3158">
        <v>0.92</v>
      </c>
      <c r="E20" s="3158">
        <v>0.72</v>
      </c>
      <c r="F20" s="3158">
        <v>0.41</v>
      </c>
      <c r="G20" s="3158">
        <v>0.95</v>
      </c>
      <c r="H20" s="3175">
        <v>1.01</v>
      </c>
      <c r="I20" s="3159">
        <f t="shared" si="37"/>
        <v>0.41</v>
      </c>
      <c r="J20" s="3160"/>
      <c r="K20" s="3161">
        <f t="shared" si="38"/>
        <v>9.1999999999999998E-3</v>
      </c>
      <c r="L20" s="3151">
        <f t="shared" si="38"/>
        <v>7.1999999999999998E-3</v>
      </c>
      <c r="M20" s="3151">
        <f t="shared" si="38"/>
        <v>4.0999999999999995E-3</v>
      </c>
      <c r="N20" s="3151">
        <f t="shared" si="38"/>
        <v>9.4999999999999998E-3</v>
      </c>
      <c r="O20" s="3151">
        <f t="shared" si="38"/>
        <v>1.01E-2</v>
      </c>
      <c r="P20" s="3151">
        <f t="shared" si="58"/>
        <v>4.0999999999999995E-3</v>
      </c>
      <c r="Q20" s="3160"/>
      <c r="R20" s="3162">
        <f>ROUND(IF(项目基本情况!$B$8="出让",SUMPRODUCT(PRODUCT(1+K20:$K$21)),SUMPRODUCT(PRODUCT(1+K20:$K$20))),4)</f>
        <v>1.0092000000000001</v>
      </c>
      <c r="S20" s="3162">
        <f>ROUND(IF(项目基本情况!$B$8="出让",SUMPRODUCT(PRODUCT(1+L20:$L$21)),SUMPRODUCT(PRODUCT(1+L20:$L$20))),4)</f>
        <v>1.0072000000000001</v>
      </c>
      <c r="T20" s="3162">
        <f>ROUND(IF(项目基本情况!$B$8="出让",SUMPRODUCT(PRODUCT(1+M20:$M$21)),SUMPRODUCT(PRODUCT(1+M20:$M$20))),4)</f>
        <v>1.0041</v>
      </c>
      <c r="U20" s="3162">
        <f>ROUND(IF(项目基本情况!$B$8="出让",SUMPRODUCT(PRODUCT(1+N20:$N$21)),SUMPRODUCT(PRODUCT(1+N20:$N$20))),4)</f>
        <v>1.0095000000000001</v>
      </c>
      <c r="V20" s="3162">
        <f>ROUND(IF(项目基本情况!$B$8="出让",SUMPRODUCT(PRODUCT(1+O20:$O$21)),SUMPRODUCT(PRODUCT(1+O20:$O$20))),4)</f>
        <v>1.0101</v>
      </c>
      <c r="W20" s="3162">
        <f t="shared" si="57"/>
        <v>1.0041</v>
      </c>
      <c r="X20" s="3160"/>
      <c r="Y20" s="3163">
        <f>IF(D20=0,0,ROUND(AVERAGE(D20:D21)/100,4))</f>
        <v>9.4999999999999998E-3</v>
      </c>
      <c r="Z20" s="3163">
        <f>IF(E20=0,0,ROUND(AVERAGE(E20:E21)/100,4))</f>
        <v>4.4000000000000003E-3</v>
      </c>
      <c r="AA20" s="3163">
        <f>IF(F20=0,0,ROUND(AVERAGE(F20:F21)/100,4))</f>
        <v>8.0000000000000004E-4</v>
      </c>
      <c r="AB20" s="3163">
        <f>IF(G20=0,0,ROUND(AVERAGE(G20:G21)/100,4))</f>
        <v>1.03E-2</v>
      </c>
      <c r="AC20" s="3163">
        <f>IF(H20=0,0,ROUND(AVERAGE(H20:H21)/100,4))</f>
        <v>6.8999999999999999E-3</v>
      </c>
      <c r="AD20" s="3163">
        <f t="shared" si="40"/>
        <v>8.0000000000000004E-4</v>
      </c>
    </row>
    <row r="21" spans="1:30" s="3186" customFormat="1" thickBot="1">
      <c r="A21" s="3176" t="s">
        <v>2823</v>
      </c>
      <c r="B21" s="3177">
        <v>2021</v>
      </c>
      <c r="C21" s="3178">
        <v>1</v>
      </c>
      <c r="D21" s="3179">
        <v>0.97</v>
      </c>
      <c r="E21" s="3179">
        <v>0.16</v>
      </c>
      <c r="F21" s="3179">
        <v>-0.25</v>
      </c>
      <c r="G21" s="3179">
        <v>1.1100000000000001</v>
      </c>
      <c r="H21" s="3180">
        <v>0.36</v>
      </c>
      <c r="I21" s="3181">
        <f t="shared" si="37"/>
        <v>-0.25</v>
      </c>
      <c r="J21" s="3182"/>
      <c r="K21" s="3183">
        <f t="shared" si="38"/>
        <v>9.7000000000000003E-3</v>
      </c>
      <c r="L21" s="3184">
        <f t="shared" si="38"/>
        <v>1.6000000000000001E-3</v>
      </c>
      <c r="M21" s="3184">
        <f>F21/100</f>
        <v>-2.5000000000000001E-3</v>
      </c>
      <c r="N21" s="3184">
        <f t="shared" si="38"/>
        <v>1.11E-2</v>
      </c>
      <c r="O21" s="3184">
        <f t="shared" si="38"/>
        <v>3.5999999999999999E-3</v>
      </c>
      <c r="P21" s="3184">
        <f t="shared" si="58"/>
        <v>-2.5000000000000001E-3</v>
      </c>
      <c r="Q21" s="3182"/>
      <c r="R21" s="3185">
        <v>1</v>
      </c>
      <c r="S21" s="3185">
        <v>1</v>
      </c>
      <c r="T21" s="3185">
        <v>1</v>
      </c>
      <c r="U21" s="3185">
        <v>1</v>
      </c>
      <c r="V21" s="3185">
        <v>1</v>
      </c>
      <c r="W21" s="3185">
        <f t="shared" ref="W21" si="64">T21</f>
        <v>1</v>
      </c>
      <c r="X21" s="3182"/>
      <c r="Y21" s="3184">
        <f>IF(D21=0,0,ROUND(AVERAGE(D21:D21)/100,4))</f>
        <v>9.7000000000000003E-3</v>
      </c>
      <c r="Z21" s="3184">
        <f>IF(E21=0,0,ROUND(AVERAGE(E21:E21)/100,4))</f>
        <v>1.6000000000000001E-3</v>
      </c>
      <c r="AA21" s="3184">
        <f>IF(F21=0,0,ROUND(AVERAGE(F21:F21)/100,4))</f>
        <v>-2.5000000000000001E-3</v>
      </c>
      <c r="AB21" s="3184">
        <f>IF(G21=0,0,ROUND(AVERAGE(G21:G21)/100,4))</f>
        <v>1.11E-2</v>
      </c>
      <c r="AC21" s="3184">
        <f>IF(H21=0,0,ROUND(AVERAGE(H21:H21)/100,4))</f>
        <v>3.5999999999999999E-3</v>
      </c>
      <c r="AD21" s="3184">
        <f>AA21</f>
        <v>-2.5000000000000001E-3</v>
      </c>
    </row>
    <row r="22" spans="1:30" s="2988" customFormat="1" ht="14.25" thickTop="1"/>
    <row r="23" spans="1:30" s="2988" customFormat="1">
      <c r="A23" s="3427" t="s">
        <v>3384</v>
      </c>
    </row>
    <row r="24" spans="1:30" s="2988" customFormat="1">
      <c r="I24" s="3187" t="s">
        <v>2824</v>
      </c>
    </row>
    <row r="25" spans="1:30" s="2988" customFormat="1"/>
    <row r="26" spans="1:30" s="3188" customFormat="1" ht="12.75">
      <c r="B26" s="3189" t="s">
        <v>3382</v>
      </c>
      <c r="C26" s="3190"/>
      <c r="D26" s="3190"/>
      <c r="E26" s="3190"/>
      <c r="F26" s="3190"/>
      <c r="G26" s="3190"/>
      <c r="H26" s="3190"/>
      <c r="I26" s="3190"/>
      <c r="J26" s="3144"/>
      <c r="K26" s="3190" t="s">
        <v>2825</v>
      </c>
      <c r="L26" s="3190"/>
      <c r="M26" s="3190"/>
      <c r="N26" s="3190"/>
      <c r="O26" s="3190"/>
      <c r="P26" s="3190"/>
      <c r="Q26" s="3144"/>
      <c r="R26" s="3789" t="s">
        <v>2826</v>
      </c>
      <c r="S26" s="3790"/>
      <c r="T26" s="3790"/>
      <c r="U26" s="3790"/>
      <c r="V26" s="3790"/>
      <c r="W26" s="3790"/>
      <c r="X26" s="3144"/>
      <c r="Y26" s="3789" t="s">
        <v>2827</v>
      </c>
      <c r="Z26" s="3790"/>
      <c r="AA26" s="3790"/>
      <c r="AB26" s="3790"/>
      <c r="AC26" s="3790"/>
      <c r="AD26" s="3790"/>
    </row>
    <row r="27" spans="1:30" s="3122" customFormat="1" ht="14.25" thickBot="1">
      <c r="B27" s="3123"/>
      <c r="C27" s="3124"/>
      <c r="D27" s="3125" t="s">
        <v>2828</v>
      </c>
      <c r="E27" s="3126" t="s">
        <v>2829</v>
      </c>
      <c r="F27" s="3126" t="s">
        <v>2830</v>
      </c>
      <c r="G27" s="3126" t="s">
        <v>2831</v>
      </c>
      <c r="H27" s="3126"/>
      <c r="I27" s="3126" t="s">
        <v>2832</v>
      </c>
      <c r="J27" s="3127"/>
      <c r="K27" s="3125" t="s">
        <v>2828</v>
      </c>
      <c r="L27" s="3126" t="s">
        <v>2829</v>
      </c>
      <c r="M27" s="3126" t="s">
        <v>2830</v>
      </c>
      <c r="N27" s="3126" t="s">
        <v>2831</v>
      </c>
      <c r="O27" s="3126"/>
      <c r="P27" s="3126" t="s">
        <v>2832</v>
      </c>
      <c r="Q27" s="3127"/>
      <c r="R27" s="3125" t="s">
        <v>2828</v>
      </c>
      <c r="S27" s="3126" t="s">
        <v>2829</v>
      </c>
      <c r="T27" s="3126" t="s">
        <v>2830</v>
      </c>
      <c r="U27" s="3126" t="s">
        <v>2831</v>
      </c>
      <c r="V27" s="3126"/>
      <c r="W27" s="3126" t="s">
        <v>2832</v>
      </c>
      <c r="X27" s="3127"/>
      <c r="Y27" s="3125" t="s">
        <v>2828</v>
      </c>
      <c r="Z27" s="3126" t="s">
        <v>2829</v>
      </c>
      <c r="AA27" s="3126" t="s">
        <v>2830</v>
      </c>
      <c r="AB27" s="3126" t="s">
        <v>2831</v>
      </c>
      <c r="AC27" s="3126"/>
      <c r="AD27" s="3126" t="s">
        <v>2832</v>
      </c>
    </row>
    <row r="28" spans="1:30" s="3140" customFormat="1" ht="12.75">
      <c r="A28" s="3128" t="s">
        <v>2833</v>
      </c>
      <c r="B28" s="3129"/>
      <c r="C28" s="3130"/>
      <c r="D28" s="3130"/>
      <c r="E28" s="3130">
        <f t="shared" ref="E28:G28" si="65">ROUND(AVERAGEIF(E29:E46,"&lt;&gt;0"),2)</f>
        <v>0.26</v>
      </c>
      <c r="F28" s="3130">
        <f t="shared" si="65"/>
        <v>0.19</v>
      </c>
      <c r="G28" s="3130">
        <f t="shared" si="65"/>
        <v>0.38</v>
      </c>
      <c r="H28" s="3130"/>
      <c r="I28" s="3130">
        <f>F28</f>
        <v>0.19</v>
      </c>
      <c r="J28" s="3131"/>
      <c r="K28" s="3132"/>
      <c r="L28" s="3133">
        <f t="shared" ref="L28:N28" si="66">ROUND(AVERAGEIF(L29:L46,"&lt;&gt;0"),4)</f>
        <v>2.5999999999999999E-3</v>
      </c>
      <c r="M28" s="3133">
        <f t="shared" si="66"/>
        <v>1.9E-3</v>
      </c>
      <c r="N28" s="3133">
        <f t="shared" si="66"/>
        <v>3.8E-3</v>
      </c>
      <c r="O28" s="3133"/>
      <c r="P28" s="3133">
        <f>M28</f>
        <v>1.9E-3</v>
      </c>
      <c r="Q28" s="3131"/>
      <c r="R28" s="3134"/>
      <c r="S28" s="3135">
        <f>ROUND(SUMPRODUCT(PRODUCT(1+L29:L46)),4)</f>
        <v>1.04</v>
      </c>
      <c r="T28" s="3135">
        <f t="shared" ref="T28:U28" si="67">ROUND(SUMPRODUCT(PRODUCT(1+M29:M46)),4)</f>
        <v>1.0293000000000001</v>
      </c>
      <c r="U28" s="3135">
        <f t="shared" si="67"/>
        <v>1.0583</v>
      </c>
      <c r="V28" s="3135"/>
      <c r="W28" s="3134">
        <f>T28</f>
        <v>1.0293000000000001</v>
      </c>
      <c r="X28" s="3131"/>
      <c r="Y28" s="3136"/>
      <c r="Z28" s="3137">
        <f t="shared" ref="Z28:AB28" si="68">ROUND(AVERAGEIF(Z29:Z46,"&lt;&gt;0"),4)</f>
        <v>4.1000000000000003E-3</v>
      </c>
      <c r="AA28" s="3138">
        <f t="shared" si="68"/>
        <v>3.3E-3</v>
      </c>
      <c r="AB28" s="3136">
        <f t="shared" si="68"/>
        <v>8.0999999999999996E-3</v>
      </c>
      <c r="AC28" s="3139"/>
      <c r="AD28" s="3136">
        <f>AA28</f>
        <v>3.3E-3</v>
      </c>
    </row>
    <row r="29" spans="1:30" s="3141" customFormat="1" ht="12.75">
      <c r="B29" s="3142"/>
      <c r="C29" s="3143"/>
      <c r="D29" s="3143"/>
      <c r="E29" s="3143"/>
      <c r="F29" s="3143"/>
      <c r="G29" s="3143"/>
      <c r="H29" s="3143"/>
      <c r="I29" s="3143"/>
      <c r="J29" s="3144"/>
      <c r="K29" s="3145"/>
      <c r="L29" s="3146"/>
      <c r="M29" s="3146"/>
      <c r="N29" s="3146"/>
      <c r="O29" s="3146"/>
      <c r="P29" s="3146"/>
      <c r="Q29" s="3144"/>
      <c r="R29" s="3147"/>
      <c r="S29" s="3148"/>
      <c r="T29" s="3149"/>
      <c r="U29" s="3147"/>
      <c r="V29" s="3150"/>
      <c r="W29" s="3147"/>
      <c r="X29" s="3144"/>
      <c r="Y29" s="3151"/>
      <c r="Z29" s="3152"/>
      <c r="AA29" s="3153"/>
      <c r="AB29" s="3151"/>
      <c r="AC29" s="3154"/>
      <c r="AD29" s="3151"/>
    </row>
    <row r="30" spans="1:30" s="3164" customFormat="1" ht="12.75">
      <c r="A30" s="2204" t="s">
        <v>3377</v>
      </c>
      <c r="B30" s="3156">
        <v>2025</v>
      </c>
      <c r="C30" s="3157">
        <v>1</v>
      </c>
      <c r="D30" s="3158"/>
      <c r="E30" s="3158">
        <v>0</v>
      </c>
      <c r="F30" s="3158">
        <v>0</v>
      </c>
      <c r="G30" s="3158">
        <v>0</v>
      </c>
      <c r="H30" s="3158"/>
      <c r="I30" s="3159">
        <f t="shared" ref="I30" si="69">F30</f>
        <v>0</v>
      </c>
      <c r="J30" s="3160"/>
      <c r="K30" s="3161"/>
      <c r="L30" s="3151">
        <f t="shared" ref="L30" si="70">E30/100</f>
        <v>0</v>
      </c>
      <c r="M30" s="3151">
        <f t="shared" ref="M30" si="71">F30/100</f>
        <v>0</v>
      </c>
      <c r="N30" s="3151">
        <f t="shared" ref="N30" si="72">G30/100</f>
        <v>0</v>
      </c>
      <c r="O30" s="3151"/>
      <c r="P30" s="3151">
        <f>M30</f>
        <v>0</v>
      </c>
      <c r="Q30" s="3160"/>
      <c r="R30" s="3162"/>
      <c r="S30" s="3162">
        <f>ROUND(IF(项目基本情况!$B$8="出让",SUMPRODUCT(PRODUCT(1+L30:L$46)),SUMPRODUCT(PRODUCT(1+L30:L$45))),4)</f>
        <v>1.0364</v>
      </c>
      <c r="T30" s="3162">
        <f>ROUND(IF(项目基本情况!$B$8="出让",SUMPRODUCT(PRODUCT(1+M30:M$46)),SUMPRODUCT(PRODUCT(1+M30:M$45))),4)</f>
        <v>1.0244</v>
      </c>
      <c r="U30" s="3162">
        <f>ROUND(IF(项目基本情况!$B$8="出让",SUMPRODUCT(PRODUCT(1+N30:N$46)),SUMPRODUCT(PRODUCT(1+N30:N$45))),4)</f>
        <v>1.048</v>
      </c>
      <c r="V30" s="3162"/>
      <c r="W30" s="3162">
        <f>T30</f>
        <v>1.0244</v>
      </c>
      <c r="X30" s="3160"/>
      <c r="Y30" s="3163"/>
      <c r="Z30" s="3191">
        <f t="shared" ref="Z30" si="73">IF(E30=0,0,ROUND(AVERAGE(E30:E43)/100,4))</f>
        <v>0</v>
      </c>
      <c r="AA30" s="3191">
        <f t="shared" ref="AA30" si="74">IF(F30=0,0,ROUND(AVERAGE(F30:F43)/100,4))</f>
        <v>0</v>
      </c>
      <c r="AB30" s="3191">
        <f t="shared" ref="AB30" si="75">IF(G30=0,0,ROUND(AVERAGE(G30:G43)/100,4))</f>
        <v>0</v>
      </c>
      <c r="AC30" s="3192"/>
      <c r="AD30" s="3163">
        <f>IF(I30=0,0,ROUND(AVERAGE(I30:I43)/100,4))</f>
        <v>0</v>
      </c>
    </row>
    <row r="31" spans="1:30" s="3174" customFormat="1" ht="12.75">
      <c r="A31" s="3165" t="s">
        <v>3379</v>
      </c>
      <c r="B31" s="3166">
        <v>2024</v>
      </c>
      <c r="C31" s="3167">
        <v>4</v>
      </c>
      <c r="D31" s="3168"/>
      <c r="E31" s="3168">
        <v>0</v>
      </c>
      <c r="F31" s="3168">
        <v>0</v>
      </c>
      <c r="G31" s="3168">
        <v>0</v>
      </c>
      <c r="H31" s="3169"/>
      <c r="I31" s="3170">
        <f t="shared" ref="I31" si="76">F31</f>
        <v>0</v>
      </c>
      <c r="J31" s="3171"/>
      <c r="K31" s="3172"/>
      <c r="L31" s="3173">
        <f t="shared" ref="L31" si="77">E31/100</f>
        <v>0</v>
      </c>
      <c r="M31" s="3173">
        <f t="shared" ref="M31" si="78">F31/100</f>
        <v>0</v>
      </c>
      <c r="N31" s="3173">
        <f t="shared" ref="N31" si="79">G31/100</f>
        <v>0</v>
      </c>
      <c r="O31" s="3173"/>
      <c r="P31" s="3173">
        <f>M31</f>
        <v>0</v>
      </c>
      <c r="Q31" s="3171"/>
      <c r="R31" s="3171"/>
      <c r="S31" s="3171">
        <f>ROUND(IF(项目基本情况!$B$8="出让",SUMPRODUCT(PRODUCT(1+L31:L$46)),SUMPRODUCT(PRODUCT(1+L31:L$45))),4)</f>
        <v>1.0364</v>
      </c>
      <c r="T31" s="3171">
        <f>ROUND(IF(项目基本情况!$B$8="出让",SUMPRODUCT(PRODUCT(1+M31:M$46)),SUMPRODUCT(PRODUCT(1+M31:M$45))),4)</f>
        <v>1.0244</v>
      </c>
      <c r="U31" s="3171">
        <f>ROUND(IF(项目基本情况!$B$8="出让",SUMPRODUCT(PRODUCT(1+N31:N$46)),SUMPRODUCT(PRODUCT(1+N31:N$45))),4)</f>
        <v>1.048</v>
      </c>
      <c r="V31" s="3171"/>
      <c r="W31" s="3171">
        <f>T31</f>
        <v>1.0244</v>
      </c>
      <c r="X31" s="3171"/>
      <c r="Y31" s="3173"/>
      <c r="Z31" s="3194">
        <f t="shared" ref="Z31" si="80">IF(E31=0,0,ROUND(AVERAGE(E31:E44)/100,4))</f>
        <v>0</v>
      </c>
      <c r="AA31" s="3195">
        <f t="shared" ref="AA31" si="81">IF(F31=0,0,ROUND(AVERAGE(F31:F44)/100,4))</f>
        <v>0</v>
      </c>
      <c r="AB31" s="3173">
        <f t="shared" ref="AB31" si="82">IF(G31=0,0,ROUND(AVERAGE(G31:G44)/100,4))</f>
        <v>0</v>
      </c>
      <c r="AC31" s="3196"/>
      <c r="AD31" s="3173">
        <f>IF(I31=0,0,ROUND(AVERAGE(I31:I44)/100,4))</f>
        <v>0</v>
      </c>
    </row>
    <row r="32" spans="1:30" s="3164" customFormat="1" ht="12.75">
      <c r="A32" s="2204" t="s">
        <v>3372</v>
      </c>
      <c r="B32" s="3156">
        <v>2024</v>
      </c>
      <c r="C32" s="3157">
        <v>3</v>
      </c>
      <c r="D32" s="3158"/>
      <c r="E32" s="3158">
        <v>-0.66</v>
      </c>
      <c r="F32" s="3158">
        <v>-0.52</v>
      </c>
      <c r="G32" s="3158">
        <v>-2.87</v>
      </c>
      <c r="H32" s="3158"/>
      <c r="I32" s="3159">
        <f t="shared" ref="I32" si="83">F32</f>
        <v>-0.52</v>
      </c>
      <c r="J32" s="3160"/>
      <c r="K32" s="3161"/>
      <c r="L32" s="3151">
        <f t="shared" ref="L32" si="84">E32/100</f>
        <v>-6.6E-3</v>
      </c>
      <c r="M32" s="3151">
        <f t="shared" ref="M32" si="85">F32/100</f>
        <v>-5.1999999999999998E-3</v>
      </c>
      <c r="N32" s="3151">
        <f t="shared" ref="N32" si="86">G32/100</f>
        <v>-2.87E-2</v>
      </c>
      <c r="O32" s="3151"/>
      <c r="P32" s="3151">
        <f>M32</f>
        <v>-5.1999999999999998E-3</v>
      </c>
      <c r="Q32" s="3160"/>
      <c r="R32" s="3162"/>
      <c r="S32" s="3162">
        <f>ROUND(IF(项目基本情况!$B$8="出让",SUMPRODUCT(PRODUCT(1+L32:L$46)),SUMPRODUCT(PRODUCT(1+L32:L$45))),4)</f>
        <v>1.0364</v>
      </c>
      <c r="T32" s="3162">
        <f>ROUND(IF(项目基本情况!$B$8="出让",SUMPRODUCT(PRODUCT(1+M32:M$46)),SUMPRODUCT(PRODUCT(1+M32:M$45))),4)</f>
        <v>1.0244</v>
      </c>
      <c r="U32" s="3162">
        <f>ROUND(IF(项目基本情况!$B$8="出让",SUMPRODUCT(PRODUCT(1+N32:N$46)),SUMPRODUCT(PRODUCT(1+N32:N$45))),4)</f>
        <v>1.048</v>
      </c>
      <c r="V32" s="3162"/>
      <c r="W32" s="3162">
        <f>T32</f>
        <v>1.0244</v>
      </c>
      <c r="X32" s="3160"/>
      <c r="Y32" s="3163"/>
      <c r="Z32" s="3191">
        <f t="shared" ref="Z32:AB33" si="87">IF(E32=0,0,ROUND(AVERAGE(E32:E45)/100,4))</f>
        <v>2.5999999999999999E-3</v>
      </c>
      <c r="AA32" s="3191">
        <f t="shared" si="87"/>
        <v>1.6999999999999999E-3</v>
      </c>
      <c r="AB32" s="3191">
        <f t="shared" si="87"/>
        <v>3.3999999999999998E-3</v>
      </c>
      <c r="AC32" s="3192"/>
      <c r="AD32" s="3163">
        <f>IF(I32=0,0,ROUND(AVERAGE(I32:I45)/100,4))</f>
        <v>1.6999999999999999E-3</v>
      </c>
    </row>
    <row r="33" spans="1:30" s="3164" customFormat="1" ht="12.75">
      <c r="A33" s="3155" t="s">
        <v>3380</v>
      </c>
      <c r="B33" s="3156">
        <v>2024</v>
      </c>
      <c r="C33" s="3157">
        <v>2</v>
      </c>
      <c r="D33" s="3158"/>
      <c r="E33" s="3158">
        <v>-0.31</v>
      </c>
      <c r="F33" s="3158">
        <v>-0.39</v>
      </c>
      <c r="G33" s="3158">
        <v>1.23</v>
      </c>
      <c r="H33" s="3175"/>
      <c r="I33" s="3159">
        <f t="shared" ref="I33:I46" si="88">F33</f>
        <v>-0.39</v>
      </c>
      <c r="J33" s="3160"/>
      <c r="K33" s="3161"/>
      <c r="L33" s="3151">
        <f t="shared" ref="L33:N46" si="89">E33/100</f>
        <v>-3.0999999999999999E-3</v>
      </c>
      <c r="M33" s="3151">
        <f t="shared" si="89"/>
        <v>-3.9000000000000003E-3</v>
      </c>
      <c r="N33" s="3151">
        <f t="shared" si="89"/>
        <v>1.23E-2</v>
      </c>
      <c r="O33" s="3151"/>
      <c r="P33" s="3151">
        <f>M33</f>
        <v>-3.9000000000000003E-3</v>
      </c>
      <c r="Q33" s="3160"/>
      <c r="R33" s="3162"/>
      <c r="S33" s="3162">
        <f>ROUND(IF(项目基本情况!$B$8="出让",SUMPRODUCT(PRODUCT(1+L33:L$46)),SUMPRODUCT(PRODUCT(1+L33:L$45))),4)</f>
        <v>1.0432999999999999</v>
      </c>
      <c r="T33" s="3162">
        <f>ROUND(IF(项目基本情况!$B$8="出让",SUMPRODUCT(PRODUCT(1+M33:M$46)),SUMPRODUCT(PRODUCT(1+M33:M$45))),4)</f>
        <v>1.0298</v>
      </c>
      <c r="U33" s="3162">
        <f>ROUND(IF(项目基本情况!$B$8="出让",SUMPRODUCT(PRODUCT(1+N33:N$46)),SUMPRODUCT(PRODUCT(1+N33:N$45))),4)</f>
        <v>1.079</v>
      </c>
      <c r="V33" s="3162"/>
      <c r="W33" s="3162">
        <f>T33</f>
        <v>1.0298</v>
      </c>
      <c r="X33" s="3160"/>
      <c r="Y33" s="3163"/>
      <c r="Z33" s="3191">
        <f t="shared" si="87"/>
        <v>3.3E-3</v>
      </c>
      <c r="AA33" s="3193">
        <f t="shared" si="87"/>
        <v>2.3999999999999998E-3</v>
      </c>
      <c r="AB33" s="3163">
        <f t="shared" si="87"/>
        <v>6.1999999999999998E-3</v>
      </c>
      <c r="AC33" s="3192"/>
      <c r="AD33" s="3163">
        <f>IF(I33=0,0,ROUND(AVERAGE(I33:I46)/100,4))</f>
        <v>2.3999999999999998E-3</v>
      </c>
    </row>
    <row r="34" spans="1:30" s="3164" customFormat="1" ht="12.75">
      <c r="A34" s="3155" t="s">
        <v>3373</v>
      </c>
      <c r="B34" s="3156">
        <v>2024</v>
      </c>
      <c r="C34" s="3157">
        <v>1</v>
      </c>
      <c r="D34" s="3158"/>
      <c r="E34" s="3158">
        <v>0.25</v>
      </c>
      <c r="F34" s="3158">
        <v>0.4</v>
      </c>
      <c r="G34" s="3158">
        <v>-0.63</v>
      </c>
      <c r="H34" s="3175"/>
      <c r="I34" s="3159">
        <f t="shared" ref="I34:I35" si="90">F34</f>
        <v>0.4</v>
      </c>
      <c r="J34" s="3160"/>
      <c r="K34" s="3161"/>
      <c r="L34" s="3151">
        <f t="shared" ref="L34" si="91">E34/100</f>
        <v>2.5000000000000001E-3</v>
      </c>
      <c r="M34" s="3151">
        <f t="shared" ref="M34" si="92">F34/100</f>
        <v>4.0000000000000001E-3</v>
      </c>
      <c r="N34" s="3151">
        <f t="shared" ref="N34" si="93">G34/100</f>
        <v>-6.3E-3</v>
      </c>
      <c r="O34" s="3151"/>
      <c r="P34" s="3151">
        <f t="shared" ref="P34" si="94">M34</f>
        <v>4.0000000000000001E-3</v>
      </c>
      <c r="Q34" s="3160"/>
      <c r="R34" s="3162"/>
      <c r="S34" s="3162">
        <f>ROUND(IF(项目基本情况!$B$8="出让",SUMPRODUCT(PRODUCT(1+L34:L$46)),SUMPRODUCT(PRODUCT(1+L34:L$45))),4)</f>
        <v>1.0465</v>
      </c>
      <c r="T34" s="3162">
        <f>ROUND(IF(项目基本情况!$B$8="出让",SUMPRODUCT(PRODUCT(1+M34:M$46)),SUMPRODUCT(PRODUCT(1+M34:M$45))),4)</f>
        <v>1.0338000000000001</v>
      </c>
      <c r="U34" s="3162">
        <f>ROUND(IF(项目基本情况!$B$8="出让",SUMPRODUCT(PRODUCT(1+N34:N$46)),SUMPRODUCT(PRODUCT(1+N34:N$45))),4)</f>
        <v>1.0659000000000001</v>
      </c>
      <c r="V34" s="3162"/>
      <c r="W34" s="3162">
        <f t="shared" ref="W34" si="95">T34</f>
        <v>1.0338000000000001</v>
      </c>
      <c r="X34" s="3160"/>
      <c r="Y34" s="3163"/>
      <c r="Z34" s="3191"/>
      <c r="AA34" s="3193"/>
      <c r="AB34" s="3163"/>
      <c r="AC34" s="3192"/>
      <c r="AD34" s="3163"/>
    </row>
    <row r="35" spans="1:30" s="3164" customFormat="1" ht="12.75">
      <c r="A35" s="3155" t="s">
        <v>3371</v>
      </c>
      <c r="B35" s="3156">
        <v>2023</v>
      </c>
      <c r="C35" s="3157">
        <v>4</v>
      </c>
      <c r="D35" s="3158"/>
      <c r="E35" s="3158">
        <v>7.0000000000000007E-2</v>
      </c>
      <c r="F35" s="3158">
        <v>0.09</v>
      </c>
      <c r="G35" s="3158">
        <v>0.03</v>
      </c>
      <c r="H35" s="3175"/>
      <c r="I35" s="3159">
        <f t="shared" si="90"/>
        <v>0.09</v>
      </c>
      <c r="J35" s="3160"/>
      <c r="K35" s="3161"/>
      <c r="L35" s="3151">
        <f t="shared" si="89"/>
        <v>7.000000000000001E-4</v>
      </c>
      <c r="M35" s="3151">
        <f t="shared" si="89"/>
        <v>8.9999999999999998E-4</v>
      </c>
      <c r="N35" s="3151">
        <f t="shared" si="89"/>
        <v>2.9999999999999997E-4</v>
      </c>
      <c r="O35" s="3151"/>
      <c r="P35" s="3151">
        <f t="shared" ref="P35" si="96">M35</f>
        <v>8.9999999999999998E-4</v>
      </c>
      <c r="Q35" s="3160"/>
      <c r="R35" s="3162"/>
      <c r="S35" s="3162">
        <f>ROUND(IF(项目基本情况!$B$8="出让",SUMPRODUCT(PRODUCT(1+L35:L$46)),SUMPRODUCT(PRODUCT(1+L35:L$45))),4)</f>
        <v>1.0439000000000001</v>
      </c>
      <c r="T35" s="3162">
        <f>ROUND(IF(项目基本情况!$B$8="出让",SUMPRODUCT(PRODUCT(1+M35:M$46)),SUMPRODUCT(PRODUCT(1+M35:M$45))),4)</f>
        <v>1.0297000000000001</v>
      </c>
      <c r="U35" s="3162">
        <f>ROUND(IF(项目基本情况!$B$8="出让",SUMPRODUCT(PRODUCT(1+N35:N$46)),SUMPRODUCT(PRODUCT(1+N35:N$45))),4)</f>
        <v>1.0727</v>
      </c>
      <c r="V35" s="3162"/>
      <c r="W35" s="3162">
        <f t="shared" ref="W35" si="97">T35</f>
        <v>1.0297000000000001</v>
      </c>
      <c r="X35" s="3160"/>
      <c r="Y35" s="3163"/>
      <c r="Z35" s="3191"/>
      <c r="AA35" s="3193"/>
      <c r="AB35" s="3163"/>
      <c r="AC35" s="3192"/>
      <c r="AD35" s="3163"/>
    </row>
    <row r="36" spans="1:30" s="3164" customFormat="1" ht="12.75">
      <c r="A36" s="3155" t="s">
        <v>3369</v>
      </c>
      <c r="B36" s="3156">
        <v>2023</v>
      </c>
      <c r="C36" s="3157">
        <v>3</v>
      </c>
      <c r="D36" s="3158"/>
      <c r="E36" s="3158">
        <v>0.35</v>
      </c>
      <c r="F36" s="3158">
        <v>0.17</v>
      </c>
      <c r="G36" s="3158">
        <v>0.52</v>
      </c>
      <c r="H36" s="3175"/>
      <c r="I36" s="3159">
        <f t="shared" si="88"/>
        <v>0.17</v>
      </c>
      <c r="J36" s="3160"/>
      <c r="K36" s="3161"/>
      <c r="L36" s="3151">
        <f t="shared" ref="L36:L38" si="98">E36/100</f>
        <v>3.4999999999999996E-3</v>
      </c>
      <c r="M36" s="3151">
        <f t="shared" ref="M36:M38" si="99">F36/100</f>
        <v>1.7000000000000001E-3</v>
      </c>
      <c r="N36" s="3151">
        <f t="shared" ref="N36:N38" si="100">G36/100</f>
        <v>5.1999999999999998E-3</v>
      </c>
      <c r="O36" s="3151"/>
      <c r="P36" s="3151">
        <f t="shared" ref="P36:P38" si="101">M36</f>
        <v>1.7000000000000001E-3</v>
      </c>
      <c r="Q36" s="3160"/>
      <c r="R36" s="3162"/>
      <c r="S36" s="3162">
        <f>ROUND(IF(项目基本情况!$B$8="出让",SUMPRODUCT(PRODUCT(1+L36:L$46)),SUMPRODUCT(PRODUCT(1+L36:L$45))),4)</f>
        <v>1.0431999999999999</v>
      </c>
      <c r="T36" s="3162">
        <f>ROUND(IF(项目基本情况!$B$8="出让",SUMPRODUCT(PRODUCT(1+M36:M$46)),SUMPRODUCT(PRODUCT(1+M36:M$45))),4)</f>
        <v>1.0286999999999999</v>
      </c>
      <c r="U36" s="3162">
        <f>ROUND(IF(项目基本情况!$B$8="出让",SUMPRODUCT(PRODUCT(1+N36:N$46)),SUMPRODUCT(PRODUCT(1+N36:N$45))),4)</f>
        <v>1.0723</v>
      </c>
      <c r="V36" s="3162"/>
      <c r="W36" s="3162">
        <f t="shared" ref="W36:W38" si="102">T36</f>
        <v>1.0286999999999999</v>
      </c>
      <c r="X36" s="3160"/>
      <c r="Y36" s="3163"/>
      <c r="Z36" s="3191"/>
      <c r="AA36" s="3193"/>
      <c r="AB36" s="3163"/>
      <c r="AC36" s="3192"/>
      <c r="AD36" s="3163"/>
    </row>
    <row r="37" spans="1:30" s="3164" customFormat="1" ht="12.75">
      <c r="A37" s="3155" t="s">
        <v>3368</v>
      </c>
      <c r="B37" s="3156">
        <v>2023</v>
      </c>
      <c r="C37" s="3157">
        <v>2</v>
      </c>
      <c r="D37" s="3158"/>
      <c r="E37" s="3158">
        <v>0.5</v>
      </c>
      <c r="F37" s="3158">
        <v>0.45</v>
      </c>
      <c r="G37" s="3158">
        <v>0.89</v>
      </c>
      <c r="H37" s="3175"/>
      <c r="I37" s="3159">
        <f t="shared" si="88"/>
        <v>0.45</v>
      </c>
      <c r="J37" s="3160"/>
      <c r="K37" s="3161"/>
      <c r="L37" s="3151">
        <f t="shared" si="98"/>
        <v>5.0000000000000001E-3</v>
      </c>
      <c r="M37" s="3151">
        <f t="shared" si="99"/>
        <v>4.5000000000000005E-3</v>
      </c>
      <c r="N37" s="3151">
        <f t="shared" si="100"/>
        <v>8.8999999999999999E-3</v>
      </c>
      <c r="O37" s="3151"/>
      <c r="P37" s="3151">
        <f t="shared" si="101"/>
        <v>4.5000000000000005E-3</v>
      </c>
      <c r="Q37" s="3160"/>
      <c r="R37" s="3162"/>
      <c r="S37" s="3162">
        <f>ROUND(IF(项目基本情况!$B$8="出让",SUMPRODUCT(PRODUCT(1+L37:L$46)),SUMPRODUCT(PRODUCT(1+L37:L$45))),4)</f>
        <v>1.0396000000000001</v>
      </c>
      <c r="T37" s="3162">
        <f>ROUND(IF(项目基本情况!$B$8="出让",SUMPRODUCT(PRODUCT(1+M37:M$46)),SUMPRODUCT(PRODUCT(1+M37:M$45))),4)</f>
        <v>1.0269999999999999</v>
      </c>
      <c r="U37" s="3162">
        <f>ROUND(IF(项目基本情况!$B$8="出让",SUMPRODUCT(PRODUCT(1+N37:N$46)),SUMPRODUCT(PRODUCT(1+N37:N$45))),4)</f>
        <v>1.0668</v>
      </c>
      <c r="V37" s="3162"/>
      <c r="W37" s="3162">
        <f t="shared" si="102"/>
        <v>1.0269999999999999</v>
      </c>
      <c r="X37" s="3160"/>
      <c r="Y37" s="3163"/>
      <c r="Z37" s="3191"/>
      <c r="AA37" s="3193"/>
      <c r="AB37" s="3163"/>
      <c r="AC37" s="3192"/>
      <c r="AD37" s="3163"/>
    </row>
    <row r="38" spans="1:30" s="3164" customFormat="1" ht="12.75">
      <c r="A38" s="3155" t="s">
        <v>3366</v>
      </c>
      <c r="B38" s="3156">
        <v>2023</v>
      </c>
      <c r="C38" s="3157">
        <v>1</v>
      </c>
      <c r="D38" s="3158"/>
      <c r="E38" s="3158">
        <v>0.55000000000000004</v>
      </c>
      <c r="F38" s="3158">
        <v>0.59</v>
      </c>
      <c r="G38" s="3158">
        <v>0.64</v>
      </c>
      <c r="H38" s="3175"/>
      <c r="I38" s="3159">
        <f t="shared" si="88"/>
        <v>0.59</v>
      </c>
      <c r="J38" s="3160"/>
      <c r="K38" s="3161"/>
      <c r="L38" s="3151">
        <f t="shared" si="98"/>
        <v>5.5000000000000005E-3</v>
      </c>
      <c r="M38" s="3151">
        <f t="shared" si="99"/>
        <v>5.8999999999999999E-3</v>
      </c>
      <c r="N38" s="3151">
        <f t="shared" si="100"/>
        <v>6.4000000000000003E-3</v>
      </c>
      <c r="O38" s="3151"/>
      <c r="P38" s="3151">
        <f t="shared" si="101"/>
        <v>5.8999999999999999E-3</v>
      </c>
      <c r="Q38" s="3160"/>
      <c r="R38" s="3162"/>
      <c r="S38" s="3162">
        <f>ROUND(IF(项目基本情况!$B$8="出让",SUMPRODUCT(PRODUCT(1+L38:L$46)),SUMPRODUCT(PRODUCT(1+L38:L$45))),4)</f>
        <v>1.0344</v>
      </c>
      <c r="T38" s="3162">
        <f>ROUND(IF(项目基本情况!$B$8="出让",SUMPRODUCT(PRODUCT(1+M38:M$46)),SUMPRODUCT(PRODUCT(1+M38:M$45))),4)</f>
        <v>1.0224</v>
      </c>
      <c r="U38" s="3162">
        <f>ROUND(IF(项目基本情况!$B$8="出让",SUMPRODUCT(PRODUCT(1+N38:N$46)),SUMPRODUCT(PRODUCT(1+N38:N$45))),4)</f>
        <v>1.0573999999999999</v>
      </c>
      <c r="V38" s="3162"/>
      <c r="W38" s="3162">
        <f t="shared" si="102"/>
        <v>1.0224</v>
      </c>
      <c r="X38" s="3160"/>
      <c r="Y38" s="3163"/>
      <c r="Z38" s="3191"/>
      <c r="AA38" s="3193"/>
      <c r="AB38" s="3163"/>
      <c r="AC38" s="3192"/>
      <c r="AD38" s="3163"/>
    </row>
    <row r="39" spans="1:30" s="3164" customFormat="1" ht="12.75">
      <c r="A39" s="3155" t="s">
        <v>3365</v>
      </c>
      <c r="B39" s="3156">
        <v>2022</v>
      </c>
      <c r="C39" s="3157">
        <v>4</v>
      </c>
      <c r="D39" s="3158"/>
      <c r="E39" s="3158">
        <v>0.45</v>
      </c>
      <c r="F39" s="3158">
        <v>0.2</v>
      </c>
      <c r="G39" s="3158">
        <v>0.38</v>
      </c>
      <c r="H39" s="3175"/>
      <c r="I39" s="3159">
        <f t="shared" si="88"/>
        <v>0.2</v>
      </c>
      <c r="J39" s="3160"/>
      <c r="K39" s="3161"/>
      <c r="L39" s="3151">
        <f t="shared" si="89"/>
        <v>4.5000000000000005E-3</v>
      </c>
      <c r="M39" s="3151">
        <f t="shared" si="89"/>
        <v>2E-3</v>
      </c>
      <c r="N39" s="3151">
        <f t="shared" si="89"/>
        <v>3.8E-3</v>
      </c>
      <c r="O39" s="3151"/>
      <c r="P39" s="3151">
        <f t="shared" ref="P39:P46" si="103">M39</f>
        <v>2E-3</v>
      </c>
      <c r="Q39" s="3160"/>
      <c r="R39" s="3162"/>
      <c r="S39" s="3162">
        <f>ROUND(IF(项目基本情况!$B$8="出让",SUMPRODUCT(PRODUCT(1+L39:L$46)),SUMPRODUCT(PRODUCT(1+L39:L$45))),4)</f>
        <v>1.0286999999999999</v>
      </c>
      <c r="T39" s="3162">
        <f>ROUND(IF(项目基本情况!$B$8="出让",SUMPRODUCT(PRODUCT(1+M39:M$46)),SUMPRODUCT(PRODUCT(1+M39:M$45))),4)</f>
        <v>1.0164</v>
      </c>
      <c r="U39" s="3162">
        <f>ROUND(IF(项目基本情况!$B$8="出让",SUMPRODUCT(PRODUCT(1+N39:N$46)),SUMPRODUCT(PRODUCT(1+N39:N$45))),4)</f>
        <v>1.0506</v>
      </c>
      <c r="V39" s="3162"/>
      <c r="W39" s="3162">
        <f t="shared" ref="W39:W46" si="104">T39</f>
        <v>1.0164</v>
      </c>
      <c r="X39" s="3160"/>
      <c r="Y39" s="3163"/>
      <c r="Z39" s="3191">
        <f t="shared" ref="Z39:AD46" si="105">IF(E39=0,0,ROUND(AVERAGE(E39:E47)/100,4))</f>
        <v>4.0000000000000001E-3</v>
      </c>
      <c r="AA39" s="3193">
        <f t="shared" si="105"/>
        <v>2.5999999999999999E-3</v>
      </c>
      <c r="AB39" s="3163">
        <f t="shared" si="105"/>
        <v>7.4000000000000003E-3</v>
      </c>
      <c r="AC39" s="3192"/>
      <c r="AD39" s="3163">
        <f t="shared" si="105"/>
        <v>2.5999999999999999E-3</v>
      </c>
    </row>
    <row r="40" spans="1:30" s="3164" customFormat="1" ht="12.75">
      <c r="A40" s="3155" t="s">
        <v>3364</v>
      </c>
      <c r="B40" s="3156">
        <v>2022</v>
      </c>
      <c r="C40" s="3157">
        <v>3</v>
      </c>
      <c r="D40" s="3158"/>
      <c r="E40" s="3158">
        <v>0.3</v>
      </c>
      <c r="F40" s="3158">
        <v>0.28999999999999998</v>
      </c>
      <c r="G40" s="3158">
        <v>0.83</v>
      </c>
      <c r="H40" s="3175"/>
      <c r="I40" s="3159">
        <f t="shared" si="88"/>
        <v>0.28999999999999998</v>
      </c>
      <c r="J40" s="3160"/>
      <c r="K40" s="3161"/>
      <c r="L40" s="3151">
        <f t="shared" si="89"/>
        <v>3.0000000000000001E-3</v>
      </c>
      <c r="M40" s="3151">
        <f t="shared" si="89"/>
        <v>2.8999999999999998E-3</v>
      </c>
      <c r="N40" s="3151">
        <f t="shared" si="89"/>
        <v>8.3000000000000001E-3</v>
      </c>
      <c r="O40" s="3151"/>
      <c r="P40" s="3151">
        <f t="shared" si="103"/>
        <v>2.8999999999999998E-3</v>
      </c>
      <c r="Q40" s="3160"/>
      <c r="R40" s="3162"/>
      <c r="S40" s="3162">
        <f>ROUND(IF(项目基本情况!$B$8="出让",SUMPRODUCT(PRODUCT(1+L40:L$46)),SUMPRODUCT(PRODUCT(1+L40:L$45))),4)</f>
        <v>1.0241</v>
      </c>
      <c r="T40" s="3162">
        <f>ROUND(IF(项目基本情况!$B$8="出让",SUMPRODUCT(PRODUCT(1+M40:M$46)),SUMPRODUCT(PRODUCT(1+M40:M$45))),4)</f>
        <v>1.0144</v>
      </c>
      <c r="U40" s="3162">
        <f>ROUND(IF(项目基本情况!$B$8="出让",SUMPRODUCT(PRODUCT(1+N40:N$46)),SUMPRODUCT(PRODUCT(1+N40:N$45))),4)</f>
        <v>1.0467</v>
      </c>
      <c r="V40" s="3162"/>
      <c r="W40" s="3162">
        <f t="shared" si="104"/>
        <v>1.0144</v>
      </c>
      <c r="X40" s="3160"/>
      <c r="Y40" s="3163"/>
      <c r="Z40" s="3191">
        <f t="shared" si="105"/>
        <v>3.8999999999999998E-3</v>
      </c>
      <c r="AA40" s="3193">
        <f t="shared" si="105"/>
        <v>2.7000000000000001E-3</v>
      </c>
      <c r="AB40" s="3163">
        <f t="shared" si="105"/>
        <v>7.9000000000000008E-3</v>
      </c>
      <c r="AC40" s="3192"/>
      <c r="AD40" s="3163">
        <f t="shared" si="105"/>
        <v>2.7000000000000001E-3</v>
      </c>
    </row>
    <row r="41" spans="1:30" s="3164" customFormat="1" ht="12.75">
      <c r="A41" s="3155" t="s">
        <v>3354</v>
      </c>
      <c r="B41" s="3156">
        <v>2022</v>
      </c>
      <c r="C41" s="3157">
        <v>2</v>
      </c>
      <c r="D41" s="3158"/>
      <c r="E41" s="3158">
        <v>-0.11</v>
      </c>
      <c r="F41" s="3158">
        <v>-0.13</v>
      </c>
      <c r="G41" s="3158">
        <v>0.53</v>
      </c>
      <c r="H41" s="3175"/>
      <c r="I41" s="3159">
        <f t="shared" si="88"/>
        <v>-0.13</v>
      </c>
      <c r="J41" s="3160"/>
      <c r="K41" s="3161"/>
      <c r="L41" s="3151">
        <f t="shared" si="89"/>
        <v>-1.1000000000000001E-3</v>
      </c>
      <c r="M41" s="3151">
        <f t="shared" si="89"/>
        <v>-1.2999999999999999E-3</v>
      </c>
      <c r="N41" s="3151">
        <f t="shared" si="89"/>
        <v>5.3E-3</v>
      </c>
      <c r="O41" s="3151"/>
      <c r="P41" s="3151">
        <f t="shared" si="103"/>
        <v>-1.2999999999999999E-3</v>
      </c>
      <c r="Q41" s="3160"/>
      <c r="R41" s="3162"/>
      <c r="S41" s="3162">
        <f>ROUND(IF(项目基本情况!$B$8="出让",SUMPRODUCT(PRODUCT(1+L41:L$46)),SUMPRODUCT(PRODUCT(1+L41:L$45))),4)</f>
        <v>1.0210999999999999</v>
      </c>
      <c r="T41" s="3162">
        <f>ROUND(IF(项目基本情况!$B$8="出让",SUMPRODUCT(PRODUCT(1+M41:M$46)),SUMPRODUCT(PRODUCT(1+M41:M$45))),4)</f>
        <v>1.0114000000000001</v>
      </c>
      <c r="U41" s="3162">
        <f>ROUND(IF(项目基本情况!$B$8="出让",SUMPRODUCT(PRODUCT(1+N41:N$46)),SUMPRODUCT(PRODUCT(1+N41:N$45))),4)</f>
        <v>1.0381</v>
      </c>
      <c r="V41" s="3162"/>
      <c r="W41" s="3162">
        <f t="shared" si="104"/>
        <v>1.0114000000000001</v>
      </c>
      <c r="X41" s="3160"/>
      <c r="Y41" s="3163"/>
      <c r="Z41" s="3191">
        <f t="shared" si="105"/>
        <v>4.1000000000000003E-3</v>
      </c>
      <c r="AA41" s="3193">
        <f t="shared" si="105"/>
        <v>2.7000000000000001E-3</v>
      </c>
      <c r="AB41" s="3163">
        <f t="shared" si="105"/>
        <v>7.9000000000000008E-3</v>
      </c>
      <c r="AC41" s="3192"/>
      <c r="AD41" s="3163">
        <f t="shared" si="105"/>
        <v>2.7000000000000001E-3</v>
      </c>
    </row>
    <row r="42" spans="1:30" s="3164" customFormat="1" ht="12.75">
      <c r="A42" s="3155" t="s">
        <v>2834</v>
      </c>
      <c r="B42" s="3156">
        <v>2022</v>
      </c>
      <c r="C42" s="3157">
        <v>1</v>
      </c>
      <c r="D42" s="3158"/>
      <c r="E42" s="3158">
        <v>0.6</v>
      </c>
      <c r="F42" s="3158">
        <v>0.45</v>
      </c>
      <c r="G42" s="3158">
        <v>0.53</v>
      </c>
      <c r="H42" s="3175"/>
      <c r="I42" s="3159">
        <f t="shared" si="88"/>
        <v>0.45</v>
      </c>
      <c r="J42" s="3160"/>
      <c r="K42" s="3161"/>
      <c r="L42" s="3151">
        <f t="shared" si="89"/>
        <v>6.0000000000000001E-3</v>
      </c>
      <c r="M42" s="3151">
        <f t="shared" si="89"/>
        <v>4.5000000000000005E-3</v>
      </c>
      <c r="N42" s="3151">
        <f t="shared" si="89"/>
        <v>5.3E-3</v>
      </c>
      <c r="O42" s="3151"/>
      <c r="P42" s="3151">
        <f t="shared" si="103"/>
        <v>4.5000000000000005E-3</v>
      </c>
      <c r="Q42" s="3160"/>
      <c r="R42" s="3162"/>
      <c r="S42" s="3162">
        <f>ROUND(IF(项目基本情况!$B$8="出让",SUMPRODUCT(PRODUCT(1+L42:L$46)),SUMPRODUCT(PRODUCT(1+L42:L$45))),4)</f>
        <v>1.0222</v>
      </c>
      <c r="T42" s="3162">
        <f>ROUND(IF(项目基本情况!$B$8="出让",SUMPRODUCT(PRODUCT(1+M42:M$46)),SUMPRODUCT(PRODUCT(1+M42:M$45))),4)</f>
        <v>1.0127999999999999</v>
      </c>
      <c r="U42" s="3162">
        <f>ROUND(IF(项目基本情况!$B$8="出让",SUMPRODUCT(PRODUCT(1+N42:N$46)),SUMPRODUCT(PRODUCT(1+N42:N$45))),4)</f>
        <v>1.0326</v>
      </c>
      <c r="V42" s="3162"/>
      <c r="W42" s="3162">
        <f t="shared" si="104"/>
        <v>1.0127999999999999</v>
      </c>
      <c r="X42" s="3160"/>
      <c r="Y42" s="3163"/>
      <c r="Z42" s="3191">
        <f t="shared" si="105"/>
        <v>5.1000000000000004E-3</v>
      </c>
      <c r="AA42" s="3193">
        <f t="shared" si="105"/>
        <v>3.5000000000000001E-3</v>
      </c>
      <c r="AB42" s="3163">
        <f t="shared" si="105"/>
        <v>8.3999999999999995E-3</v>
      </c>
      <c r="AC42" s="3192"/>
      <c r="AD42" s="3163">
        <f t="shared" si="105"/>
        <v>3.5000000000000001E-3</v>
      </c>
    </row>
    <row r="43" spans="1:30" s="3164" customFormat="1" ht="12.75">
      <c r="A43" s="3155" t="s">
        <v>2835</v>
      </c>
      <c r="B43" s="3156">
        <v>2021</v>
      </c>
      <c r="C43" s="3157">
        <v>4</v>
      </c>
      <c r="D43" s="3158"/>
      <c r="E43" s="3158">
        <v>0.57999999999999996</v>
      </c>
      <c r="F43" s="3158">
        <v>0.08</v>
      </c>
      <c r="G43" s="3158">
        <v>0.68</v>
      </c>
      <c r="H43" s="3175"/>
      <c r="I43" s="3159">
        <f t="shared" si="88"/>
        <v>0.08</v>
      </c>
      <c r="J43" s="3160"/>
      <c r="K43" s="3161"/>
      <c r="L43" s="3151">
        <f t="shared" si="89"/>
        <v>5.7999999999999996E-3</v>
      </c>
      <c r="M43" s="3151">
        <f t="shared" si="89"/>
        <v>8.0000000000000004E-4</v>
      </c>
      <c r="N43" s="3151">
        <f t="shared" si="89"/>
        <v>6.8000000000000005E-3</v>
      </c>
      <c r="O43" s="3151"/>
      <c r="P43" s="3151">
        <f t="shared" si="103"/>
        <v>8.0000000000000004E-4</v>
      </c>
      <c r="Q43" s="3160"/>
      <c r="R43" s="3162"/>
      <c r="S43" s="3162">
        <f>ROUND(IF(项目基本情况!$B$8="出让",SUMPRODUCT(PRODUCT(1+L43:L$46)),SUMPRODUCT(PRODUCT(1+L43:L$45))),4)</f>
        <v>1.0161</v>
      </c>
      <c r="T43" s="3162">
        <f>ROUND(IF(项目基本情况!$B$8="出让",SUMPRODUCT(PRODUCT(1+M43:M$46)),SUMPRODUCT(PRODUCT(1+M43:M$45))),4)</f>
        <v>1.0082</v>
      </c>
      <c r="U43" s="3162">
        <f>ROUND(IF(项目基本情况!$B$8="出让",SUMPRODUCT(PRODUCT(1+N43:N$46)),SUMPRODUCT(PRODUCT(1+N43:N$45))),4)</f>
        <v>1.0270999999999999</v>
      </c>
      <c r="V43" s="3162"/>
      <c r="W43" s="3162">
        <f t="shared" si="104"/>
        <v>1.0082</v>
      </c>
      <c r="X43" s="3160"/>
      <c r="Y43" s="3163"/>
      <c r="Z43" s="3191">
        <f t="shared" si="105"/>
        <v>4.8999999999999998E-3</v>
      </c>
      <c r="AA43" s="3193">
        <f t="shared" si="105"/>
        <v>3.3E-3</v>
      </c>
      <c r="AB43" s="3163">
        <f t="shared" si="105"/>
        <v>9.1999999999999998E-3</v>
      </c>
      <c r="AC43" s="3192"/>
      <c r="AD43" s="3163">
        <f t="shared" si="105"/>
        <v>3.3E-3</v>
      </c>
    </row>
    <row r="44" spans="1:30" s="3164" customFormat="1" ht="12.75">
      <c r="A44" s="3155" t="s">
        <v>2836</v>
      </c>
      <c r="B44" s="3156">
        <v>2021</v>
      </c>
      <c r="C44" s="3157">
        <v>3</v>
      </c>
      <c r="D44" s="3158"/>
      <c r="E44" s="3158">
        <v>0.47</v>
      </c>
      <c r="F44" s="3158">
        <v>0.28000000000000003</v>
      </c>
      <c r="G44" s="3158">
        <v>0.91</v>
      </c>
      <c r="H44" s="3175"/>
      <c r="I44" s="3159">
        <f t="shared" si="88"/>
        <v>0.28000000000000003</v>
      </c>
      <c r="J44" s="3160"/>
      <c r="K44" s="3161"/>
      <c r="L44" s="3151">
        <f t="shared" si="89"/>
        <v>4.6999999999999993E-3</v>
      </c>
      <c r="M44" s="3151">
        <f t="shared" si="89"/>
        <v>2.8000000000000004E-3</v>
      </c>
      <c r="N44" s="3151">
        <f t="shared" si="89"/>
        <v>9.1000000000000004E-3</v>
      </c>
      <c r="O44" s="3151"/>
      <c r="P44" s="3151">
        <f t="shared" si="103"/>
        <v>2.8000000000000004E-3</v>
      </c>
      <c r="Q44" s="3160"/>
      <c r="R44" s="3162"/>
      <c r="S44" s="3162">
        <f>ROUND(IF(项目基本情况!$B$8="出让",SUMPRODUCT(PRODUCT(1+L44:L$46)),SUMPRODUCT(PRODUCT(1+L44:L$45))),4)</f>
        <v>1.0102</v>
      </c>
      <c r="T44" s="3162">
        <f>ROUND(IF(项目基本情况!$B$8="出让",SUMPRODUCT(PRODUCT(1+M44:M$46)),SUMPRODUCT(PRODUCT(1+M44:M$45))),4)</f>
        <v>1.0074000000000001</v>
      </c>
      <c r="U44" s="3162">
        <f>ROUND(IF(项目基本情况!$B$8="出让",SUMPRODUCT(PRODUCT(1+N44:N$46)),SUMPRODUCT(PRODUCT(1+N44:N$45))),4)</f>
        <v>1.0202</v>
      </c>
      <c r="V44" s="3162"/>
      <c r="W44" s="3162">
        <f t="shared" si="104"/>
        <v>1.0074000000000001</v>
      </c>
      <c r="X44" s="3160"/>
      <c r="Y44" s="3163"/>
      <c r="Z44" s="3191">
        <f t="shared" si="105"/>
        <v>4.5999999999999999E-3</v>
      </c>
      <c r="AA44" s="3193">
        <f t="shared" si="105"/>
        <v>4.1000000000000003E-3</v>
      </c>
      <c r="AB44" s="3163">
        <f t="shared" si="105"/>
        <v>0.01</v>
      </c>
      <c r="AC44" s="3192"/>
      <c r="AD44" s="3163">
        <f t="shared" si="105"/>
        <v>4.1000000000000003E-3</v>
      </c>
    </row>
    <row r="45" spans="1:30" s="3164" customFormat="1" ht="12.75">
      <c r="A45" s="3155" t="s">
        <v>2837</v>
      </c>
      <c r="B45" s="3156">
        <v>2021</v>
      </c>
      <c r="C45" s="3157">
        <v>2</v>
      </c>
      <c r="D45" s="3158"/>
      <c r="E45" s="3158">
        <v>0.55000000000000004</v>
      </c>
      <c r="F45" s="3158">
        <v>0.46</v>
      </c>
      <c r="G45" s="3158">
        <v>1.1000000000000001</v>
      </c>
      <c r="H45" s="3175"/>
      <c r="I45" s="3159">
        <f t="shared" si="88"/>
        <v>0.46</v>
      </c>
      <c r="J45" s="3160"/>
      <c r="K45" s="3161"/>
      <c r="L45" s="3151">
        <f t="shared" si="89"/>
        <v>5.5000000000000005E-3</v>
      </c>
      <c r="M45" s="3151">
        <f t="shared" si="89"/>
        <v>4.5999999999999999E-3</v>
      </c>
      <c r="N45" s="3151">
        <f t="shared" si="89"/>
        <v>1.1000000000000001E-2</v>
      </c>
      <c r="O45" s="3151"/>
      <c r="P45" s="3151">
        <f t="shared" si="103"/>
        <v>4.5999999999999999E-3</v>
      </c>
      <c r="Q45" s="3160"/>
      <c r="R45" s="3162"/>
      <c r="S45" s="3162">
        <f>ROUND(IF(项目基本情况!$B$8="出让",SUMPRODUCT(PRODUCT(1+L45:L$46)),SUMPRODUCT(PRODUCT(1+L45:L$45))),4)</f>
        <v>1.0055000000000001</v>
      </c>
      <c r="T45" s="3162">
        <f>ROUND(IF(项目基本情况!$B$8="出让",SUMPRODUCT(PRODUCT(1+M45:M$46)),SUMPRODUCT(PRODUCT(1+M45:M$45))),4)</f>
        <v>1.0045999999999999</v>
      </c>
      <c r="U45" s="3162">
        <f>ROUND(IF(项目基本情况!$B$8="出让",SUMPRODUCT(PRODUCT(1+N45:N$46)),SUMPRODUCT(PRODUCT(1+N45:N$45))),4)</f>
        <v>1.0109999999999999</v>
      </c>
      <c r="V45" s="3162"/>
      <c r="W45" s="3162">
        <f t="shared" si="104"/>
        <v>1.0045999999999999</v>
      </c>
      <c r="X45" s="3160"/>
      <c r="Y45" s="3163"/>
      <c r="Z45" s="3191">
        <f t="shared" si="105"/>
        <v>4.4999999999999997E-3</v>
      </c>
      <c r="AA45" s="3193">
        <f t="shared" si="105"/>
        <v>4.7000000000000002E-3</v>
      </c>
      <c r="AB45" s="3163">
        <f t="shared" si="105"/>
        <v>1.04E-2</v>
      </c>
      <c r="AC45" s="3192"/>
      <c r="AD45" s="3163">
        <f t="shared" si="105"/>
        <v>4.7000000000000002E-3</v>
      </c>
    </row>
    <row r="46" spans="1:30" s="3186" customFormat="1" thickBot="1">
      <c r="A46" s="3176" t="s">
        <v>2823</v>
      </c>
      <c r="B46" s="3177">
        <v>2021</v>
      </c>
      <c r="C46" s="3178">
        <v>1</v>
      </c>
      <c r="D46" s="3179"/>
      <c r="E46" s="3179">
        <v>0.35</v>
      </c>
      <c r="F46" s="3179">
        <v>0.48</v>
      </c>
      <c r="G46" s="3179">
        <v>0.98</v>
      </c>
      <c r="H46" s="3180"/>
      <c r="I46" s="3181">
        <f t="shared" si="88"/>
        <v>0.48</v>
      </c>
      <c r="J46" s="3182"/>
      <c r="K46" s="3183"/>
      <c r="L46" s="3184">
        <f t="shared" si="89"/>
        <v>3.4999999999999996E-3</v>
      </c>
      <c r="M46" s="3184">
        <f>F46/100</f>
        <v>4.7999999999999996E-3</v>
      </c>
      <c r="N46" s="3184">
        <f t="shared" si="89"/>
        <v>9.7999999999999997E-3</v>
      </c>
      <c r="O46" s="3184"/>
      <c r="P46" s="3184">
        <f t="shared" si="103"/>
        <v>4.7999999999999996E-3</v>
      </c>
      <c r="Q46" s="3182"/>
      <c r="R46" s="3185"/>
      <c r="S46" s="3185">
        <v>1</v>
      </c>
      <c r="T46" s="3185">
        <v>1</v>
      </c>
      <c r="U46" s="3185">
        <v>1</v>
      </c>
      <c r="V46" s="3185"/>
      <c r="W46" s="3185">
        <f t="shared" si="104"/>
        <v>1</v>
      </c>
      <c r="X46" s="3182"/>
      <c r="Y46" s="3184"/>
      <c r="Z46" s="3197">
        <f t="shared" si="105"/>
        <v>3.5000000000000001E-3</v>
      </c>
      <c r="AA46" s="3198">
        <f t="shared" si="105"/>
        <v>4.7999999999999996E-3</v>
      </c>
      <c r="AB46" s="3184">
        <f t="shared" si="105"/>
        <v>9.7999999999999997E-3</v>
      </c>
      <c r="AC46" s="3199"/>
      <c r="AD46" s="3184">
        <f t="shared" si="105"/>
        <v>4.7999999999999996E-3</v>
      </c>
    </row>
    <row r="47" spans="1:30" ht="14.25" thickTop="1"/>
    <row r="48" spans="1:30">
      <c r="A48" s="3427"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45586</v>
      </c>
      <c r="D13" s="2801">
        <v>3.1</v>
      </c>
      <c r="E13" s="2801">
        <f>D13</f>
        <v>3.1</v>
      </c>
      <c r="F13" s="2801">
        <f>D13</f>
        <v>3.1</v>
      </c>
      <c r="G13" s="2801">
        <f>D13</f>
        <v>3.1</v>
      </c>
      <c r="H13" s="280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45495</v>
      </c>
      <c r="D14" s="2796">
        <v>3.35</v>
      </c>
      <c r="E14" s="2796">
        <f>D14</f>
        <v>3.35</v>
      </c>
      <c r="F14" s="2796">
        <f>D14</f>
        <v>3.35</v>
      </c>
      <c r="G14" s="2796">
        <f>D14</f>
        <v>3.35</v>
      </c>
      <c r="H14" s="2796">
        <v>3.85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45342</v>
      </c>
      <c r="D15" s="2796">
        <v>3.45</v>
      </c>
      <c r="E15" s="2796">
        <f>D15</f>
        <v>3.45</v>
      </c>
      <c r="F15" s="2796">
        <f>D15</f>
        <v>3.45</v>
      </c>
      <c r="G15" s="2796">
        <f>D15</f>
        <v>3.45</v>
      </c>
      <c r="H15" s="2796">
        <v>3.95</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45159</v>
      </c>
      <c r="D16" s="2796">
        <v>3.45</v>
      </c>
      <c r="E16" s="2796">
        <f>D16</f>
        <v>3.45</v>
      </c>
      <c r="F16" s="2796">
        <f>D16</f>
        <v>3.45</v>
      </c>
      <c r="G16" s="2796">
        <f>D16</f>
        <v>3.45</v>
      </c>
      <c r="H16" s="2796">
        <v>4.2</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45097</v>
      </c>
      <c r="D17" s="2796">
        <v>3.55</v>
      </c>
      <c r="E17" s="2796">
        <f>D17</f>
        <v>3.55</v>
      </c>
      <c r="F17" s="2796">
        <f>D17</f>
        <v>3.55</v>
      </c>
      <c r="G17" s="2796">
        <f>D17</f>
        <v>3.55</v>
      </c>
      <c r="H17" s="2796">
        <v>4.2</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5"/>
      <c r="C18" s="2797">
        <v>44795</v>
      </c>
      <c r="D18" s="2796">
        <v>3.65</v>
      </c>
      <c r="E18" s="2796">
        <v>3.65</v>
      </c>
      <c r="F18" s="2796">
        <v>3.65</v>
      </c>
      <c r="G18" s="2796">
        <v>3.65</v>
      </c>
      <c r="H18" s="2796">
        <v>4.3</v>
      </c>
      <c r="I18" s="2801"/>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5"/>
      <c r="C19" s="2797">
        <v>44701</v>
      </c>
      <c r="D19" s="2796">
        <v>3.7</v>
      </c>
      <c r="E19" s="2796">
        <f>D19</f>
        <v>3.7</v>
      </c>
      <c r="F19" s="2796">
        <f>D19</f>
        <v>3.7</v>
      </c>
      <c r="G19" s="2796">
        <f>D19</f>
        <v>3.7</v>
      </c>
      <c r="H19" s="2796">
        <v>4.45</v>
      </c>
      <c r="I19" s="2801"/>
      <c r="J19" s="280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5"/>
      <c r="C20" s="2797">
        <v>44581</v>
      </c>
      <c r="D20" s="2796">
        <v>3.7</v>
      </c>
      <c r="E20" s="2796">
        <f>D20</f>
        <v>3.7</v>
      </c>
      <c r="F20" s="2796">
        <f>D20</f>
        <v>3.7</v>
      </c>
      <c r="G20" s="2796">
        <f>D20</f>
        <v>3.7</v>
      </c>
      <c r="H20" s="2796">
        <v>4.5999999999999996</v>
      </c>
      <c r="I20" s="2801"/>
      <c r="J20" s="280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44550</v>
      </c>
      <c r="D21" s="2796">
        <v>3.8</v>
      </c>
      <c r="E21" s="2796">
        <f>D21</f>
        <v>3.8</v>
      </c>
      <c r="F21" s="2796">
        <f>D21</f>
        <v>3.8</v>
      </c>
      <c r="G21" s="2796">
        <f>D21</f>
        <v>3.8</v>
      </c>
      <c r="H21" s="2796">
        <v>4.6500000000000004</v>
      </c>
      <c r="I21" s="2796"/>
      <c r="J21" s="280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43941</v>
      </c>
      <c r="D22" s="2796">
        <v>3.85</v>
      </c>
      <c r="E22" s="2796">
        <v>3.85</v>
      </c>
      <c r="F22" s="2796">
        <v>3.85</v>
      </c>
      <c r="G22" s="2796">
        <v>3.85</v>
      </c>
      <c r="H22" s="2796">
        <v>4.6500000000000004</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6"/>
      <c r="C23" s="2797">
        <v>43881</v>
      </c>
      <c r="D23" s="2796">
        <v>4.05</v>
      </c>
      <c r="E23" s="2796">
        <v>4.05</v>
      </c>
      <c r="F23" s="2796">
        <v>4.05</v>
      </c>
      <c r="G23" s="2796">
        <v>4.05</v>
      </c>
      <c r="H23" s="2796">
        <v>4.75</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6"/>
      <c r="C24" s="2797">
        <v>43789</v>
      </c>
      <c r="D24" s="2796">
        <v>4.1500000000000004</v>
      </c>
      <c r="E24" s="2796">
        <v>4.1500000000000004</v>
      </c>
      <c r="F24" s="2796">
        <v>4.1500000000000004</v>
      </c>
      <c r="G24" s="2796">
        <v>4.1500000000000004</v>
      </c>
      <c r="H24" s="2796">
        <v>4.8</v>
      </c>
      <c r="I24" s="2796"/>
      <c r="J24" s="279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6"/>
      <c r="C25" s="2797">
        <v>43728</v>
      </c>
      <c r="D25" s="2796">
        <v>4.2</v>
      </c>
      <c r="E25" s="2796">
        <v>4.2</v>
      </c>
      <c r="F25" s="2796">
        <v>4.2</v>
      </c>
      <c r="G25" s="2796">
        <v>4.2</v>
      </c>
      <c r="H25" s="2796">
        <v>4.8499999999999996</v>
      </c>
      <c r="I25" s="2796"/>
      <c r="J25" s="279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5" t="s">
        <v>2308</v>
      </c>
      <c r="C26" s="2798">
        <v>43697</v>
      </c>
      <c r="D26" s="2799">
        <v>4.25</v>
      </c>
      <c r="E26" s="2799">
        <v>4.25</v>
      </c>
      <c r="F26" s="2799">
        <v>4.25</v>
      </c>
      <c r="G26" s="2799">
        <v>4.25</v>
      </c>
      <c r="H26" s="2799">
        <v>4.8499999999999996</v>
      </c>
      <c r="I26" s="2799"/>
      <c r="J26" s="279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3"/>
      <c r="C27" s="2804">
        <v>42301</v>
      </c>
      <c r="D27" s="2805">
        <v>4.3499999999999996</v>
      </c>
      <c r="E27" s="2805">
        <v>4.3499999999999996</v>
      </c>
      <c r="F27" s="2805">
        <v>4.75</v>
      </c>
      <c r="G27" s="2805">
        <v>4.75</v>
      </c>
      <c r="H27" s="2805">
        <v>4.9000000000000004</v>
      </c>
      <c r="I27" s="2805"/>
      <c r="J27" s="280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workbookViewId="0">
      <selection sqref="A1:E4"/>
    </sheetView>
  </sheetViews>
  <sheetFormatPr defaultRowHeight="13.5"/>
  <sheetData>
    <row r="1" spans="1:9">
      <c r="B1">
        <f>'数据-基础表'!G13</f>
        <v>306.54000000000002</v>
      </c>
      <c r="C1">
        <f>2000*1.5</f>
        <v>3000</v>
      </c>
      <c r="D1">
        <f>B1*C1</f>
        <v>919620.00000000012</v>
      </c>
      <c r="E1" s="3439" t="s">
        <v>3452</v>
      </c>
    </row>
    <row r="2" spans="1:9">
      <c r="A2" s="3439" t="s">
        <v>3422</v>
      </c>
      <c r="B2">
        <f>'数据-基础表'!H14</f>
        <v>7405.24</v>
      </c>
      <c r="C2">
        <f>2500*1.5</f>
        <v>3750</v>
      </c>
      <c r="D2">
        <f t="shared" ref="D2:D3" si="0">B2*C2</f>
        <v>27769650</v>
      </c>
      <c r="E2" s="3439" t="s">
        <v>3448</v>
      </c>
      <c r="F2">
        <v>1.5</v>
      </c>
      <c r="G2">
        <f>B2*F2</f>
        <v>11107.86</v>
      </c>
    </row>
    <row r="3" spans="1:9">
      <c r="A3" s="3439" t="s">
        <v>3423</v>
      </c>
      <c r="B3">
        <f>'数据-基础表'!H15</f>
        <v>5878.37</v>
      </c>
      <c r="C3">
        <v>4500</v>
      </c>
      <c r="D3">
        <f t="shared" si="0"/>
        <v>26452665</v>
      </c>
      <c r="F3">
        <v>2.6</v>
      </c>
      <c r="G3">
        <f>B3*F3</f>
        <v>15283.762000000001</v>
      </c>
      <c r="I3">
        <f>3*'数据-基础表'!I15/'数据-基础表'!H15</f>
        <v>2.5562137123046011</v>
      </c>
    </row>
    <row r="4" spans="1:9">
      <c r="B4">
        <f>B1+B2+B3</f>
        <v>13590.15</v>
      </c>
      <c r="C4">
        <f>D4/B4</f>
        <v>4057.4927429057075</v>
      </c>
      <c r="D4">
        <f>D1+D2+D3</f>
        <v>55141935</v>
      </c>
      <c r="F4">
        <f>G4/B4</f>
        <v>1.9419669392905894</v>
      </c>
      <c r="G4">
        <f>G3+G2</f>
        <v>26391.622000000003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13590.15</v>
      </c>
      <c r="C4" s="854">
        <f>项目基本情况!C18</f>
        <v>7963.76</v>
      </c>
      <c r="D4" s="854">
        <f ca="1">结果表!D118</f>
        <v>6643</v>
      </c>
      <c r="E4" s="854">
        <f ca="1">结果表!E118</f>
        <v>4888</v>
      </c>
      <c r="F4" s="854">
        <f ca="1">结果表!F118</f>
        <v>9326</v>
      </c>
      <c r="G4" s="854">
        <f ca="1">结果表!G118</f>
        <v>6862</v>
      </c>
      <c r="H4" s="854">
        <f ca="1">结果表!H118</f>
        <v>15969</v>
      </c>
      <c r="I4" s="854">
        <f ca="1">结果表!I118</f>
        <v>11750</v>
      </c>
    </row>
    <row r="5" spans="1:9" ht="30" customHeight="1">
      <c r="A5" s="3473" t="s">
        <v>927</v>
      </c>
      <c r="B5" s="3473"/>
      <c r="C5" s="3473"/>
      <c r="D5" s="3473" t="str">
        <f ca="1">结果表!D119</f>
        <v>陆仟陆佰肆拾叁万元整</v>
      </c>
      <c r="E5" s="3473"/>
      <c r="F5" s="3473" t="str">
        <f ca="1">结果表!F119</f>
        <v>玖仟叁佰贰拾陆万元整</v>
      </c>
      <c r="G5" s="3473"/>
      <c r="H5" s="3473" t="str">
        <f ca="1">结果表!H119</f>
        <v>壹亿伍仟玖佰陆拾玖万元整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15969</v>
      </c>
      <c r="E8" s="3472"/>
      <c r="F8" s="3472"/>
      <c r="G8" s="3472"/>
      <c r="H8" s="3472"/>
      <c r="I8" s="3472"/>
    </row>
    <row r="9" spans="1:9" ht="15">
      <c r="A9" s="3473" t="s">
        <v>927</v>
      </c>
      <c r="B9" s="3473"/>
      <c r="C9" s="3473"/>
      <c r="D9" s="3473" t="str">
        <f ca="1">结果表!D123</f>
        <v>壹亿伍仟玖佰陆拾玖万元整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抵押净值</v>
      </c>
      <c r="B12" s="3472"/>
      <c r="C12" s="3472"/>
      <c r="D12" s="3472">
        <f ca="1">结果表!D126</f>
        <v>13547</v>
      </c>
      <c r="E12" s="3472"/>
      <c r="F12" s="3472"/>
      <c r="G12" s="3472"/>
      <c r="H12" s="3472"/>
      <c r="I12" s="3472"/>
    </row>
    <row r="13" spans="1:9" ht="15.75" thickBot="1">
      <c r="A13" s="3470" t="s">
        <v>927</v>
      </c>
      <c r="B13" s="3470"/>
      <c r="C13" s="3470"/>
      <c r="D13" s="3470" t="str">
        <f ca="1">结果表!D127</f>
        <v>壹亿叁仟伍佰肆拾柒万元整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45635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t="str">
        <f ca="1">IF(C9&lt;B2,"已过期",1120060040)</f>
        <v>已过期</v>
      </c>
      <c r="C9" s="2349">
        <v>45592</v>
      </c>
      <c r="D9" s="2345" t="str">
        <f t="shared" ca="1" si="0"/>
        <v>陈颖（注册号：已过期）</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2024-12-09T03:45:30Z</dcterms:modified>
</cp:coreProperties>
</file>