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2570" tabRatio="875" firstSheet="36"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收益法-办公" sheetId="15" r:id="rId36"/>
    <sheet name="不动产比较法-商业" sheetId="33" r:id="rId37"/>
    <sheet name="酒店收入计算" sheetId="57" state="hidden" r:id="rId38"/>
    <sheet name="成本逼近法" sheetId="11" state="hidden" r:id="rId39"/>
    <sheet name="不动产比较法-工业" sheetId="37" state="hidden" r:id="rId40"/>
    <sheet name="不动产比较法-仓储" sheetId="36" state="hidden" r:id="rId41"/>
    <sheet name="存贷款利率" sheetId="65" state="hidden" r:id="rId42"/>
    <sheet name="典型户型修正 (2)" sheetId="73" r:id="rId43"/>
    <sheet name="商业案例" sheetId="74" r:id="rId44"/>
    <sheet name="不动产比较法-车位" sheetId="35" state="hidden" r:id="rId45"/>
    <sheet name="不动产收益法-车库" sheetId="70"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AL13" i="3"/>
  <c r="L14" i="1"/>
  <c r="L10" i="1"/>
  <c r="L9" i="1"/>
  <c r="L8" i="1"/>
  <c r="K9" i="1"/>
  <c r="M9" i="1"/>
  <c r="BQ13" i="3"/>
  <c r="BQ5" i="3"/>
  <c r="F28" i="6"/>
  <c r="E28" i="6"/>
  <c r="K14" i="1"/>
  <c r="M14" i="1"/>
  <c r="K22" i="6"/>
  <c r="S9" i="1"/>
  <c r="K19" i="6"/>
  <c r="S6" i="1"/>
  <c r="K20" i="6"/>
  <c r="S7" i="1"/>
  <c r="K21" i="6"/>
  <c r="S8" i="1"/>
  <c r="K23" i="6"/>
  <c r="S10" i="1"/>
  <c r="S11" i="1"/>
  <c r="S12" i="1"/>
  <c r="S13" i="1"/>
  <c r="S16" i="1"/>
  <c r="T9" i="1"/>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6" i="70"/>
  <c r="F8" i="70"/>
  <c r="F7" i="70"/>
  <c r="F9" i="70"/>
  <c r="C6" i="70"/>
  <c r="N4" i="65"/>
  <c r="C4" i="65"/>
  <c r="B39" i="1"/>
  <c r="F11" i="70"/>
  <c r="C10" i="70"/>
  <c r="C5" i="70"/>
  <c r="F38" i="70"/>
  <c r="C38" i="70"/>
  <c r="H36" i="70"/>
  <c r="H37" i="70"/>
  <c r="BL13" i="3"/>
  <c r="AZ13" i="3"/>
  <c r="AZ5" i="3"/>
  <c r="AC13" i="3"/>
  <c r="G13" i="3"/>
  <c r="G5" i="3"/>
  <c r="B3" i="3"/>
  <c r="AY6" i="3"/>
  <c r="D3" i="6"/>
  <c r="D23" i="6"/>
  <c r="D20" i="6"/>
  <c r="D21" i="6"/>
  <c r="D19" i="6"/>
  <c r="D34" i="6"/>
  <c r="F6" i="15"/>
  <c r="F8" i="15"/>
  <c r="K6" i="1"/>
  <c r="F7" i="15"/>
  <c r="F9" i="15"/>
  <c r="C6" i="15"/>
  <c r="F11" i="15"/>
  <c r="C10" i="15"/>
  <c r="C5" i="15"/>
  <c r="C32" i="15"/>
  <c r="C33" i="15"/>
  <c r="R19" i="6"/>
  <c r="R6" i="1"/>
  <c r="F35" i="15"/>
  <c r="C34" i="15"/>
  <c r="C31" i="15"/>
  <c r="T6" i="1"/>
  <c r="M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B2" i="15"/>
  <c r="E10" i="12"/>
  <c r="B3" i="15"/>
  <c r="E8" i="12"/>
  <c r="K7" i="1"/>
  <c r="K8" i="1"/>
  <c r="K10" i="1"/>
  <c r="K11" i="1"/>
  <c r="K12" i="1"/>
  <c r="K13" i="1"/>
  <c r="Q16" i="1"/>
  <c r="Q18" i="1"/>
  <c r="C32" i="70"/>
  <c r="F33" i="70"/>
  <c r="C33" i="70"/>
  <c r="R22" i="6"/>
  <c r="R9" i="1"/>
  <c r="F35" i="70"/>
  <c r="C34" i="70"/>
  <c r="C31" i="70"/>
  <c r="C30" i="70"/>
  <c r="C39" i="70"/>
  <c r="F42" i="70"/>
  <c r="F40" i="70"/>
  <c r="G19" i="4"/>
  <c r="F9" i="1"/>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C1" i="65"/>
  <c r="N1" i="65"/>
  <c r="B43" i="1"/>
  <c r="B41" i="1"/>
  <c r="F32" i="70"/>
  <c r="C42" i="1"/>
  <c r="B52" i="1"/>
  <c r="F34" i="70"/>
  <c r="I13" i="3"/>
  <c r="BB13" i="3"/>
  <c r="K13" i="3"/>
  <c r="BC13" i="3"/>
  <c r="M13" i="3"/>
  <c r="BD13" i="3"/>
  <c r="BE13" i="3"/>
  <c r="Q13" i="3"/>
  <c r="BF13" i="3"/>
  <c r="BG13" i="3"/>
  <c r="BH13" i="3"/>
  <c r="BI13" i="3"/>
  <c r="BJ13" i="3"/>
  <c r="BK13" i="3"/>
  <c r="BA13" i="3"/>
  <c r="BM13" i="3"/>
  <c r="BN13" i="3"/>
  <c r="BO13" i="3"/>
  <c r="BP13" i="3"/>
  <c r="J23" i="68"/>
  <c r="BR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3" i="6"/>
  <c r="BS5" i="3"/>
  <c r="BR5" i="3"/>
  <c r="BT5" i="3"/>
  <c r="G28" i="6"/>
  <c r="F19" i="6"/>
  <c r="E19" i="6"/>
  <c r="F20" i="6"/>
  <c r="E20" i="6"/>
  <c r="F21" i="6"/>
  <c r="E21" i="6"/>
  <c r="F23" i="6"/>
  <c r="E23" i="6"/>
  <c r="E24" i="6"/>
  <c r="E25" i="6"/>
  <c r="E26" i="6"/>
  <c r="BA5" i="3"/>
  <c r="E27" i="6"/>
  <c r="L22" i="6"/>
  <c r="M22" i="6"/>
  <c r="I22" i="6"/>
  <c r="T4" i="1"/>
  <c r="F15" i="70"/>
  <c r="F17" i="70"/>
  <c r="F18" i="70"/>
  <c r="F20" i="70"/>
  <c r="B22" i="1"/>
  <c r="C2" i="65"/>
  <c r="H1" i="65"/>
  <c r="F23" i="70"/>
  <c r="F21" i="70"/>
  <c r="F28" i="70"/>
  <c r="C28" i="70"/>
  <c r="M47" i="70"/>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32" i="15"/>
  <c r="M11" i="1"/>
  <c r="T11" i="1"/>
  <c r="F15" i="15"/>
  <c r="F17" i="15"/>
  <c r="F18" i="15"/>
  <c r="F20" i="15"/>
  <c r="F23" i="15"/>
  <c r="F21" i="15"/>
  <c r="F28" i="15"/>
  <c r="C28" i="15"/>
  <c r="F33" i="15"/>
  <c r="F34" i="15"/>
  <c r="R11" i="1"/>
  <c r="AE11" i="1"/>
  <c r="J50" i="15"/>
  <c r="J51" i="15"/>
  <c r="Q66" i="15"/>
  <c r="M47" i="15"/>
  <c r="F11" i="1"/>
  <c r="J36" i="15"/>
  <c r="L51" i="15"/>
  <c r="L57" i="15"/>
  <c r="D11" i="1"/>
  <c r="D6"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7" i="1"/>
  <c r="T8" i="1"/>
  <c r="T10" i="1"/>
  <c r="T12" i="1"/>
  <c r="T13" i="1"/>
  <c r="T16" i="1"/>
  <c r="L19" i="6"/>
  <c r="M19" i="6"/>
  <c r="I19" i="6"/>
  <c r="L20" i="6"/>
  <c r="M20" i="6"/>
  <c r="I20" i="6"/>
  <c r="R20" i="6"/>
  <c r="R7" i="1"/>
  <c r="L21" i="6"/>
  <c r="M21" i="6"/>
  <c r="I21" i="6"/>
  <c r="R21" i="6"/>
  <c r="R8" i="1"/>
  <c r="L23" i="6"/>
  <c r="M23" i="6"/>
  <c r="I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AP6" i="1"/>
  <c r="AG6" i="1"/>
  <c r="G6" i="1"/>
  <c r="B6" i="1"/>
  <c r="E6" i="1"/>
  <c r="E32" i="6"/>
  <c r="G27" i="6"/>
  <c r="G30" i="6"/>
  <c r="G31" i="6"/>
  <c r="F27" i="6"/>
  <c r="F30" i="6"/>
  <c r="F31" i="6"/>
  <c r="D24" i="6"/>
  <c r="D25" i="6"/>
  <c r="D26" i="6"/>
  <c r="D27" i="6"/>
  <c r="D29"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kz</author>
  </authors>
  <commentList>
    <comment ref="G27" authorId="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<sst xmlns="http://schemas.openxmlformats.org/spreadsheetml/2006/main" count="7704" uniqueCount="2460">
  <si>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</si>
  <si>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</si>
  <si>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</si>
  <si>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</si>
  <si>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</si>
  <si>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</si>
  <si>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</si>
  <si>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</si>
  <si>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</si>
  <si>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</si>
  <si>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</si>
  <si>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</si>
  <si>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</si>
  <si>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</si>
  <si>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</si>
  <si>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</si>
  <si>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</si>
  <si>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</si>
  <si>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</si>
  <si>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</si>
  <si>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</si>
  <si>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</si>
  <si>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</si>
  <si>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</si>
  <si>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</si>
  <si>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</si>
  <si>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</si>
  <si>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</si>
  <si>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</si>
  <si>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</si>
  <si>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</si>
  <si>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</si>
  <si>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</si>
  <si>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</si>
  <si>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</si>
  <si>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</si>
  <si>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</si>
  <si>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</si>
  <si>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</si>
  <si>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</si>
  <si>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</si>
  <si>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</si>
  <si>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</si>
  <si>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</si>
  <si>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</si>
  <si>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</si>
  <si>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</si>
  <si>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</si>
  <si>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</si>
  <si>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</si>
  <si>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</si>
  <si>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</si>
  <si>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</si>
  <si>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</si>
  <si>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</si>
  <si>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</si>
  <si>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</si>
  <si>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</si>
  <si>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</si>
  <si>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</si>
  <si>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</si>
  <si>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</si>
  <si>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</si>
  <si>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</si>
  <si>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</si>
  <si>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</si>
  <si>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</si>
  <si>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</si>
  <si>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</si>
  <si>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</si>
  <si>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</si>
  <si>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</si>
  <si>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</si>
  <si>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</si>
  <si>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</si>
  <si>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</si>
  <si>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</si>
  <si>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</si>
  <si>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</si>
  <si>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</si>
  <si>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</si>
  <si>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</si>
  <si>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</si>
  <si>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</si>
  <si>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</si>
  <si>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</si>
  <si>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</si>
  <si>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</si>
  <si>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</si>
  <si>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</si>
  <si>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</si>
  <si>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</si>
  <si>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</si>
  <si>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</si>
  <si>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</si>
  <si>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</si>
  <si>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</si>
  <si>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</si>
  <si>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</si>
  <si>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</si>
  <si>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</si>
  <si>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</si>
  <si>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</si>
  <si>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</si>
  <si>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</si>
  <si>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</si>
  <si>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</si>
  <si>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</si>
  <si>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</si>
  <si>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</si>
  <si>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</si>
  <si>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</si>
  <si>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</si>
  <si>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</si>
  <si>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</si>
  <si>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</si>
  <si>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</si>
  <si>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</si>
  <si>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</si>
  <si>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</si>
  <si>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</si>
  <si>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</si>
  <si>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</si>
  <si>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</si>
  <si>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</si>
  <si>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</si>
  <si>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</si>
  <si>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</si>
  <si>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</si>
  <si>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</si>
  <si>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</si>
  <si>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</si>
  <si>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</si>
  <si>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</si>
  <si>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</si>
  <si>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</si>
  <si>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</si>
  <si>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</si>
  <si>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</si>
  <si>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</si>
  <si>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</si>
  <si>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</si>
  <si>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</si>
  <si>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</si>
  <si>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</si>
  <si>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</si>
  <si>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</si>
  <si>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</si>
  <si>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</si>
  <si>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</si>
  <si>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</si>
  <si>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</si>
  <si>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</si>
  <si>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</si>
  <si>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</si>
  <si>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</si>
  <si>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</si>
  <si>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</si>
  <si>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</si>
  <si>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</si>
  <si>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</si>
  <si>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</si>
  <si>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</si>
  <si>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</si>
  <si>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</si>
  <si>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</si>
  <si>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</si>
  <si>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</si>
  <si>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</si>
  <si>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</si>
  <si>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</si>
  <si>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</si>
  <si>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</si>
  <si>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</si>
  <si>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</si>
  <si>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</si>
  <si>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</si>
  <si>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</si>
  <si>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</si>
  <si>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</si>
  <si>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</si>
  <si>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</si>
  <si>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</si>
  <si>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</si>
  <si>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</si>
  <si>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</si>
  <si>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</si>
  <si>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</si>
  <si>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</si>
  <si>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</si>
  <si>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</si>
  <si>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</si>
  <si>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</si>
  <si>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</si>
  <si>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</si>
  <si>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</si>
  <si>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</si>
  <si>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</si>
  <si>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</si>
  <si>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</si>
  <si>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</si>
  <si>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</si>
  <si>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</si>
  <si>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</si>
  <si>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</si>
  <si>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</si>
  <si>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</si>
  <si>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</si>
  <si>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</si>
  <si>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</si>
  <si>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</si>
  <si>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</si>
  <si>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</si>
  <si>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</si>
  <si>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</si>
  <si>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</si>
  <si>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</si>
  <si>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</si>
  <si>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</si>
  <si>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</si>
  <si>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</si>
  <si>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</si>
  <si>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</si>
  <si>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</si>
  <si>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</si>
  <si>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</si>
  <si>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</si>
  <si>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</si>
  <si>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</si>
  <si>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</si>
  <si>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</si>
  <si>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</si>
  <si>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</si>
  <si>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</si>
  <si>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</si>
  <si>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</si>
  <si>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</si>
  <si>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</si>
  <si>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</si>
  <si>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</si>
  <si>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</si>
  <si>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</si>
  <si>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</si>
  <si>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</si>
  <si>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</si>
  <si>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</si>
  <si>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</si>
  <si>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</si>
  <si>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</si>
  <si>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</si>
  <si>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</si>
  <si>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</si>
  <si>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</si>
  <si>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</si>
  <si>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</si>
  <si>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</si>
  <si>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</si>
  <si>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</si>
  <si>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</si>
  <si>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</si>
  <si>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</si>
  <si>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</si>
  <si>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</si>
  <si>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</si>
  <si>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</si>
  <si>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</si>
  <si>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</si>
  <si>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</si>
  <si>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</si>
  <si>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</si>
  <si>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</si>
  <si>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</si>
  <si>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</si>
  <si>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</si>
  <si>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</si>
  <si>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</si>
  <si>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</si>
  <si>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</si>
  <si>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</si>
  <si>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</si>
  <si>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</si>
  <si>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</si>
  <si>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</si>
  <si>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</si>
  <si>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</si>
  <si>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</si>
  <si>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</si>
  <si>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</si>
  <si>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</si>
  <si>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</si>
  <si>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</si>
  <si>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</si>
  <si>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</si>
  <si>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</si>
  <si>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</si>
  <si>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</si>
  <si>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</si>
  <si>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</si>
  <si>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</si>
  <si>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</si>
  <si>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</si>
  <si>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</si>
  <si>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</si>
  <si>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</si>
  <si>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</si>
  <si>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</si>
  <si>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</si>
  <si>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</si>
  <si>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</si>
  <si>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</si>
  <si>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</si>
  <si>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</si>
  <si>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</si>
  <si>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</si>
  <si>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</si>
  <si>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</si>
  <si>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</si>
  <si>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</si>
  <si>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</si>
  <si>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</si>
  <si>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</si>
  <si>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</si>
  <si>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</si>
  <si>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</si>
  <si>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</si>
  <si>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</si>
  <si>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</si>
  <si>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</si>
  <si>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</si>
  <si>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</si>
  <si>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</si>
  <si>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</si>
  <si>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</si>
  <si>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</si>
  <si>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</si>
  <si>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</si>
  <si>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</si>
  <si>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</si>
  <si>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</si>
  <si>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</si>
  <si>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</si>
  <si>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</si>
  <si>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</si>
  <si>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</si>
  <si>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</si>
  <si>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</si>
  <si>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</si>
  <si>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</si>
  <si>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</si>
  <si>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</si>
  <si>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</si>
  <si>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</si>
  <si>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</si>
  <si>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</si>
  <si>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</si>
  <si>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</si>
  <si>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</si>
  <si>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</si>
  <si>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</si>
  <si>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</si>
  <si>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</si>
  <si>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</si>
  <si>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</si>
  <si>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</si>
  <si>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</si>
  <si>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</si>
  <si>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</si>
  <si>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</si>
  <si>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</si>
  <si>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</si>
  <si>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</si>
  <si>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</si>
  <si>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</si>
  <si>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</si>
  <si>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</si>
  <si>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</si>
  <si>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</si>
  <si>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</si>
  <si>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</si>
  <si>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</si>
  <si>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</si>
  <si>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</si>
  <si>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</si>
  <si>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</si>
  <si>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</si>
  <si>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</si>
  <si>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</si>
  <si>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</si>
  <si>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</si>
  <si>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</si>
  <si>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</si>
  <si>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</si>
  <si>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</si>
  <si>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</si>
  <si>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</si>
  <si>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</si>
  <si>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</si>
  <si>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</si>
  <si>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</si>
  <si>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</si>
  <si>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</si>
  <si>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</si>
  <si>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</si>
  <si>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</si>
  <si>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</si>
  <si>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</si>
  <si>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</si>
  <si>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</si>
  <si>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</si>
  <si>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</si>
  <si>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</si>
  <si>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</si>
  <si>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</si>
  <si>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</si>
  <si>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</si>
  <si>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</si>
  <si>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</si>
  <si>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</si>
  <si>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</si>
  <si>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</si>
  <si>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</si>
  <si>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</si>
  <si>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</si>
  <si>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</si>
  <si>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</si>
  <si>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</si>
  <si>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</si>
  <si>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</si>
  <si>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</si>
  <si>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</si>
  <si>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</si>
  <si>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</si>
  <si>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</si>
  <si>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</si>
  <si>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</si>
  <si>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</si>
  <si>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</si>
  <si>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</si>
  <si>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</si>
  <si>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</si>
  <si>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</si>
  <si>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</si>
  <si>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</si>
  <si>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</si>
  <si>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</si>
  <si>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</si>
  <si>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</si>
  <si>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</si>
  <si>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</si>
  <si>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</si>
  <si>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</si>
  <si>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</si>
  <si>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</si>
  <si>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</si>
  <si>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</si>
  <si>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</si>
  <si>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</si>
  <si>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</si>
  <si>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</si>
  <si>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</si>
  <si>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</si>
  <si>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</si>
  <si>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</si>
  <si>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</si>
  <si>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</si>
  <si>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</si>
  <si>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</si>
  <si>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</si>
  <si>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</si>
  <si>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</si>
  <si>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</si>
  <si>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</si>
  <si>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</si>
  <si>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</si>
  <si>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</si>
  <si>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</si>
  <si>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</si>
  <si>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底商</t>
  </si>
  <si>
    <t>公寓</t>
  </si>
  <si>
    <t>LOFT住宅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</si>
  <si>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</si>
  <si>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</si>
  <si>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</si>
  <si>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</si>
  <si>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</si>
  <si>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</si>
  <si>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</si>
  <si>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</si>
  <si>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</si>
  <si>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</si>
  <si>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</si>
  <si>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</si>
  <si>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</si>
  <si>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</si>
  <si>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</si>
  <si>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</si>
  <si>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</si>
  <si>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</si>
  <si>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</si>
  <si>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</si>
  <si>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</si>
  <si>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</si>
  <si>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</si>
  <si>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</si>
  <si>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</si>
  <si>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</si>
  <si>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</si>
  <si>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</si>
  <si>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</si>
  <si>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</si>
  <si>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</si>
  <si>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</si>
  <si>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</si>
  <si>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</si>
  <si>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</si>
  <si>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</si>
  <si>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</si>
  <si>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</si>
  <si>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</si>
  <si>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</si>
  <si>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</si>
  <si>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</si>
  <si>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</si>
  <si>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</si>
  <si>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</si>
  <si>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</si>
  <si>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</si>
  <si>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</si>
  <si>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</si>
  <si>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</si>
  <si>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</si>
  <si>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</si>
  <si>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</si>
  <si>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</si>
  <si>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</si>
  <si>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</si>
  <si>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</si>
  <si>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</si>
  <si>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</si>
  <si>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</si>
  <si>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</si>
  <si>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</si>
  <si>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</si>
  <si>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</si>
  <si>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</si>
  <si>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</si>
  <si>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</si>
  <si>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</si>
  <si>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</si>
  <si>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</si>
  <si>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</si>
  <si>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</si>
  <si>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</si>
  <si>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</si>
  <si>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</si>
  <si>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</si>
  <si>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</si>
  <si>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</si>
  <si>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</si>
  <si>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</si>
  <si>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</si>
  <si>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办公公寓</t>
  </si>
  <si>
    <t>酒店公寓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</si>
  <si>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</si>
  <si>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</si>
  <si>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</si>
  <si>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</si>
  <si>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</si>
  <si>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</si>
  <si>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</si>
  <si>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</si>
  <si>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</si>
  <si>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</si>
  <si>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</si>
  <si>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</si>
  <si>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</si>
  <si>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</si>
  <si>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</si>
  <si>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</si>
  <si>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</si>
  <si>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</si>
  <si>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</si>
  <si>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</si>
  <si>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</si>
  <si>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</si>
  <si>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</si>
  <si>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</si>
  <si>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</si>
  <si>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</si>
  <si>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</si>
  <si>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</si>
  <si>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</si>
  <si>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</si>
  <si>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</si>
  <si>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</si>
  <si>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</si>
  <si>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</si>
  <si>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</si>
  <si>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</si>
  <si>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</si>
  <si>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</si>
  <si>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</si>
  <si>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</si>
  <si>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</si>
  <si>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</si>
  <si>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</si>
  <si>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</si>
  <si>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</si>
  <si>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</si>
  <si>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</si>
  <si>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</si>
  <si>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</si>
  <si>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</si>
  <si>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</si>
  <si>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</si>
  <si>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</si>
  <si>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</si>
  <si>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</si>
  <si>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</si>
  <si>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</si>
  <si>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</si>
  <si>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</si>
  <si>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</si>
  <si>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</si>
  <si>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</si>
  <si>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</si>
  <si>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</si>
  <si>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</si>
  <si>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</si>
  <si>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</si>
  <si>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</si>
  <si>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</si>
  <si>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</si>
  <si>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</si>
  <si>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</si>
  <si>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</si>
  <si>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</si>
  <si>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</si>
  <si>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</si>
  <si>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</si>
  <si>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</si>
  <si>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</si>
  <si>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</si>
  <si>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</si>
  <si>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</si>
  <si>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</si>
  <si>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</si>
  <si>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</si>
  <si>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</si>
  <si>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</si>
  <si>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</si>
  <si>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</si>
  <si>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</si>
  <si>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</si>
  <si>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</si>
  <si>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</si>
  <si>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</si>
  <si>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</si>
  <si>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</si>
  <si>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</si>
  <si>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</si>
  <si>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</si>
  <si>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</si>
  <si>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</si>
  <si>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</si>
  <si>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</si>
  <si>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</si>
  <si>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</si>
  <si>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</si>
  <si>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</si>
  <si>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</si>
  <si>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</si>
  <si>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</si>
  <si>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</si>
  <si>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</si>
  <si>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</si>
  <si>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</si>
  <si>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</si>
  <si>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</si>
  <si>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</si>
  <si>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</si>
  <si>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</si>
  <si>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</si>
  <si>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</si>
  <si>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</si>
  <si>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</si>
  <si>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</si>
  <si>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</si>
  <si>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</si>
  <si>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</si>
  <si>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</si>
  <si>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</si>
  <si>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</si>
  <si>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</si>
  <si>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</si>
  <si>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</si>
  <si>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</si>
  <si>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</si>
  <si>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</si>
  <si>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</si>
  <si>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</si>
  <si>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</si>
  <si>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</si>
  <si>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</si>
  <si>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</si>
  <si>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</si>
  <si>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</si>
  <si>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</si>
  <si>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</si>
  <si>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</si>
  <si>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</si>
  <si>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</si>
  <si>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</si>
  <si>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</si>
  <si>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</si>
  <si>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</si>
  <si>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</si>
  <si>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</si>
  <si>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</si>
  <si>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</si>
  <si>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</si>
  <si>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</si>
  <si>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</si>
  <si>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</si>
  <si>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</si>
  <si>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</si>
  <si>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</si>
  <si>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</si>
  <si>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</si>
  <si>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</si>
  <si>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</si>
  <si>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</si>
  <si>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</si>
  <si>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</si>
  <si>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</si>
  <si>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</si>
  <si>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</si>
  <si>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</si>
  <si>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</si>
  <si>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</si>
  <si>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</si>
  <si>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</si>
  <si>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</si>
  <si>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</si>
  <si>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</si>
  <si>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</si>
  <si>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</si>
  <si>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</si>
  <si>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</si>
  <si>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</si>
  <si>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</si>
  <si>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</si>
  <si>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</si>
  <si>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</si>
  <si>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</si>
  <si>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</si>
  <si>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</si>
  <si>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</si>
  <si>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</si>
  <si>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</si>
  <si>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</si>
  <si>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</si>
  <si>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</si>
  <si>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</si>
  <si>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</si>
  <si>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</si>
  <si>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</si>
  <si>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</si>
  <si>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</si>
  <si>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</si>
  <si>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</si>
  <si>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</si>
  <si>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</si>
  <si>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</si>
  <si>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</si>
  <si>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</si>
  <si>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</si>
  <si>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</si>
  <si>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</si>
  <si>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</si>
  <si>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</si>
  <si>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</si>
  <si>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</si>
  <si>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</si>
  <si>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</si>
  <si>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</si>
  <si>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</si>
  <si>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</si>
  <si>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</si>
  <si>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</si>
  <si>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</si>
  <si>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</si>
  <si>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</si>
  <si>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</si>
  <si>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</si>
  <si>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</si>
  <si>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</si>
  <si>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</si>
  <si>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</si>
  <si>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</si>
  <si>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</si>
  <si>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</si>
  <si>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</si>
  <si>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</si>
  <si>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</si>
  <si>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</si>
  <si>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</si>
  <si>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</si>
  <si>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</si>
  <si>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</si>
  <si>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</si>
  <si>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</si>
  <si>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</si>
  <si>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</si>
  <si>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</si>
  <si>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</si>
  <si>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</si>
  <si>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</si>
  <si>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</si>
  <si>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</si>
  <si>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</si>
  <si>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</si>
  <si>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</si>
  <si>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</si>
  <si>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</si>
  <si>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</si>
  <si>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</si>
  <si>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</si>
  <si>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</si>
  <si>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</si>
  <si>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</si>
  <si>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</si>
  <si>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</si>
  <si>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</si>
  <si>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</si>
  <si>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</si>
  <si>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</si>
  <si>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</si>
  <si>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</si>
  <si>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</si>
  <si>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</si>
  <si>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</si>
  <si>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</si>
  <si>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</si>
  <si>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</si>
  <si>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</si>
  <si>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</si>
  <si>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</si>
  <si>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</si>
  <si>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</si>
  <si>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</si>
  <si>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</si>
  <si>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</si>
  <si>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</si>
  <si>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</si>
  <si>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</si>
  <si>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</si>
  <si>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</si>
  <si>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</si>
  <si>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</si>
  <si>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</si>
  <si>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</si>
  <si>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</si>
  <si>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</si>
  <si>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</si>
  <si>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</si>
  <si>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</si>
  <si>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</si>
  <si>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</si>
  <si>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</si>
  <si>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</si>
  <si>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</si>
  <si>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</si>
  <si>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</si>
  <si>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</si>
  <si>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</si>
  <si>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</si>
  <si>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</si>
  <si>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</si>
  <si>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</si>
  <si>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</si>
  <si>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</si>
  <si>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</si>
  <si>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</si>
  <si>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</si>
  <si>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</si>
  <si>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</si>
  <si>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</si>
  <si>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</si>
  <si>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</si>
  <si>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</si>
  <si>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</si>
  <si>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</si>
  <si>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</si>
  <si>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</si>
  <si>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</si>
  <si>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</si>
  <si>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</si>
  <si>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</si>
  <si>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</si>
  <si>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</si>
  <si>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</si>
  <si>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</si>
  <si>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</si>
  <si>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</si>
  <si>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</si>
  <si>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</si>
  <si>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</si>
  <si>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</si>
  <si>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</si>
  <si>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</si>
  <si>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</si>
  <si>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</si>
  <si>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</si>
  <si>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</si>
  <si>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</si>
  <si>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</si>
  <si>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</si>
  <si>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</si>
  <si>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</si>
  <si>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</si>
  <si>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</si>
  <si>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</si>
  <si>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</si>
  <si>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</si>
  <si>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</si>
  <si>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</si>
  <si>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</si>
  <si>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</si>
  <si>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</si>
  <si>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</si>
  <si>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</si>
  <si>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</si>
  <si>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</si>
  <si>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</si>
  <si>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</si>
  <si>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</si>
  <si>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</si>
  <si>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</si>
  <si>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</si>
  <si>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</si>
  <si>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</si>
  <si>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</si>
  <si>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</si>
  <si>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</si>
  <si>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</si>
  <si>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</si>
  <si>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商办</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</si>
  <si>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</si>
  <si>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</si>
  <si>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</si>
  <si>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50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</si>
  <si>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</si>
  <si>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</si>
  <si>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</si>
  <si>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</si>
  <si>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</si>
  <si>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</si>
  <si>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</si>
  <si>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</si>
  <si>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</si>
  <si>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</si>
  <si>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</si>
  <si>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</si>
  <si>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</si>
  <si>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</si>
  <si>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</si>
  <si>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</si>
  <si>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</si>
  <si>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</si>
  <si>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</si>
  <si>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</si>
  <si>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</si>
  <si>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</si>
  <si>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</si>
  <si>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</si>
  <si>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</si>
  <si>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</si>
  <si>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</si>
  <si>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</si>
  <si>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</si>
  <si>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</si>
  <si>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</si>
  <si>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</si>
  <si>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</si>
  <si>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</si>
  <si>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</si>
  <si>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</si>
  <si>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</si>
  <si>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</si>
  <si>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</si>
  <si>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</si>
  <si>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</si>
  <si>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</si>
  <si>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</si>
  <si>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</si>
  <si>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</si>
  <si>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</si>
  <si>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</si>
  <si>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</si>
  <si>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</si>
  <si>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</si>
  <si>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</si>
  <si>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</si>
  <si>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</si>
  <si>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</si>
  <si>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</si>
  <si>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</si>
  <si>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</si>
  <si>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</si>
  <si>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</si>
  <si>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</si>
  <si>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</si>
  <si>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</si>
  <si>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</si>
  <si>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</si>
  <si>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</si>
  <si>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</si>
  <si>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</si>
  <si>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</si>
  <si>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</si>
  <si>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</si>
  <si>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</si>
  <si>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</si>
  <si>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</si>
  <si>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</si>
  <si>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</si>
  <si>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</si>
  <si>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</si>
  <si>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</si>
  <si>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</si>
  <si>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</si>
  <si>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</si>
  <si>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</si>
  <si>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</si>
  <si>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</si>
  <si>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</si>
  <si>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</si>
  <si>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</si>
  <si>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</si>
  <si>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</si>
  <si>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</si>
  <si>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</si>
  <si>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</si>
  <si>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</si>
  <si>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</si>
  <si>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</si>
  <si>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</si>
  <si>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</si>
  <si>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</si>
  <si>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</si>
  <si>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</si>
  <si>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</si>
  <si>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</si>
  <si>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</si>
  <si>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</si>
  <si>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</si>
  <si>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</si>
  <si>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</si>
  <si>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</si>
  <si>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</si>
  <si>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</si>
  <si>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</si>
  <si>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</si>
  <si>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</si>
  <si>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</si>
  <si>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</si>
  <si>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</si>
  <si>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</si>
  <si>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</si>
  <si>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</si>
  <si>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</si>
  <si>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</si>
  <si>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</si>
  <si>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</si>
  <si>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</si>
  <si>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≥1且≤5</t>
  </si>
  <si>
    <t>2017-07-28</t>
  </si>
  <si>
    <t>贵阳万科远通置业有限公司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</si>
  <si>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</si>
  <si>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</si>
  <si>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</si>
  <si>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</si>
  <si>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</si>
  <si>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</si>
  <si>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</si>
  <si>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</si>
  <si>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</si>
  <si>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</si>
  <si>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</si>
  <si>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</si>
  <si>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</si>
  <si>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</si>
  <si>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</si>
  <si>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</si>
  <si>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</si>
  <si>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</si>
  <si>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</si>
  <si>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</si>
  <si>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</si>
  <si>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</si>
  <si>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</si>
  <si>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</si>
  <si>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</si>
  <si>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</si>
  <si>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</si>
  <si>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</si>
  <si>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</si>
  <si>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</si>
  <si>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</si>
  <si>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</si>
  <si>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</si>
  <si>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</si>
  <si>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</si>
  <si>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</si>
  <si>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</si>
  <si>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</si>
  <si>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</si>
  <si>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</si>
  <si>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</si>
  <si>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</si>
  <si>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</si>
  <si>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</si>
  <si>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</si>
  <si>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</si>
  <si>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</si>
  <si>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</si>
  <si>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</si>
  <si>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</si>
  <si>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</si>
  <si>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</si>
  <si>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</si>
  <si>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</si>
  <si>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</si>
  <si>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</si>
  <si>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</si>
  <si>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</si>
  <si>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</si>
  <si>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</si>
  <si>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</si>
  <si>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</si>
  <si>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</si>
  <si>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</si>
  <si>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</si>
  <si>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</si>
  <si>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</si>
  <si>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</si>
  <si>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</si>
  <si>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</si>
  <si>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</si>
  <si>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</si>
  <si>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</si>
  <si>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</si>
  <si>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</si>
  <si>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</si>
  <si>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</si>
  <si>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</si>
  <si>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</si>
  <si>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</si>
  <si>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</si>
  <si>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</si>
  <si>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</si>
  <si>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</si>
  <si>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</si>
  <si>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</si>
  <si>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</si>
  <si>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</si>
  <si>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</si>
  <si>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</si>
  <si>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</si>
  <si>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</si>
  <si>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</si>
  <si>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</si>
  <si>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</si>
  <si>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</si>
  <si>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</si>
  <si>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</si>
  <si>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</si>
  <si>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</si>
  <si>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</si>
  <si>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</si>
  <si>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</si>
  <si>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</si>
  <si>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</si>
  <si>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</si>
  <si>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</si>
  <si>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</si>
  <si>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</si>
  <si>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</si>
  <si>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</si>
  <si>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</si>
  <si>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</si>
  <si>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</si>
  <si>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</si>
  <si>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</si>
  <si>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</si>
  <si>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</si>
  <si>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</si>
  <si>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</si>
  <si>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</si>
  <si>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</si>
  <si>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</si>
  <si>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</si>
  <si>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</si>
  <si>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</si>
  <si>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</si>
  <si>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</si>
  <si>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</si>
  <si>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</si>
  <si>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</si>
  <si>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</si>
  <si>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</si>
  <si>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</si>
  <si>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</si>
  <si>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</si>
  <si>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</si>
  <si>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</si>
  <si>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</si>
  <si>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</si>
  <si>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</si>
  <si>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</si>
  <si>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</si>
  <si>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</si>
  <si>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</si>
  <si>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</si>
  <si>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</si>
  <si>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</si>
  <si>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</si>
  <si>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</si>
  <si>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</si>
  <si>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</si>
  <si>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</si>
  <si>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</si>
  <si>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</si>
  <si>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</si>
  <si>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</si>
  <si>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</si>
  <si>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</si>
  <si>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</si>
  <si>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</si>
  <si>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</si>
  <si>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</si>
  <si>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</si>
  <si>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</si>
  <si>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</si>
  <si>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</si>
  <si>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</si>
  <si>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</si>
  <si>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</si>
  <si>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</si>
  <si>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</si>
  <si>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</si>
  <si>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</si>
  <si>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</si>
  <si>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</si>
  <si>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</si>
  <si>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</si>
  <si>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</si>
  <si>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</si>
  <si>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</si>
  <si>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</si>
  <si>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</si>
  <si>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</si>
  <si>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</si>
  <si>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</si>
  <si>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</si>
  <si>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</si>
  <si>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</si>
  <si>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</si>
  <si>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</si>
  <si>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</si>
  <si>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</si>
  <si>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</si>
  <si>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</si>
  <si>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</si>
  <si>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</si>
  <si>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</si>
  <si>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</si>
  <si>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</si>
  <si>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</si>
  <si>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</si>
  <si>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</si>
  <si>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</si>
  <si>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</si>
  <si>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</si>
  <si>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</si>
  <si>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</si>
  <si>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</si>
  <si>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</si>
  <si>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</si>
  <si>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</si>
  <si>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</si>
  <si>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</si>
  <si>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</si>
  <si>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</si>
  <si>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</si>
  <si>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</si>
  <si>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</si>
  <si>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</si>
  <si>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</si>
  <si>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</si>
  <si>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</si>
  <si>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</si>
  <si>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</si>
  <si>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</si>
  <si>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</si>
  <si>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</si>
  <si>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</si>
  <si>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</si>
  <si>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</si>
  <si>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</si>
  <si>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</si>
  <si>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</si>
  <si>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</si>
  <si>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</si>
  <si>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</si>
  <si>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</si>
  <si>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</si>
  <si>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</si>
  <si>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</si>
  <si>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</si>
  <si>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</si>
  <si>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</si>
  <si>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</si>
  <si>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</si>
  <si>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</si>
  <si>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</si>
  <si>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</si>
  <si>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</si>
  <si>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</si>
  <si>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</si>
  <si>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</si>
  <si>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</si>
  <si>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</si>
  <si>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</si>
  <si>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</si>
  <si>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</si>
  <si>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</si>
  <si>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</si>
  <si>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</si>
  <si>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</si>
  <si>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</si>
  <si>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</si>
  <si>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</si>
  <si>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</si>
  <si>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</si>
  <si>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</si>
  <si>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</si>
  <si>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</si>
  <si>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</si>
  <si>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</si>
  <si>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</si>
  <si>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</si>
  <si>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</si>
  <si>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</si>
  <si>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</si>
  <si>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</si>
  <si>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</si>
  <si>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</si>
  <si>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</si>
  <si>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</si>
  <si>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</si>
  <si>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</si>
  <si>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</si>
  <si>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</si>
  <si>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</si>
  <si>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</si>
  <si>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</si>
  <si>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</si>
  <si>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</si>
  <si>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</si>
  <si>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</si>
  <si>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</si>
  <si>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</si>
  <si>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</si>
  <si>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</si>
  <si>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</si>
  <si>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</si>
  <si>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</si>
  <si>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</si>
  <si>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</si>
  <si>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</si>
  <si>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</si>
  <si>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</si>
  <si>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</si>
  <si>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</si>
  <si>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</si>
  <si>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</si>
  <si>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</si>
  <si>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</si>
  <si>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</si>
  <si>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</si>
  <si>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</si>
  <si>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</si>
  <si>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</si>
  <si>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</si>
  <si>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</si>
  <si>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</si>
  <si>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</si>
  <si>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</si>
  <si>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</si>
  <si>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</si>
  <si>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</si>
  <si>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</si>
  <si>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</si>
  <si>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</si>
  <si>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</si>
  <si>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</si>
  <si>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</si>
  <si>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</si>
  <si>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</si>
  <si>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</si>
  <si>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</si>
  <si>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</si>
  <si>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</si>
  <si>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</si>
  <si>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</si>
  <si>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</si>
  <si>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</si>
  <si>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</si>
  <si>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</si>
  <si>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</si>
  <si>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</si>
  <si>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</si>
  <si>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</si>
  <si>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</si>
  <si>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</si>
  <si>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</si>
  <si>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</si>
  <si>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</si>
  <si>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</si>
  <si>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</si>
  <si>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</si>
  <si>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</si>
  <si>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</si>
  <si>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</si>
  <si>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</si>
  <si>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</si>
  <si>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</si>
  <si>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</si>
  <si>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</si>
  <si>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</si>
  <si>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</si>
  <si>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</si>
  <si>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</si>
  <si>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</si>
  <si>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</si>
  <si>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</si>
  <si>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</si>
  <si>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</si>
  <si>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</si>
  <si>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</si>
  <si>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</si>
  <si>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</si>
  <si>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</si>
  <si>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</si>
  <si>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</si>
  <si>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</si>
  <si>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</si>
  <si>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</si>
  <si>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</si>
  <si>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</si>
  <si>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</si>
  <si>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</si>
  <si>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</si>
  <si>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</si>
  <si>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</si>
  <si>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</si>
  <si>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</si>
  <si>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</si>
  <si>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</si>
  <si>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</si>
  <si>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</si>
  <si>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</si>
  <si>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</si>
  <si>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</si>
  <si>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</si>
  <si>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</si>
  <si>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</si>
  <si>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</si>
  <si>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</si>
  <si>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</si>
  <si>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</si>
  <si>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</si>
  <si>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</si>
  <si>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</si>
  <si>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</si>
  <si>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</si>
  <si>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</si>
  <si>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</si>
  <si>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</si>
  <si>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</si>
  <si>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</si>
  <si>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</si>
  <si>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</si>
  <si>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</si>
  <si>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</si>
  <si>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</si>
  <si>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</si>
  <si>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</si>
  <si>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</si>
  <si>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</si>
  <si>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</si>
  <si>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</si>
  <si>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</si>
  <si>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</si>
  <si>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</si>
  <si>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</si>
  <si>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</si>
  <si>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</si>
  <si>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</si>
  <si>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</si>
  <si>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</si>
  <si>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</si>
  <si>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</si>
  <si>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</si>
  <si>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</si>
  <si>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</si>
  <si>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</si>
  <si>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</si>
  <si>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</si>
  <si>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</si>
  <si>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</si>
  <si>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</si>
  <si>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</si>
  <si>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</si>
  <si>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</si>
  <si>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</si>
  <si>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</si>
  <si>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</si>
  <si>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</si>
  <si>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</si>
  <si>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</si>
  <si>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</si>
  <si>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</si>
  <si>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</si>
  <si>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</si>
  <si>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</si>
  <si>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</si>
  <si>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</si>
  <si>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</si>
  <si>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</si>
  <si>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</si>
  <si>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</si>
  <si>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</si>
  <si>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</si>
  <si>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</si>
  <si>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</si>
  <si>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</si>
  <si>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</si>
  <si>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</si>
  <si>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</si>
  <si>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</si>
  <si>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</si>
  <si>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</si>
  <si>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</si>
  <si>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</si>
  <si>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</si>
  <si>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</si>
  <si>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</si>
  <si>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</si>
  <si>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</si>
  <si>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</si>
  <si>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</si>
  <si>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</si>
  <si>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</si>
  <si>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</si>
  <si>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</si>
  <si>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</si>
  <si>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</si>
  <si>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</si>
  <si>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</si>
  <si>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</si>
  <si>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</si>
  <si>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</si>
  <si>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</si>
  <si>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</si>
  <si>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</si>
  <si>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</si>
  <si>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</si>
  <si>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</si>
  <si>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</si>
  <si>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</si>
  <si>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</si>
  <si>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</si>
  <si>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</si>
  <si>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</si>
  <si>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</si>
  <si>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</si>
  <si>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</si>
  <si>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</si>
  <si>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</si>
  <si>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</si>
  <si>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</si>
  <si>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</si>
  <si>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</si>
  <si>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</si>
  <si>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</si>
  <si>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</si>
  <si>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</si>
  <si>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</si>
  <si>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</si>
  <si>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</si>
  <si>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</si>
  <si>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</si>
  <si>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</si>
  <si>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</si>
  <si>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</si>
  <si>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</si>
  <si>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</si>
  <si>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</si>
  <si>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</si>
  <si>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</si>
  <si>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</si>
  <si>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</si>
  <si>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</si>
  <si>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</si>
  <si>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</si>
  <si>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</si>
  <si>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</si>
  <si>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</si>
  <si>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</si>
  <si>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</si>
  <si>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</si>
  <si>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</si>
  <si>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</si>
  <si>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</si>
  <si>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</si>
  <si>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</si>
  <si>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</si>
  <si>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</si>
  <si>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</si>
  <si>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</si>
  <si>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</si>
  <si>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</si>
  <si>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</si>
  <si>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</si>
  <si>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</si>
  <si>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</si>
  <si>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</si>
  <si>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</si>
  <si>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</si>
  <si>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</si>
  <si>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</si>
  <si>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</si>
  <si>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</si>
  <si>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</si>
  <si>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</si>
  <si>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</si>
  <si>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</si>
  <si>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</si>
  <si>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</si>
  <si>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</si>
  <si>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</si>
  <si>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</si>
  <si>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</si>
  <si>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</si>
  <si>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</si>
  <si>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</si>
  <si>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</si>
  <si>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</si>
  <si>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</si>
  <si>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</si>
  <si>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</si>
  <si>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</si>
  <si>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</si>
  <si>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</si>
  <si>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</si>
  <si>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</si>
  <si>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</si>
  <si>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</si>
  <si>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</si>
  <si>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</si>
  <si>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</si>
  <si>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</si>
  <si>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</si>
  <si>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</si>
  <si>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</si>
  <si>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</si>
  <si>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</si>
  <si>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</si>
  <si>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</si>
  <si>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</si>
  <si>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</si>
  <si>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</si>
  <si>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</si>
  <si>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</si>
  <si>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</si>
  <si>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</si>
  <si>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</si>
  <si>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</si>
  <si>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</si>
  <si>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</si>
  <si>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</si>
  <si>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</si>
  <si>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</si>
  <si>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</si>
  <si>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</si>
  <si>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</si>
  <si>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</si>
  <si>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</si>
  <si>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</si>
  <si>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</si>
  <si>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</si>
  <si>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</si>
  <si>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</si>
  <si>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</si>
  <si>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</si>
  <si>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</si>
  <si>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</si>
  <si>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</si>
  <si>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</si>
  <si>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</si>
  <si>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</si>
  <si>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</si>
  <si>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</si>
  <si>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</si>
  <si>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</si>
  <si>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</si>
  <si>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</si>
  <si>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</si>
  <si>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</si>
  <si>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</si>
  <si>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</si>
  <si>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</si>
  <si>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</si>
  <si>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</si>
  <si>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</si>
  <si>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</si>
  <si>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</si>
  <si>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</si>
  <si>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</si>
  <si>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</si>
  <si>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</si>
  <si>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</si>
  <si>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</si>
  <si>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</si>
  <si>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</si>
  <si>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</si>
  <si>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</si>
  <si>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</si>
  <si>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</si>
  <si>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</si>
  <si>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</si>
  <si>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</si>
  <si>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</si>
  <si>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</si>
  <si>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</si>
  <si>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</si>
  <si>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</si>
  <si>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</si>
  <si>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</si>
  <si>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</si>
  <si>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</si>
  <si>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</si>
  <si>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</si>
  <si>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</si>
  <si>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</si>
  <si>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</si>
  <si>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</si>
  <si>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</si>
  <si>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</si>
  <si>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</si>
  <si>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</si>
  <si>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</si>
  <si>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</si>
  <si>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</si>
  <si>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</si>
  <si>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</si>
  <si>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</si>
  <si>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</si>
  <si>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</si>
  <si>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</si>
  <si>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</si>
  <si>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</si>
  <si>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</si>
  <si>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</si>
  <si>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</si>
  <si>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</si>
  <si>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</si>
  <si>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</si>
  <si>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</si>
  <si>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</si>
  <si>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</si>
  <si>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</si>
  <si>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</si>
  <si>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</si>
  <si>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</si>
  <si>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</si>
  <si>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</si>
  <si>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</si>
  <si>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</si>
  <si>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</si>
  <si>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</si>
  <si>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</si>
  <si>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</si>
  <si>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</si>
  <si>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</si>
  <si>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</si>
  <si>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</si>
  <si>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</si>
  <si>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</si>
  <si>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</si>
  <si>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</si>
  <si>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</si>
  <si>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</si>
  <si>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</si>
  <si>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</si>
  <si>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</si>
  <si>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</si>
  <si>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</si>
  <si>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</si>
  <si>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</si>
  <si>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</si>
  <si>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</si>
  <si>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</si>
  <si>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</si>
  <si>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</si>
  <si>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</si>
  <si>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</si>
  <si>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</si>
  <si>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</si>
  <si>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</si>
  <si>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</si>
  <si>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</si>
  <si>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</si>
  <si>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</si>
  <si>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</si>
  <si>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</si>
  <si>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</si>
  <si>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</si>
  <si>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</si>
  <si>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</si>
  <si>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</si>
  <si>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</si>
  <si>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</si>
  <si>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</si>
  <si>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</si>
  <si>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</si>
  <si>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</si>
  <si>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</si>
  <si>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</si>
  <si>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</si>
  <si>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</si>
  <si>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</si>
  <si>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</si>
  <si>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</si>
  <si>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</si>
  <si>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</si>
  <si>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</si>
  <si>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</si>
  <si>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</si>
  <si>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</si>
  <si>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</si>
  <si>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</si>
  <si>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</si>
  <si>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</si>
  <si>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</si>
  <si>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</si>
  <si>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</si>
  <si>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</si>
  <si>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</si>
  <si>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</si>
  <si>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</si>
  <si>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</si>
  <si>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</si>
  <si>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</si>
  <si>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</si>
  <si>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</si>
  <si>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</si>
  <si>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</si>
  <si>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</si>
  <si>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</si>
  <si>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</si>
  <si>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</si>
  <si>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</si>
  <si>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</si>
  <si>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</si>
  <si>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</si>
  <si>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</si>
  <si>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</si>
  <si>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</si>
  <si>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</si>
  <si>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</si>
  <si>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</si>
  <si>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</si>
  <si>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</si>
  <si>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</si>
  <si>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</si>
  <si>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</si>
  <si>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</si>
  <si>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</si>
  <si>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</si>
  <si>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</si>
  <si>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</si>
  <si>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</si>
  <si>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</si>
  <si>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</si>
  <si>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</si>
  <si>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</si>
  <si>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</si>
  <si>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</si>
  <si>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</si>
  <si>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</si>
  <si>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</si>
  <si>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</si>
  <si>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</si>
  <si>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</si>
  <si>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</si>
  <si>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</si>
  <si>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</si>
  <si>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</si>
  <si>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</si>
  <si>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</si>
  <si>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</si>
  <si>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</si>
  <si>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</si>
  <si>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</si>
  <si>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</si>
  <si>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</si>
  <si>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</si>
  <si>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</si>
  <si>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</si>
  <si>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</si>
  <si>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</si>
  <si>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</si>
  <si>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</si>
  <si>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</si>
  <si>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</si>
  <si>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</si>
  <si>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</si>
  <si>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</si>
  <si>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</si>
  <si>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</si>
  <si>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</si>
  <si>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</si>
  <si>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</si>
  <si>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</si>
  <si>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</si>
  <si>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</si>
  <si>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</si>
  <si>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</si>
  <si>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</si>
  <si>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</si>
  <si>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</si>
  <si>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</si>
  <si>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</si>
  <si>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</si>
  <si>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</si>
  <si>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</si>
  <si>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</si>
  <si>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</si>
  <si>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</si>
  <si>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</si>
  <si>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</si>
  <si>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</si>
  <si>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</si>
  <si>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</si>
  <si>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</si>
  <si>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</si>
  <si>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</si>
  <si>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</si>
  <si>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</si>
  <si>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</si>
  <si>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</si>
  <si>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</si>
  <si>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</si>
  <si>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</si>
  <si>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</si>
  <si>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</si>
  <si>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</si>
  <si>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</si>
  <si>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</si>
  <si>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</si>
  <si>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</si>
  <si>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</si>
  <si>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</si>
  <si>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</si>
  <si>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</si>
  <si>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</si>
  <si>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</si>
  <si>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</si>
  <si>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</si>
  <si>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</si>
  <si>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</si>
  <si>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</si>
  <si>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</si>
  <si>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</si>
  <si>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</si>
  <si>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</si>
  <si>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</si>
  <si>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</si>
  <si>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</si>
  <si>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</si>
  <si>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</si>
  <si>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</si>
  <si>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</si>
  <si>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</si>
  <si>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</si>
  <si>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</si>
  <si>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</si>
  <si>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</si>
  <si>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</si>
  <si>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</si>
  <si>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</si>
  <si>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</si>
  <si>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</si>
  <si>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</si>
  <si>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</si>
  <si>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</si>
  <si>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</si>
  <si>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</si>
  <si>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</si>
  <si>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</si>
  <si>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</si>
  <si>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</si>
  <si>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</si>
  <si>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</si>
  <si>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</si>
  <si>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</si>
  <si>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</si>
  <si>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</si>
  <si>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</si>
  <si>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</si>
  <si>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</si>
  <si>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</si>
  <si>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</si>
  <si>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</si>
  <si>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</si>
  <si>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</si>
  <si>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</si>
  <si>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</si>
  <si>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</si>
  <si>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</si>
  <si>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</si>
  <si>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</si>
  <si>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</si>
  <si>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</si>
  <si>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</si>
  <si>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</si>
  <si>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</si>
  <si>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</si>
  <si>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</si>
  <si>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</si>
  <si>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</si>
  <si>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</si>
  <si>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</si>
  <si>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</si>
  <si>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</si>
  <si>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</si>
  <si>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</si>
  <si>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</si>
  <si>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</si>
  <si>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</si>
  <si>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</si>
  <si>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</si>
  <si>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</si>
  <si>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</si>
  <si>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</si>
  <si>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</si>
  <si>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</si>
  <si>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</si>
  <si>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</si>
  <si>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</si>
  <si>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</si>
  <si>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</si>
  <si>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</si>
  <si>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</si>
  <si>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</si>
  <si>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</si>
  <si>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</si>
  <si>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</si>
  <si>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</si>
  <si>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</si>
  <si>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</si>
  <si>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</si>
  <si>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</si>
  <si>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</si>
  <si>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</si>
  <si>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</si>
  <si>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</si>
  <si>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</si>
  <si>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</si>
  <si>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</si>
  <si>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</si>
  <si>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</si>
  <si>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</si>
  <si>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</si>
  <si>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</si>
  <si>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</si>
  <si>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</si>
  <si>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</si>
  <si>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</si>
  <si>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</si>
  <si>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</si>
  <si>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</si>
  <si>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</si>
  <si>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</si>
  <si>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</si>
  <si>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</si>
  <si>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</si>
  <si>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</si>
  <si>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</si>
  <si>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</si>
  <si>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</si>
  <si>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</si>
  <si>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</si>
  <si>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</si>
  <si>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</si>
  <si>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</si>
  <si>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</si>
  <si>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</si>
  <si>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</si>
  <si>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</si>
  <si>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</si>
  <si>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</si>
  <si>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</si>
  <si>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</si>
  <si>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</si>
  <si>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</si>
  <si>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</si>
  <si>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</si>
  <si>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</si>
  <si>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</si>
  <si>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</si>
  <si>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</si>
  <si>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</si>
  <si>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</si>
  <si>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</si>
  <si>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</si>
  <si>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</si>
  <si>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</si>
  <si>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</si>
  <si>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</si>
  <si>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</si>
  <si>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</si>
  <si>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</si>
  <si>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</si>
  <si>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</si>
  <si>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</si>
  <si>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</si>
  <si>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</si>
  <si>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</si>
  <si>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</si>
  <si>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</si>
  <si>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</si>
  <si>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</si>
  <si>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</si>
  <si>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</si>
  <si>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</si>
  <si>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</si>
  <si>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</si>
  <si>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</si>
  <si>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</si>
  <si>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</si>
  <si>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</si>
  <si>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</si>
  <si>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</si>
  <si>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</si>
  <si>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</si>
  <si>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40-50（含）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</si>
  <si>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</si>
  <si>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</si>
  <si>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</si>
  <si>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</si>
  <si>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</si>
  <si>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</si>
  <si>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</si>
  <si>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</si>
  <si>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</si>
  <si>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</si>
  <si>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</si>
  <si>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</si>
  <si>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</si>
  <si>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</si>
  <si>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</si>
  <si>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t>LOFT</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</si>
  <si>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</si>
  <si>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</si>
  <si>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</si>
  <si>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</si>
  <si>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</si>
  <si>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</si>
  <si>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</si>
  <si>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</si>
  <si>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</si>
  <si>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</si>
  <si>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</si>
  <si>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</si>
  <si>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</si>
  <si>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</si>
  <si>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</si>
  <si>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</si>
  <si>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</si>
  <si>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</si>
  <si>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</si>
  <si>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</si>
  <si>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</si>
  <si>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</si>
  <si>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</si>
  <si>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</si>
  <si>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</si>
  <si>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</si>
  <si>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</si>
  <si>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</si>
  <si>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</si>
  <si>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</si>
  <si>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</si>
  <si>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</si>
  <si>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</si>
  <si>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</si>
  <si>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</si>
  <si>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</si>
  <si>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</si>
  <si>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</si>
  <si>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</si>
  <si>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</si>
  <si>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</si>
  <si>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</si>
  <si>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</si>
  <si>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</si>
  <si>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</si>
  <si>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</si>
  <si>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</si>
  <si>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</si>
  <si>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r>
      <rPr>
        <b/>
        <sz val="16"/>
        <rFont val="仿宋_GB2312"/>
        <family val="3"/>
        <charset val="134"/>
      </rPr>
      <t>办公</t>
    </r>
  </si>
  <si>
    <r>
      <rPr>
        <sz val="11"/>
        <color indexed="8"/>
        <rFont val="仿宋_GB2312"/>
        <family val="3"/>
        <charset val="134"/>
      </rPr>
      <t>楼层</t>
    </r>
  </si>
  <si>
    <r>
      <rPr>
        <sz val="11"/>
        <color indexed="8"/>
        <rFont val="仿宋_GB2312"/>
        <family val="3"/>
        <charset val="134"/>
      </rPr>
      <t>写字楼等级</t>
    </r>
  </si>
  <si>
    <r>
      <rPr>
        <sz val="11"/>
        <color indexed="8"/>
        <rFont val="仿宋_GB2312"/>
        <family val="3"/>
        <charset val="134"/>
      </rPr>
      <t>层高</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</si>
  <si>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</si>
  <si>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</si>
  <si>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单套建筑面积</t>
    </r>
  </si>
  <si>
    <r>
      <rPr>
        <b/>
        <sz val="16"/>
        <rFont val="仿宋_GB2312"/>
        <family val="3"/>
        <charset val="134"/>
      </rPr>
      <t>商业</t>
    </r>
  </si>
  <si>
    <t>好</t>
  </si>
  <si>
    <t>单面临街</t>
  </si>
  <si>
    <t>双面临街</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</si>
  <si>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</si>
  <si>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</si>
  <si>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较大</t>
  </si>
  <si>
    <r>
      <rPr>
        <sz val="11"/>
        <color indexed="8"/>
        <rFont val="仿宋_GB2312"/>
        <family val="3"/>
        <charset val="134"/>
      </rPr>
      <t>商业类型</t>
    </r>
  </si>
  <si>
    <t>住宅底商</t>
  </si>
  <si>
    <r>
      <rPr>
        <sz val="11"/>
        <color indexed="8"/>
        <rFont val="仿宋_GB2312"/>
        <family val="3"/>
        <charset val="134"/>
      </rPr>
      <t>业态</t>
    </r>
  </si>
  <si>
    <t>可餐饮</t>
  </si>
  <si>
    <t>不可餐饮</t>
  </si>
  <si>
    <r>
      <rPr>
        <sz val="11"/>
        <rFont val="仿宋_GB2312"/>
        <family val="3"/>
        <charset val="134"/>
      </rPr>
      <t>进深比</t>
    </r>
  </si>
  <si>
    <t>多面临街</t>
  </si>
  <si>
    <t>不临街</t>
  </si>
  <si>
    <t>较差</t>
  </si>
  <si>
    <t>差</t>
  </si>
  <si>
    <r>
      <rPr>
        <sz val="11"/>
        <color indexed="8"/>
        <rFont val="仿宋_GB2312"/>
        <family val="3"/>
        <charset val="134"/>
      </rPr>
      <t>进深比</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</si>
  <si>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</si>
  <si>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</si>
  <si>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</si>
  <si>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</si>
  <si>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</si>
  <si>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</si>
  <si>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</si>
  <si>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</si>
  <si>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</si>
  <si>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</si>
  <si>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</si>
  <si>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</si>
  <si>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</si>
  <si>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</si>
  <si>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</si>
  <si>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</si>
  <si>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</si>
  <si>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</si>
  <si>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</si>
  <si>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</si>
  <si>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</si>
  <si>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</si>
  <si>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</si>
  <si>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</si>
  <si>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</si>
  <si>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</si>
  <si>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</si>
  <si>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</si>
  <si>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</si>
  <si>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</si>
  <si>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</si>
  <si>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</si>
  <si>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</si>
  <si>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</si>
  <si>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</si>
  <si>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</si>
  <si>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</si>
  <si>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</si>
  <si>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</si>
  <si>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</si>
  <si>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</si>
  <si>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</si>
  <si>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</si>
  <si>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</si>
  <si>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</si>
  <si>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</si>
  <si>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</si>
  <si>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</si>
  <si>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</si>
  <si>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</si>
  <si>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</si>
  <si>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</si>
  <si>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</si>
  <si>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</si>
  <si>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</si>
  <si>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</si>
  <si>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</si>
  <si>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</si>
  <si>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</si>
  <si>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</si>
  <si>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</si>
  <si>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</si>
  <si>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</si>
  <si>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</si>
  <si>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</si>
  <si>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</si>
  <si>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</si>
  <si>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</si>
  <si>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</si>
  <si>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</si>
  <si>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</si>
  <si>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</si>
  <si>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</si>
  <si>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</si>
  <si>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</si>
  <si>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</si>
  <si>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</si>
  <si>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</si>
  <si>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</si>
  <si>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</si>
  <si>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</si>
  <si>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</si>
  <si>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</si>
  <si>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</si>
  <si>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</si>
  <si>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</si>
  <si>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</si>
  <si>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</si>
  <si>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</si>
  <si>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</si>
  <si>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</si>
  <si>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</si>
  <si>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</si>
  <si>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</si>
  <si>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</si>
  <si>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</si>
  <si>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</si>
  <si>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</si>
  <si>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</si>
  <si>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</si>
  <si>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</si>
  <si>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</si>
  <si>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</si>
  <si>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</si>
  <si>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</si>
  <si>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</si>
  <si>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</si>
  <si>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</si>
  <si>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</si>
  <si>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</si>
  <si>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</si>
  <si>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</si>
  <si>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</si>
  <si>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</si>
  <si>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</si>
  <si>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</si>
  <si>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</si>
  <si>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</si>
  <si>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</si>
  <si>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</si>
  <si>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</si>
  <si>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</si>
  <si>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</si>
  <si>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</si>
  <si>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</si>
  <si>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</si>
  <si>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</si>
  <si>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</si>
  <si>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</si>
  <si>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</si>
  <si>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</si>
  <si>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</si>
  <si>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</si>
  <si>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</si>
  <si>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</si>
  <si>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</si>
  <si>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</si>
  <si>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</si>
  <si>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</si>
  <si>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</si>
  <si>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</si>
  <si>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</si>
  <si>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</si>
  <si>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</si>
  <si>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</si>
  <si>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</si>
  <si>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</si>
  <si>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</si>
  <si>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</si>
  <si>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</si>
  <si>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</si>
  <si>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</si>
  <si>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</si>
  <si>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</si>
  <si>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</si>
  <si>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</si>
  <si>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</si>
  <si>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</si>
  <si>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</si>
  <si>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</si>
  <si>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</si>
  <si>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</si>
  <si>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</si>
  <si>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</si>
  <si>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</si>
  <si>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family val="3"/>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</si>
  <si>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</si>
  <si>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</si>
  <si>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</si>
  <si>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</si>
  <si>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</si>
  <si>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</si>
  <si>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</si>
  <si>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</si>
  <si>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</si>
  <si>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</si>
  <si>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</si>
  <si>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</si>
  <si>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</si>
  <si>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</si>
  <si>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</si>
  <si>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</si>
  <si>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</si>
  <si>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</si>
  <si>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</si>
  <si>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</si>
  <si>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</si>
  <si>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</si>
  <si>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</si>
  <si>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</si>
  <si>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修正项2</t>
    <phoneticPr fontId="227" type="noConversion"/>
  </si>
  <si>
    <t>不动产收益法-车库</t>
  </si>
  <si>
    <t>不动产收益法-办公</t>
  </si>
  <si>
    <t>押一</t>
  </si>
  <si>
    <t>按租金收入计税</t>
  </si>
  <si>
    <t>地价增长率</t>
    <phoneticPr fontId="227" type="noConversion"/>
  </si>
  <si>
    <t>公寓类型</t>
    <phoneticPr fontId="227" type="noConversion"/>
  </si>
  <si>
    <r>
      <t>LOFT</t>
    </r>
    <r>
      <rPr>
        <sz val="10"/>
        <color indexed="8"/>
        <rFont val="宋体"/>
        <family val="3"/>
        <charset val="134"/>
      </rPr>
      <t>公寓</t>
    </r>
    <phoneticPr fontId="227" type="noConversion"/>
  </si>
  <si>
    <t>酒店式公寓</t>
    <phoneticPr fontId="227" type="noConversion"/>
  </si>
  <si>
    <t>观山湖区宾阳大道与体育路交叉口西南、西北两侧</t>
    <phoneticPr fontId="227" type="noConversion"/>
  </si>
  <si>
    <r>
      <rPr>
        <sz val="10"/>
        <rFont val="宋体"/>
        <family val="3"/>
        <charset val="134"/>
      </rPr>
      <t>观山西路南侧</t>
    </r>
    <r>
      <rPr>
        <sz val="10"/>
        <rFont val="Arial"/>
        <family val="2"/>
      </rPr>
      <t>,</t>
    </r>
    <r>
      <rPr>
        <sz val="10"/>
        <rFont val="宋体"/>
        <family val="3"/>
        <charset val="134"/>
      </rPr>
      <t>云潭南路西侧</t>
    </r>
    <phoneticPr fontId="227" type="noConversion"/>
  </si>
  <si>
    <t>银海元隆·熙府</t>
    <phoneticPr fontId="227" type="noConversion"/>
  </si>
  <si>
    <t>恒大中央广场</t>
    <phoneticPr fontId="227" type="noConversion"/>
  </si>
  <si>
    <t>阳光城·启航中心</t>
    <phoneticPr fontId="227" type="noConversion"/>
  </si>
  <si>
    <t xml:space="preserve"> </t>
    <phoneticPr fontId="227" type="noConversion"/>
  </si>
  <si>
    <t>绿地·联盛国际</t>
    <phoneticPr fontId="227" type="noConversion"/>
  </si>
  <si>
    <t>阳关小区</t>
    <phoneticPr fontId="227" type="noConversion"/>
  </si>
  <si>
    <t>标准层高</t>
  </si>
  <si>
    <t>标准层高</t>
    <phoneticPr fontId="227" type="noConversion"/>
  </si>
  <si>
    <t>美的林城时代</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</si>
</sst>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
    <numFmt numFmtId="178" formatCode="yyyy&quot;年&quot;m&quot;月&quot;;@"/>
    <numFmt numFmtId="179" formatCode="0.000%"/>
    <numFmt numFmtId="180" formatCode="0.00_ "/>
    <numFmt numFmtId="181" formatCode="yyyy&quot;年&quot;m&quot;月&quot;d&quot;日&quot;;@"/>
    <numFmt numFmtId="182" formatCode="0_);[Red]\(0\)"/>
    <numFmt numFmtId="183" formatCode="0_ ;[Red]\-0\ "/>
    <numFmt numFmtId="184" formatCode="[DBNum1][$-804]General"/>
    <numFmt numFmtId="185" formatCode="0.0_);[Red]\(0.0\)"/>
    <numFmt numFmtId="186" formatCode="yyyy/m/d;@"/>
    <numFmt numFmtId="187" formatCode="0.00_);[Red]\(0.00\)"/>
    <numFmt numFmtId="188" formatCode="0.000_ "/>
    <numFmt numFmtId="189" formatCode="0.000_);[Red]\(0.000\)"/>
    <numFmt numFmtId="190" formatCode="[$-F800]dddd\,\ mmmm\ dd\,\ yyyy"/>
    <numFmt numFmtId="191" formatCode="0;_쐀"/>
    <numFmt numFmtId="192" formatCode="0.0000_ "/>
    <numFmt numFmtId="193" formatCode="0.0_ "/>
  </numFmts>
  <fonts count="239">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b/>
      <sz val="12"/>
      <name val="仿宋_GB2312"/>
      <family val="3"/>
      <charset val="134"/>
    </font>
    <font>
      <b/>
      <sz val="11"/>
      <name val="仿宋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family val="3"/>
      <charset val="134"/>
    </font>
    <font>
      <sz val="11"/>
      <color indexed="8"/>
      <name val="宋体"/>
      <family val="3"/>
      <charset val="134"/>
    </font>
    <font>
      <sz val="11"/>
      <name val="宋体"/>
      <family val="3"/>
      <charset val="134"/>
    </font>
    <font>
      <sz val="10"/>
      <color theme="9" tint="-0.249977111117893"/>
      <name val="楷体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6"/>
      <color indexed="10"/>
      <name val="仿宋_GB2312"/>
      <family val="3"/>
      <charset val="134"/>
    </font>
    <font>
      <b/>
      <sz val="16"/>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
      <sz val="9"/>
      <color indexed="81"/>
      <name val="宋体"/>
      <family val="3"/>
      <charset val="134"/>
    </font>
    <font>
      <b/>
      <sz val="9"/>
      <color indexed="81"/>
      <name val="宋体"/>
      <family val="3"/>
      <charset val="134"/>
    </font>
    <font>
      <sz val="10"/>
      <color indexed="8"/>
      <name val="仿宋_GB2312"/>
      <family val="3"/>
      <charset val="134"/>
    </font>
    <font>
      <sz val="11"/>
      <name val="仿宋_GB2312"/>
      <family val="3"/>
      <charset val="134"/>
    </font>
    <font>
      <sz val="11"/>
      <color theme="1"/>
      <name val="楷体_GB2312"/>
      <family val="3"/>
      <charset val="134"/>
    </font>
    <font>
      <b/>
      <sz val="10"/>
      <color indexed="8"/>
      <name val="仿宋_GB2312"/>
      <family val="3"/>
      <charset val="134"/>
    </font>
    <font>
      <sz val="10"/>
      <color indexed="8"/>
      <name val="楷体_GB2312"/>
      <family val="3"/>
      <charset val="134"/>
    </font>
    <font>
      <b/>
      <sz val="10"/>
      <color indexed="8"/>
      <name val="楷体_GB2312"/>
      <family val="3"/>
      <charset val="134"/>
    </font>
    <font>
      <sz val="10"/>
      <name val="楷体_GB2312"/>
      <family val="3"/>
      <charset val="134"/>
    </font>
    <font>
      <sz val="12"/>
      <color rgb="FF000000"/>
      <name val="楷体_GB2312"/>
      <family val="3"/>
      <charset val="134"/>
    </font>
    <font>
      <sz val="12"/>
      <name val="楷体_GB2312"/>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92">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7"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7"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7"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7"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7"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0"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7"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7"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7"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7"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79"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0"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0"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0"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7" fontId="10" fillId="0" borderId="14" xfId="0" applyNumberFormat="1" applyFont="1" applyFill="1" applyBorder="1" applyAlignment="1" applyProtection="1">
      <alignment horizontal="center" vertical="center"/>
      <protection locked="0"/>
    </xf>
    <xf numFmtId="177"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7"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7"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7"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0"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0"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2"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7"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7"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7"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3"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7"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7"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3"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6"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0"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5" fontId="65" fillId="0" borderId="0" xfId="0" applyNumberFormat="1" applyFont="1" applyFill="1" applyAlignment="1" applyProtection="1">
      <alignment horizontal="center" vertical="center"/>
    </xf>
    <xf numFmtId="177"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2"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1"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1"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1"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7" fontId="65" fillId="3" borderId="29" xfId="0" applyNumberFormat="1" applyFont="1" applyFill="1" applyBorder="1" applyAlignment="1" applyProtection="1">
      <alignment horizontal="center" vertical="center"/>
    </xf>
    <xf numFmtId="177"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7"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8" fontId="22" fillId="3" borderId="87" xfId="0" applyNumberFormat="1" applyFont="1" applyFill="1" applyBorder="1" applyAlignment="1" applyProtection="1">
      <alignment horizontal="center" vertical="center" wrapText="1"/>
    </xf>
    <xf numFmtId="178"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5" fontId="4" fillId="3" borderId="86" xfId="0" applyNumberFormat="1" applyFont="1" applyFill="1" applyBorder="1" applyAlignment="1" applyProtection="1">
      <alignment horizontal="center" vertical="center"/>
    </xf>
    <xf numFmtId="177"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5" fontId="4" fillId="3" borderId="0" xfId="0" applyNumberFormat="1" applyFont="1" applyFill="1" applyBorder="1" applyAlignment="1" applyProtection="1">
      <alignment horizontal="center" vertical="center"/>
      <protection locked="0"/>
    </xf>
    <xf numFmtId="177"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5" fontId="22" fillId="3" borderId="84"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7"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7"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7"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5" fontId="65" fillId="3" borderId="84" xfId="0" applyNumberFormat="1" applyFont="1" applyFill="1" applyBorder="1" applyAlignment="1" applyProtection="1">
      <alignment horizontal="center" vertical="center"/>
    </xf>
    <xf numFmtId="177" fontId="65" fillId="3" borderId="0" xfId="0" applyNumberFormat="1" applyFont="1" applyFill="1" applyBorder="1" applyAlignment="1" applyProtection="1">
      <alignment vertical="center" wrapText="1"/>
      <protection locked="0"/>
    </xf>
    <xf numFmtId="185" fontId="65" fillId="3" borderId="84" xfId="0" applyNumberFormat="1" applyFont="1" applyFill="1" applyBorder="1" applyAlignment="1" applyProtection="1">
      <alignment horizontal="center" vertical="center" wrapText="1"/>
    </xf>
    <xf numFmtId="185"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5" fontId="65" fillId="3" borderId="0" xfId="0" applyNumberFormat="1" applyFont="1" applyFill="1" applyAlignment="1" applyProtection="1">
      <alignment horizontal="center" vertical="center"/>
      <protection locked="0"/>
    </xf>
    <xf numFmtId="177" fontId="65" fillId="3"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protection locked="0"/>
    </xf>
    <xf numFmtId="177" fontId="64" fillId="3" borderId="0" xfId="0" applyNumberFormat="1" applyFont="1" applyFill="1" applyAlignment="1" applyProtection="1">
      <alignment horizontal="center" vertical="center"/>
      <protection locked="0"/>
    </xf>
    <xf numFmtId="185" fontId="65" fillId="3" borderId="0" xfId="0" applyNumberFormat="1" applyFont="1" applyFill="1" applyBorder="1" applyAlignment="1" applyProtection="1">
      <alignment horizontal="center"/>
    </xf>
    <xf numFmtId="177"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89"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89"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89"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5" fontId="65" fillId="0" borderId="0" xfId="0" applyNumberFormat="1" applyFont="1" applyFill="1" applyAlignment="1" applyProtection="1">
      <alignment horizontal="center" vertical="center"/>
      <protection locked="0"/>
    </xf>
    <xf numFmtId="177"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5" fontId="65" fillId="3" borderId="0" xfId="0" applyNumberFormat="1" applyFont="1" applyFill="1" applyBorder="1" applyAlignment="1" applyProtection="1">
      <alignment horizontal="center"/>
      <protection locked="0"/>
    </xf>
    <xf numFmtId="177"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0"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0"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5" fontId="7" fillId="3" borderId="0" xfId="0" applyNumberFormat="1" applyFont="1" applyFill="1" applyBorder="1" applyAlignment="1" applyProtection="1">
      <alignment horizontal="center" vertical="center"/>
      <protection locked="0"/>
    </xf>
    <xf numFmtId="177"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5" fontId="22" fillId="3" borderId="8" xfId="0" applyNumberFormat="1" applyFont="1" applyFill="1" applyBorder="1" applyAlignment="1" applyProtection="1">
      <alignment horizontal="center" vertical="center" wrapText="1"/>
    </xf>
    <xf numFmtId="185"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5" fontId="65" fillId="3" borderId="31" xfId="0" applyNumberFormat="1" applyFont="1" applyFill="1" applyBorder="1" applyAlignment="1" applyProtection="1">
      <alignment horizontal="center" vertical="center"/>
    </xf>
    <xf numFmtId="185" fontId="65" fillId="3" borderId="31" xfId="0" applyNumberFormat="1" applyFont="1" applyFill="1" applyBorder="1" applyAlignment="1" applyProtection="1">
      <alignment horizontal="center" vertical="center" wrapText="1"/>
    </xf>
    <xf numFmtId="185"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5"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2"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3" fontId="3" fillId="3" borderId="14" xfId="0" applyNumberFormat="1" applyFont="1" applyFill="1" applyBorder="1" applyAlignment="1" applyProtection="1">
      <alignment horizontal="center" vertical="center"/>
    </xf>
    <xf numFmtId="193"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3"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7"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8"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7"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2"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2"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2" fontId="33" fillId="13" borderId="115" xfId="8" applyNumberFormat="1" applyFont="1" applyFill="1" applyBorder="1" applyAlignment="1" applyProtection="1">
      <alignment horizontal="center" vertical="center" wrapText="1"/>
    </xf>
    <xf numFmtId="182"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2" fontId="33" fillId="13" borderId="115" xfId="8" applyNumberFormat="1" applyFont="1" applyFill="1" applyBorder="1" applyAlignment="1">
      <alignment horizontal="center" vertical="center" wrapText="1"/>
    </xf>
    <xf numFmtId="182" fontId="33" fillId="13" borderId="116" xfId="8" applyNumberFormat="1" applyFont="1" applyFill="1" applyBorder="1" applyAlignment="1">
      <alignment horizontal="center" vertical="center" wrapText="1"/>
    </xf>
    <xf numFmtId="182" fontId="33" fillId="13" borderId="115" xfId="4" applyNumberFormat="1" applyFont="1" applyFill="1" applyBorder="1" applyAlignment="1">
      <alignment horizontal="center" vertical="center" wrapText="1"/>
    </xf>
    <xf numFmtId="182"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2" fontId="33" fillId="13" borderId="114" xfId="4" applyNumberFormat="1" applyFont="1" applyFill="1" applyBorder="1" applyAlignment="1">
      <alignment horizontal="center" vertical="center" wrapText="1"/>
    </xf>
    <xf numFmtId="182"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2"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2" fontId="33" fillId="13" borderId="122" xfId="4" applyNumberFormat="1" applyFont="1" applyFill="1" applyBorder="1" applyAlignment="1">
      <alignment horizontal="center" vertical="center" wrapText="1"/>
    </xf>
    <xf numFmtId="182" fontId="33" fillId="13" borderId="124" xfId="4" applyNumberFormat="1" applyFont="1" applyFill="1" applyBorder="1" applyAlignment="1">
      <alignment horizontal="center" vertical="center" wrapText="1"/>
    </xf>
    <xf numFmtId="182" fontId="16" fillId="11" borderId="0" xfId="4" applyNumberFormat="1" applyFont="1" applyFill="1" applyAlignment="1">
      <alignment horizontal="center" vertical="center"/>
    </xf>
    <xf numFmtId="182"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7" fontId="16" fillId="0" borderId="112" xfId="4" applyNumberFormat="1" applyFont="1" applyBorder="1">
      <alignment vertical="center"/>
    </xf>
    <xf numFmtId="177"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3"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8" fontId="16" fillId="0" borderId="0" xfId="4" applyNumberFormat="1" applyFont="1" applyAlignment="1">
      <alignment horizontal="center" vertical="center"/>
    </xf>
    <xf numFmtId="188" fontId="16" fillId="0" borderId="112" xfId="4" applyNumberFormat="1" applyFont="1" applyBorder="1" applyAlignment="1">
      <alignment horizontal="center" vertical="center"/>
    </xf>
    <xf numFmtId="188" fontId="16" fillId="5" borderId="0" xfId="4" applyNumberFormat="1" applyFont="1" applyFill="1" applyAlignment="1">
      <alignment horizontal="center" vertical="center"/>
    </xf>
    <xf numFmtId="0" fontId="16" fillId="5" borderId="112" xfId="4" applyFont="1" applyFill="1" applyBorder="1">
      <alignment vertical="center"/>
    </xf>
    <xf numFmtId="188" fontId="41" fillId="0" borderId="0" xfId="4" applyNumberFormat="1" applyFont="1" applyAlignment="1">
      <alignment horizontal="center" vertical="center"/>
    </xf>
    <xf numFmtId="188" fontId="41" fillId="0" borderId="112" xfId="4" applyNumberFormat="1" applyFont="1" applyBorder="1" applyAlignment="1">
      <alignment horizontal="center" vertical="center"/>
    </xf>
    <xf numFmtId="193" fontId="16" fillId="0" borderId="57" xfId="4" applyNumberFormat="1" applyFont="1" applyBorder="1" applyAlignment="1">
      <alignment horizontal="center" vertical="center"/>
    </xf>
    <xf numFmtId="193"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0"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3" fontId="99" fillId="3" borderId="6" xfId="10" applyNumberFormat="1" applyFill="1" applyBorder="1" applyAlignment="1" applyProtection="1">
      <alignment horizontal="center" vertical="center"/>
    </xf>
    <xf numFmtId="193"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3" fontId="99" fillId="3" borderId="3" xfId="10" applyNumberFormat="1" applyFill="1" applyBorder="1" applyAlignment="1" applyProtection="1">
      <alignment horizontal="center" vertical="center"/>
    </xf>
    <xf numFmtId="193"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3" fontId="99" fillId="3" borderId="75" xfId="10" applyNumberFormat="1" applyFill="1" applyBorder="1" applyAlignment="1" applyProtection="1">
      <alignment horizontal="center" vertical="center"/>
    </xf>
    <xf numFmtId="193"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3" fontId="99" fillId="3" borderId="38" xfId="10" applyNumberFormat="1" applyFill="1" applyBorder="1" applyAlignment="1" applyProtection="1">
      <alignment horizontal="center" vertical="center"/>
    </xf>
    <xf numFmtId="193" fontId="99" fillId="3" borderId="14" xfId="10" applyNumberFormat="1" applyFill="1" applyBorder="1" applyAlignment="1" applyProtection="1">
      <alignment horizontal="center" vertical="center"/>
    </xf>
    <xf numFmtId="193"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0"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2"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2"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7"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2" fontId="26" fillId="3" borderId="11" xfId="10" applyNumberFormat="1" applyFont="1" applyFill="1" applyBorder="1" applyAlignment="1" applyProtection="1">
      <alignment horizontal="center" vertical="center" wrapText="1"/>
    </xf>
    <xf numFmtId="192"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2"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7"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79"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2"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0"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2"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2" fontId="112" fillId="3" borderId="3" xfId="10" applyNumberFormat="1" applyFont="1" applyFill="1" applyBorder="1" applyAlignment="1" applyProtection="1">
      <alignment horizontal="center" vertical="center"/>
    </xf>
    <xf numFmtId="192"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2" fontId="126" fillId="3" borderId="3" xfId="10" applyNumberFormat="1" applyFont="1" applyFill="1" applyBorder="1" applyAlignment="1" applyProtection="1">
      <alignment horizontal="center" vertical="center" wrapText="1"/>
    </xf>
    <xf numFmtId="182" fontId="112" fillId="3" borderId="17" xfId="10" applyNumberFormat="1" applyFont="1" applyFill="1" applyBorder="1" applyAlignment="1" applyProtection="1">
      <alignment horizontal="center" vertical="center" wrapText="1"/>
    </xf>
    <xf numFmtId="180"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0"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2"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2" fontId="68" fillId="3" borderId="94" xfId="0" applyNumberFormat="1" applyFont="1" applyFill="1" applyBorder="1" applyAlignment="1" applyProtection="1">
      <alignment vertical="center" wrapText="1"/>
    </xf>
    <xf numFmtId="182"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7"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2"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0"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0"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5"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5" fontId="65" fillId="8" borderId="84" xfId="0" applyNumberFormat="1" applyFont="1" applyFill="1" applyBorder="1" applyAlignment="1" applyProtection="1">
      <alignment horizontal="center" vertical="center"/>
    </xf>
    <xf numFmtId="185" fontId="65" fillId="8" borderId="84" xfId="0" applyNumberFormat="1" applyFont="1" applyFill="1" applyBorder="1" applyAlignment="1" applyProtection="1">
      <alignment horizontal="center" vertical="center" wrapText="1"/>
    </xf>
    <xf numFmtId="185"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7"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3"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2"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2"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2"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2" fontId="9" fillId="0" borderId="3" xfId="0" applyNumberFormat="1" applyFont="1" applyFill="1" applyBorder="1" applyAlignment="1" applyProtection="1">
      <alignment horizontal="center"/>
      <protection locked="0"/>
    </xf>
    <xf numFmtId="187"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2" fontId="16" fillId="0" borderId="4" xfId="0" applyNumberFormat="1" applyFont="1" applyFill="1" applyBorder="1" applyAlignment="1" applyProtection="1">
      <alignment horizontal="center"/>
      <protection locked="0"/>
    </xf>
    <xf numFmtId="182"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2"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0" fontId="9" fillId="3" borderId="3" xfId="12" applyNumberFormat="1" applyFont="1" applyFill="1" applyBorder="1" applyAlignment="1" applyProtection="1">
      <alignment horizontal="center"/>
    </xf>
    <xf numFmtId="177"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2"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2" fontId="32" fillId="3" borderId="3" xfId="0" applyNumberFormat="1" applyFont="1" applyFill="1" applyBorder="1" applyAlignment="1" applyProtection="1">
      <alignment horizontal="right" vertical="center"/>
    </xf>
    <xf numFmtId="177" fontId="134" fillId="3" borderId="3" xfId="0" applyNumberFormat="1" applyFont="1" applyFill="1" applyBorder="1" applyAlignment="1" applyProtection="1">
      <alignment horizontal="center"/>
    </xf>
    <xf numFmtId="192"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2"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2"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2" fontId="9" fillId="0" borderId="14" xfId="0" applyNumberFormat="1" applyFont="1" applyFill="1" applyBorder="1" applyAlignment="1" applyProtection="1">
      <alignment horizontal="center"/>
      <protection locked="0"/>
    </xf>
    <xf numFmtId="187" fontId="16" fillId="3" borderId="14" xfId="0" applyNumberFormat="1" applyFont="1" applyFill="1" applyBorder="1" applyAlignment="1" applyProtection="1">
      <alignment horizontal="center" vertical="center"/>
    </xf>
    <xf numFmtId="182"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2"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2"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2" fontId="16" fillId="0" borderId="10" xfId="0" applyNumberFormat="1" applyFont="1" applyFill="1" applyBorder="1" applyAlignment="1" applyProtection="1">
      <alignment horizontal="center" vertical="center"/>
      <protection locked="0"/>
    </xf>
    <xf numFmtId="182"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2"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0"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7"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0"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2"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2"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2"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2" fontId="9" fillId="0" borderId="14" xfId="0" applyNumberFormat="1" applyFont="1" applyFill="1" applyBorder="1" applyAlignment="1" applyProtection="1">
      <alignment horizontal="center" vertical="center"/>
      <protection locked="0"/>
    </xf>
    <xf numFmtId="182"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1"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protection locked="0"/>
    </xf>
    <xf numFmtId="177" fontId="65" fillId="2" borderId="0" xfId="0" applyNumberFormat="1" applyFont="1" applyFill="1" applyAlignment="1" applyProtection="1">
      <alignment horizontal="center" vertical="center"/>
      <protection locked="0"/>
    </xf>
    <xf numFmtId="185" fontId="65" fillId="2" borderId="0" xfId="0" applyNumberFormat="1" applyFont="1" applyFill="1" applyAlignment="1" applyProtection="1">
      <alignment horizontal="center" vertical="center"/>
    </xf>
    <xf numFmtId="177"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0"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7"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0"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0"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1"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7"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1"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0"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7"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7"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0"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0"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0"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0"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8"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0"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1" fontId="22" fillId="3" borderId="3" xfId="0" applyNumberFormat="1" applyFont="1" applyFill="1" applyBorder="1" applyAlignment="1" applyProtection="1">
      <alignment horizontal="center" vertical="center"/>
    </xf>
    <xf numFmtId="180" fontId="65" fillId="3" borderId="3" xfId="12" applyNumberFormat="1" applyFont="1" applyFill="1" applyBorder="1" applyAlignment="1" applyProtection="1">
      <alignment horizontal="center" vertical="center"/>
    </xf>
    <xf numFmtId="188" fontId="65" fillId="3" borderId="3" xfId="12" applyNumberFormat="1" applyFont="1" applyFill="1" applyBorder="1" applyAlignment="1" applyProtection="1">
      <alignment horizontal="center" vertical="center"/>
    </xf>
    <xf numFmtId="177" fontId="16" fillId="0" borderId="3" xfId="0" applyNumberFormat="1" applyFont="1" applyFill="1" applyBorder="1" applyAlignment="1" applyProtection="1">
      <alignment horizontal="center" vertical="center"/>
      <protection locked="0"/>
    </xf>
    <xf numFmtId="177"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7"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7"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7" fontId="65" fillId="3" borderId="5" xfId="12" applyNumberFormat="1" applyFont="1" applyFill="1" applyBorder="1" applyAlignment="1" applyProtection="1">
      <alignment vertical="center" wrapText="1"/>
    </xf>
    <xf numFmtId="187"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7" fontId="65" fillId="3" borderId="28" xfId="12" applyNumberFormat="1" applyFont="1" applyFill="1" applyBorder="1" applyAlignment="1" applyProtection="1">
      <alignment vertical="center" wrapText="1"/>
    </xf>
    <xf numFmtId="187" fontId="22" fillId="0" borderId="14" xfId="12" applyNumberFormat="1" applyFont="1" applyFill="1" applyBorder="1" applyAlignment="1" applyProtection="1">
      <alignment horizontal="center" vertical="center"/>
      <protection locked="0"/>
    </xf>
    <xf numFmtId="187" fontId="22" fillId="3" borderId="28" xfId="12" applyNumberFormat="1" applyFont="1" applyFill="1" applyBorder="1" applyAlignment="1" applyProtection="1">
      <alignment vertical="center" wrapText="1"/>
    </xf>
    <xf numFmtId="187" fontId="65" fillId="3" borderId="14" xfId="12" applyNumberFormat="1" applyFont="1" applyFill="1" applyBorder="1" applyAlignment="1" applyProtection="1">
      <alignment horizontal="center" vertical="center"/>
    </xf>
    <xf numFmtId="187" fontId="65" fillId="3" borderId="33" xfId="12" applyNumberFormat="1" applyFont="1" applyFill="1" applyBorder="1" applyAlignment="1" applyProtection="1">
      <alignment vertical="center" wrapText="1"/>
    </xf>
    <xf numFmtId="187"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0"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7"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7" fontId="9" fillId="0" borderId="14" xfId="0" applyNumberFormat="1" applyFont="1" applyFill="1" applyBorder="1" applyAlignment="1" applyProtection="1">
      <alignment horizontal="center" vertical="center"/>
      <protection locked="0"/>
    </xf>
    <xf numFmtId="177" fontId="9" fillId="0" borderId="34" xfId="0" applyNumberFormat="1" applyFont="1" applyFill="1" applyBorder="1" applyAlignment="1" applyProtection="1">
      <alignment horizontal="center" vertical="center"/>
      <protection locked="0"/>
    </xf>
    <xf numFmtId="177"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7" fontId="20" fillId="3" borderId="0" xfId="0" applyNumberFormat="1" applyFont="1" applyFill="1" applyAlignment="1" applyProtection="1">
      <alignment horizontal="center" vertical="center"/>
      <protection locked="0"/>
    </xf>
    <xf numFmtId="179"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3"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0"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0"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0"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0" fontId="22" fillId="3" borderId="28" xfId="12" applyNumberFormat="1" applyFont="1" applyFill="1" applyBorder="1" applyAlignment="1" applyProtection="1">
      <alignment horizontal="center" vertical="center"/>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7"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0"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7" fontId="22" fillId="0" borderId="3" xfId="0" applyNumberFormat="1" applyFont="1" applyBorder="1" applyAlignment="1" applyProtection="1">
      <alignment vertical="center"/>
      <protection locked="0"/>
    </xf>
    <xf numFmtId="177"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7"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7"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0" fontId="22" fillId="3" borderId="33" xfId="12" applyNumberFormat="1" applyFont="1" applyFill="1" applyBorder="1" applyAlignment="1" applyProtection="1">
      <alignment horizontal="center" vertical="center"/>
    </xf>
    <xf numFmtId="180"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7"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7"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7"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7"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79" fontId="22" fillId="0" borderId="3" xfId="0" applyNumberFormat="1" applyFont="1" applyBorder="1" applyAlignment="1" applyProtection="1">
      <alignment horizontal="center" vertical="center"/>
      <protection locked="0"/>
    </xf>
    <xf numFmtId="177"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7"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79" fontId="22" fillId="0" borderId="3" xfId="0" applyNumberFormat="1" applyFont="1" applyFill="1" applyBorder="1" applyAlignment="1" applyProtection="1">
      <alignment horizontal="center" vertical="center"/>
      <protection locked="0"/>
    </xf>
    <xf numFmtId="177"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79" fontId="22" fillId="3" borderId="3" xfId="0" applyNumberFormat="1" applyFont="1" applyFill="1" applyBorder="1" applyAlignment="1" applyProtection="1">
      <alignment horizontal="center" vertical="center"/>
    </xf>
    <xf numFmtId="177"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7"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7"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7"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7"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7" fontId="68" fillId="3" borderId="7" xfId="12" applyNumberFormat="1" applyFont="1" applyFill="1" applyBorder="1" applyAlignment="1" applyProtection="1">
      <alignment horizontal="center" vertical="center"/>
    </xf>
    <xf numFmtId="187" fontId="68" fillId="3" borderId="95" xfId="12" applyNumberFormat="1" applyFont="1" applyFill="1" applyBorder="1" applyAlignment="1" applyProtection="1">
      <alignment horizontal="center" vertical="center"/>
    </xf>
    <xf numFmtId="187"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7"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7"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7" fontId="22" fillId="3" borderId="3" xfId="0" applyNumberFormat="1" applyFont="1" applyFill="1" applyBorder="1" applyAlignment="1" applyProtection="1">
      <alignment horizontal="center" vertical="center"/>
    </xf>
    <xf numFmtId="187"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0" fontId="32" fillId="3" borderId="110" xfId="0" applyNumberFormat="1" applyFont="1" applyFill="1" applyBorder="1" applyAlignment="1" applyProtection="1">
      <alignment vertical="center"/>
    </xf>
    <xf numFmtId="180" fontId="32" fillId="3" borderId="4" xfId="0" applyNumberFormat="1" applyFont="1" applyFill="1" applyBorder="1" applyAlignment="1" applyProtection="1">
      <alignment vertical="center"/>
    </xf>
    <xf numFmtId="180"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7"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0" fontId="32" fillId="4" borderId="14" xfId="0" applyNumberFormat="1" applyFont="1" applyFill="1" applyBorder="1" applyAlignment="1" applyProtection="1">
      <alignment horizontal="center" vertical="center"/>
      <protection locked="0"/>
    </xf>
    <xf numFmtId="180"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7"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7"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7"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0" fontId="9" fillId="0" borderId="3" xfId="0" applyNumberFormat="1" applyFont="1" applyBorder="1" applyAlignment="1" applyProtection="1">
      <alignment horizontal="center" vertical="center" wrapText="1"/>
      <protection locked="0"/>
    </xf>
    <xf numFmtId="180"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0" fontId="9" fillId="3" borderId="0" xfId="0" applyNumberFormat="1" applyFont="1" applyFill="1" applyBorder="1" applyAlignment="1" applyProtection="1">
      <alignment horizontal="center" vertical="center" wrapText="1"/>
    </xf>
    <xf numFmtId="180" fontId="46" fillId="3" borderId="0" xfId="0" applyNumberFormat="1" applyFont="1" applyFill="1" applyBorder="1" applyAlignment="1" applyProtection="1">
      <alignment horizontal="center" vertical="center" wrapText="1"/>
    </xf>
    <xf numFmtId="187" fontId="9" fillId="3" borderId="3" xfId="0" applyNumberFormat="1" applyFont="1" applyFill="1" applyBorder="1" applyAlignment="1" applyProtection="1">
      <alignment horizontal="center" vertical="center" wrapText="1"/>
    </xf>
    <xf numFmtId="187" fontId="9" fillId="3" borderId="30" xfId="0" applyNumberFormat="1" applyFont="1" applyFill="1" applyBorder="1" applyAlignment="1" applyProtection="1">
      <alignment horizontal="center" vertical="center" wrapText="1"/>
    </xf>
    <xf numFmtId="187" fontId="9" fillId="3" borderId="84" xfId="0" applyNumberFormat="1" applyFont="1" applyFill="1" applyBorder="1" applyAlignment="1" applyProtection="1">
      <alignment horizontal="center" vertical="center" wrapText="1"/>
    </xf>
    <xf numFmtId="187"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0" fontId="9" fillId="3" borderId="29" xfId="0" applyNumberFormat="1" applyFont="1" applyFill="1" applyBorder="1" applyAlignment="1" applyProtection="1">
      <alignment horizontal="left" vertical="center"/>
    </xf>
    <xf numFmtId="180" fontId="9" fillId="3" borderId="0" xfId="0" applyNumberFormat="1" applyFont="1" applyFill="1" applyBorder="1" applyAlignment="1" applyProtection="1">
      <alignment horizontal="center" vertical="center"/>
    </xf>
    <xf numFmtId="180"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0"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7" fontId="9" fillId="0" borderId="17" xfId="0" applyNumberFormat="1" applyFont="1" applyFill="1" applyBorder="1" applyAlignment="1" applyProtection="1">
      <alignment horizontal="center" vertical="center" wrapText="1"/>
      <protection locked="0"/>
    </xf>
    <xf numFmtId="187"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7" fontId="22" fillId="3" borderId="3" xfId="0" applyNumberFormat="1" applyFont="1" applyFill="1" applyBorder="1" applyAlignment="1" applyProtection="1">
      <alignment horizontal="center" vertical="center" wrapText="1"/>
    </xf>
    <xf numFmtId="187" fontId="22" fillId="0" borderId="17" xfId="0" applyNumberFormat="1" applyFont="1" applyFill="1" applyBorder="1" applyAlignment="1" applyProtection="1">
      <alignment horizontal="center" vertical="center" wrapText="1"/>
      <protection locked="0"/>
    </xf>
    <xf numFmtId="187" fontId="22" fillId="3" borderId="17" xfId="0" applyNumberFormat="1" applyFont="1" applyFill="1" applyBorder="1" applyAlignment="1" applyProtection="1">
      <alignment horizontal="center" vertical="center" wrapText="1"/>
    </xf>
    <xf numFmtId="187"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7" fontId="13" fillId="0" borderId="3" xfId="0" applyNumberFormat="1" applyFont="1" applyBorder="1" applyAlignment="1" applyProtection="1">
      <alignment vertical="center" wrapText="1"/>
      <protection locked="0"/>
    </xf>
    <xf numFmtId="187" fontId="9" fillId="0" borderId="3" xfId="0" applyNumberFormat="1" applyFont="1" applyBorder="1" applyAlignment="1" applyProtection="1">
      <alignment vertical="center" wrapText="1"/>
      <protection locked="0"/>
    </xf>
    <xf numFmtId="187"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0"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0"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0" fontId="9" fillId="3" borderId="17" xfId="0" applyNumberFormat="1" applyFont="1" applyFill="1" applyBorder="1" applyAlignment="1" applyProtection="1">
      <alignment horizontal="center" vertical="center" wrapText="1"/>
    </xf>
    <xf numFmtId="187" fontId="13" fillId="0" borderId="3" xfId="0" applyNumberFormat="1" applyFont="1" applyBorder="1" applyAlignment="1" applyProtection="1">
      <alignment horizontal="center" vertical="center" wrapText="1"/>
      <protection locked="0"/>
    </xf>
    <xf numFmtId="187"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7"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0" fontId="9" fillId="3" borderId="12" xfId="0" applyNumberFormat="1" applyFont="1" applyFill="1" applyBorder="1" applyAlignment="1" applyProtection="1">
      <alignment horizontal="center" vertical="center" wrapText="1"/>
    </xf>
    <xf numFmtId="187"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7"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7" fontId="9" fillId="3" borderId="6" xfId="0" applyNumberFormat="1" applyFont="1" applyFill="1" applyBorder="1" applyAlignment="1" applyProtection="1">
      <alignment horizontal="center" vertical="center" wrapText="1"/>
    </xf>
    <xf numFmtId="187" fontId="9" fillId="3" borderId="28" xfId="0" applyNumberFormat="1" applyFont="1" applyFill="1" applyBorder="1" applyAlignment="1" applyProtection="1">
      <alignment horizontal="center" vertical="center" wrapText="1"/>
    </xf>
    <xf numFmtId="180"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0"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0" fontId="9" fillId="3" borderId="98" xfId="0" applyNumberFormat="1" applyFont="1" applyFill="1" applyBorder="1" applyAlignment="1" applyProtection="1">
      <alignment horizontal="center" vertical="center"/>
    </xf>
    <xf numFmtId="187" fontId="9" fillId="3" borderId="38" xfId="0" applyNumberFormat="1" applyFont="1" applyFill="1" applyBorder="1" applyAlignment="1" applyProtection="1">
      <alignment horizontal="center" vertical="center" wrapText="1"/>
    </xf>
    <xf numFmtId="187"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7" fontId="22" fillId="3" borderId="14" xfId="0" applyNumberFormat="1" applyFont="1" applyFill="1" applyBorder="1" applyAlignment="1" applyProtection="1">
      <alignment horizontal="center" vertical="center" wrapText="1"/>
    </xf>
    <xf numFmtId="187"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7"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1"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0" fontId="169" fillId="3" borderId="10" xfId="0" applyNumberFormat="1" applyFont="1" applyFill="1" applyBorder="1" applyAlignment="1" applyProtection="1">
      <alignment horizontal="center" vertical="center" wrapText="1"/>
    </xf>
    <xf numFmtId="180"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1"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1"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3"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4"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0" fontId="173" fillId="0" borderId="3" xfId="15" applyNumberFormat="1" applyFont="1" applyFill="1" applyBorder="1" applyAlignment="1">
      <alignment horizontal="left" vertical="center"/>
    </xf>
    <xf numFmtId="181" fontId="173" fillId="0" borderId="3" xfId="15" applyNumberFormat="1" applyFont="1" applyFill="1" applyBorder="1" applyAlignment="1">
      <alignment horizontal="left" vertical="center"/>
    </xf>
    <xf numFmtId="190"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1" fontId="173" fillId="0" borderId="10" xfId="15" applyNumberFormat="1" applyFont="1" applyFill="1" applyBorder="1" applyAlignment="1">
      <alignment horizontal="left" vertical="center"/>
    </xf>
    <xf numFmtId="190"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1"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7"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0"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1"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1"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0"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1"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7"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48" fillId="0" borderId="0" xfId="11" applyFont="1"/>
    <xf numFmtId="176" fontId="22" fillId="6" borderId="3" xfId="12" applyNumberFormat="1" applyFont="1" applyFill="1" applyBorder="1" applyAlignment="1" applyProtection="1">
      <alignment horizontal="center" vertical="center"/>
      <protection locked="0"/>
    </xf>
    <xf numFmtId="182" fontId="9" fillId="6" borderId="3" xfId="0" applyNumberFormat="1" applyFont="1" applyFill="1" applyBorder="1" applyAlignment="1" applyProtection="1">
      <alignment horizontal="center" vertical="center"/>
      <protection locked="0"/>
    </xf>
    <xf numFmtId="182" fontId="16" fillId="6" borderId="10" xfId="0" applyNumberFormat="1" applyFont="1" applyFill="1" applyBorder="1" applyAlignment="1" applyProtection="1">
      <alignment horizontal="center" vertical="center"/>
      <protection locked="0"/>
    </xf>
    <xf numFmtId="0" fontId="22" fillId="6" borderId="3" xfId="0" applyFont="1" applyFill="1" applyBorder="1" applyAlignment="1" applyProtection="1">
      <alignment vertical="center"/>
    </xf>
    <xf numFmtId="0" fontId="22" fillId="6" borderId="28" xfId="0" applyFont="1" applyFill="1" applyBorder="1" applyAlignment="1" applyProtection="1">
      <alignment vertical="center"/>
    </xf>
    <xf numFmtId="176" fontId="9" fillId="6" borderId="3" xfId="12" applyNumberFormat="1" applyFont="1" applyFill="1" applyBorder="1" applyAlignment="1" applyProtection="1">
      <alignment horizontal="center" vertical="center"/>
      <protection locked="0"/>
    </xf>
    <xf numFmtId="177" fontId="22" fillId="6" borderId="3" xfId="0" applyNumberFormat="1" applyFont="1" applyFill="1" applyBorder="1" applyAlignment="1" applyProtection="1">
      <alignment horizontal="center" vertical="center"/>
      <protection locked="0"/>
    </xf>
    <xf numFmtId="0" fontId="48" fillId="5" borderId="0" xfId="11" applyFont="1" applyFill="1"/>
    <xf numFmtId="0" fontId="190" fillId="0" borderId="0" xfId="15" applyFont="1" applyAlignment="1" applyProtection="1">
      <alignment horizontal="left" vertical="top" wrapText="1"/>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79" fillId="0" borderId="3" xfId="0"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6"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180" fontId="169" fillId="2" borderId="29" xfId="0" applyNumberFormat="1" applyFont="1" applyFill="1" applyBorder="1" applyAlignment="1" applyProtection="1">
      <alignment horizontal="center" vertical="center" wrapText="1"/>
      <protection locked="0"/>
    </xf>
    <xf numFmtId="180" fontId="169" fillId="2" borderId="30" xfId="0" applyNumberFormat="1" applyFont="1" applyFill="1" applyBorder="1" applyAlignment="1" applyProtection="1">
      <alignment horizontal="center" vertical="center" wrapText="1"/>
      <protection locked="0"/>
    </xf>
    <xf numFmtId="180"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32" fillId="3" borderId="35" xfId="0"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05" fillId="3" borderId="17" xfId="0" applyFont="1" applyFill="1" applyBorder="1" applyAlignment="1" applyProtection="1">
      <alignment horizontal="center"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106"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10" fontId="15" fillId="3" borderId="29" xfId="0" applyNumberFormat="1"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29"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2"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2" fontId="68" fillId="3" borderId="3"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1" fillId="0" borderId="0" xfId="4" applyFont="1" applyAlignment="1">
      <alignment horizontal="center" vertical="center"/>
    </xf>
    <xf numFmtId="0" fontId="33" fillId="0" borderId="0" xfId="4" applyFont="1" applyAlignment="1">
      <alignment horizontal="center" vertical="center"/>
    </xf>
    <xf numFmtId="0" fontId="58" fillId="0" borderId="0" xfId="4" applyFont="1" applyAlignment="1">
      <alignment horizontal="center" vertical="center"/>
    </xf>
    <xf numFmtId="0" fontId="103" fillId="13" borderId="117" xfId="4" applyFont="1" applyFill="1" applyBorder="1" applyAlignment="1" applyProtection="1">
      <alignment horizontal="center" vertical="center" wrapText="1"/>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03" fillId="13" borderId="121"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65"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68" fillId="3" borderId="3" xfId="0" applyNumberFormat="1" applyFont="1" applyFill="1" applyBorder="1" applyAlignment="1" applyProtection="1">
      <alignment horizontal="center" vertical="center"/>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30" xfId="0" applyFont="1" applyFill="1" applyBorder="1" applyAlignment="1" applyProtection="1">
      <alignment horizontal="center" vertical="center" wrapText="1"/>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48" fillId="0" borderId="3" xfId="0" applyFont="1" applyFill="1" applyBorder="1" applyAlignment="1">
      <alignment horizontal="center" vertical="center"/>
    </xf>
    <xf numFmtId="0" fontId="49" fillId="0" borderId="3" xfId="0" applyFont="1" applyFill="1" applyBorder="1" applyAlignment="1">
      <alignment horizontal="center" vertical="center"/>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3" borderId="3" xfId="0" applyFont="1" applyFill="1" applyBorder="1" applyAlignment="1">
      <alignment horizontal="left"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2020年2月10日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根据《国有土地使用证》[]，估价对象（分摊）出让国有建设用地使用权面积为110836.2平方米。根据《建设工程规划许可证》[]、《出让合同》[]，估价对象规划建筑面积为524902.9平方米。</v>
      </c>
    </row>
    <row r="16" spans="1:55" s="3140" customFormat="1">
      <c r="A16" s="3148" t="s">
        <v>16</v>
      </c>
      <c r="B16" s="3150"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估价期日：2020年2月10日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110836.2</v>
      </c>
    </row>
    <row r="44" spans="1:2">
      <c r="A44" s="3148" t="s">
        <v>44</v>
      </c>
      <c r="B44" s="3150" t="str">
        <f>'预评函-2'!O3</f>
        <v>规划建筑面积/㎡</v>
      </c>
    </row>
    <row r="45" spans="1:2">
      <c r="A45" s="3148" t="s">
        <v>45</v>
      </c>
      <c r="B45" s="3150">
        <f>'预评函-2'!O5</f>
        <v>524902.89999999991</v>
      </c>
    </row>
    <row r="46" spans="1:2">
      <c r="A46" s="3148" t="s">
        <v>46</v>
      </c>
      <c r="B46" s="3150">
        <f ca="1">'预评函-2'!P5</f>
        <v>10165</v>
      </c>
    </row>
    <row r="47" spans="1:2">
      <c r="A47" s="3148" t="s">
        <v>47</v>
      </c>
      <c r="B47" s="3150">
        <f ca="1">'预评函-2'!Q5</f>
        <v>2146</v>
      </c>
    </row>
    <row r="48" spans="1:2">
      <c r="A48" s="3148" t="s">
        <v>48</v>
      </c>
      <c r="B48" s="3150">
        <f ca="1">'预评函-2'!R5</f>
        <v>112664</v>
      </c>
    </row>
    <row r="49" spans="1:2">
      <c r="A49" s="3148" t="s">
        <v>49</v>
      </c>
      <c r="B49" s="3150" t="str">
        <f>'预评函-2'!A6</f>
        <v>抵押价格</v>
      </c>
    </row>
    <row r="50" spans="1:2">
      <c r="A50" s="3148" t="s">
        <v>50</v>
      </c>
      <c r="B50" s="3150">
        <f ca="1">'预评函-2'!R6</f>
        <v>112664</v>
      </c>
    </row>
    <row r="51" spans="1:2">
      <c r="A51" s="3148" t="s">
        <v>51</v>
      </c>
      <c r="B51" s="3150" t="str">
        <f>'预评函-2'!A7</f>
        <v>——</v>
      </c>
    </row>
    <row r="52" spans="1:2">
      <c r="A52" s="3148" t="s">
        <v>52</v>
      </c>
      <c r="B52" s="3150" t="str">
        <f>'预评函-2'!R7</f>
        <v>——</v>
      </c>
    </row>
    <row r="53" spans="1:2">
      <c r="A53" s="3148" t="s">
        <v>53</v>
      </c>
      <c r="B53" s="3150" t="str">
        <f>'预评函-2'!A8</f>
        <v>抵押净值</v>
      </c>
    </row>
    <row r="54" spans="1:2" s="3135" customFormat="1">
      <c r="A54" s="3151" t="s">
        <v>54</v>
      </c>
      <c r="B54" s="3152">
        <f ca="1">'预评函-2'!R8</f>
        <v>90966</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2879" customWidth="1"/>
    <col min="2" max="2" width="11.375" style="2879" customWidth="1"/>
    <col min="3" max="3" width="12.625" style="2879" customWidth="1"/>
    <col min="4" max="4" width="12"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348</v>
      </c>
      <c r="B1" s="3219" t="str">
        <f>IF(B10="北京市","北京市",C10)&amp;F10&amp;B16&amp;"国有建设用地使用权"&amp;B9&amp;"预评估"</f>
        <v>出让国有建设用地使用权抵押价格预评估</v>
      </c>
      <c r="C1" s="3220"/>
      <c r="D1" s="3220"/>
      <c r="E1" s="3220"/>
      <c r="F1" s="3220"/>
      <c r="G1" s="3220"/>
      <c r="H1" s="3220"/>
      <c r="I1" s="3221"/>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349</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350</v>
      </c>
      <c r="B3" s="2888"/>
      <c r="C3" s="2889" t="s">
        <v>351</v>
      </c>
      <c r="D3" s="2888">
        <v>43871</v>
      </c>
      <c r="E3" s="2886"/>
      <c r="F3" s="2886"/>
      <c r="G3" s="2886"/>
      <c r="H3" s="2884"/>
      <c r="I3" s="3006"/>
      <c r="J3" s="2886"/>
      <c r="K3" s="3007"/>
      <c r="L3" s="3005"/>
      <c r="M3" s="3005"/>
      <c r="N3" s="2886"/>
      <c r="O3" s="3006"/>
      <c r="P3" s="2886"/>
      <c r="Q3" s="2886"/>
      <c r="R3" s="2886"/>
      <c r="S3" s="2886"/>
      <c r="T3" s="2886"/>
      <c r="U3" s="2886"/>
    </row>
    <row r="4" spans="1:21">
      <c r="A4" s="2890" t="s">
        <v>352</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353</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354</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355</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333</v>
      </c>
      <c r="B8" s="2900" t="s">
        <v>335</v>
      </c>
      <c r="C8" s="2901"/>
      <c r="D8" s="3228" t="s">
        <v>356</v>
      </c>
      <c r="E8" s="2902" t="s">
        <v>340</v>
      </c>
      <c r="F8" s="2903"/>
      <c r="G8" s="2884"/>
      <c r="H8" s="2884"/>
      <c r="I8" s="3009"/>
      <c r="J8" s="2886"/>
      <c r="K8" s="3007"/>
      <c r="L8" s="3005"/>
      <c r="M8" s="3005"/>
      <c r="N8" s="2886"/>
      <c r="O8" s="3006"/>
      <c r="P8" s="2886"/>
      <c r="Q8" s="2886"/>
      <c r="R8" s="2886"/>
      <c r="S8" s="2886"/>
      <c r="T8" s="2886"/>
      <c r="U8" s="2886"/>
    </row>
    <row r="9" spans="1:21">
      <c r="A9" s="2904" t="s">
        <v>357</v>
      </c>
      <c r="B9" s="2905" t="s">
        <v>340</v>
      </c>
      <c r="C9" s="2906"/>
      <c r="D9" s="3229"/>
      <c r="E9" s="3169" t="s">
        <v>343</v>
      </c>
      <c r="F9" s="2907"/>
      <c r="G9" s="2908"/>
      <c r="H9" s="2908"/>
      <c r="I9" s="3010"/>
      <c r="J9" s="2886"/>
      <c r="K9" s="3007"/>
      <c r="L9" s="3005"/>
      <c r="M9" s="3005"/>
      <c r="N9" s="2886"/>
      <c r="O9" s="3006"/>
      <c r="P9" s="2886"/>
      <c r="Q9" s="2886"/>
      <c r="R9" s="2886"/>
      <c r="S9" s="2886"/>
      <c r="T9" s="2886"/>
      <c r="U9" s="2886"/>
    </row>
    <row r="10" spans="1:21">
      <c r="A10" s="2909" t="s">
        <v>358</v>
      </c>
      <c r="B10" s="2910" t="s">
        <v>359</v>
      </c>
      <c r="C10" s="2911"/>
      <c r="D10" s="2896"/>
      <c r="E10" s="2912" t="s">
        <v>360</v>
      </c>
      <c r="F10" s="2913"/>
      <c r="G10" s="2914"/>
      <c r="H10" s="2915"/>
      <c r="I10" s="2896"/>
      <c r="J10" s="2886"/>
      <c r="K10" s="3007"/>
      <c r="L10" s="3005"/>
      <c r="M10" s="3005"/>
      <c r="N10" s="2886"/>
      <c r="O10" s="3006"/>
      <c r="P10" s="2886"/>
      <c r="Q10" s="2886"/>
      <c r="R10" s="2886"/>
      <c r="S10" s="2886"/>
      <c r="T10" s="2886"/>
      <c r="U10" s="2886"/>
    </row>
    <row r="11" spans="1:21">
      <c r="A11" s="2916" t="s">
        <v>361</v>
      </c>
      <c r="B11" s="2917" t="s">
        <v>362</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363</v>
      </c>
      <c r="B12" s="3222"/>
      <c r="C12" s="3223"/>
      <c r="D12" s="3224"/>
      <c r="E12" s="2921" t="s">
        <v>364</v>
      </c>
      <c r="F12" s="3225" t="s">
        <v>365</v>
      </c>
      <c r="G12" s="3226"/>
      <c r="H12" s="3226"/>
      <c r="I12" s="3227"/>
      <c r="J12" s="2886"/>
      <c r="K12" s="3007"/>
      <c r="L12" s="3005"/>
      <c r="M12" s="3005"/>
      <c r="N12" s="2886"/>
      <c r="O12" s="3006"/>
      <c r="P12" s="2886"/>
      <c r="Q12" s="2886"/>
      <c r="R12" s="2886"/>
      <c r="S12" s="2886"/>
      <c r="T12" s="2886"/>
      <c r="U12" s="2886"/>
    </row>
    <row r="13" spans="1:21">
      <c r="A13" s="2922" t="s">
        <v>366</v>
      </c>
      <c r="B13" s="3222"/>
      <c r="C13" s="3223"/>
      <c r="D13" s="3224"/>
      <c r="E13" s="2921" t="s">
        <v>364</v>
      </c>
      <c r="F13" s="3225" t="s">
        <v>367</v>
      </c>
      <c r="G13" s="3226"/>
      <c r="H13" s="3226"/>
      <c r="I13" s="3227"/>
      <c r="J13" s="2886"/>
      <c r="K13" s="3007"/>
      <c r="L13" s="3005"/>
      <c r="M13" s="3005"/>
      <c r="N13" s="2886"/>
      <c r="O13" s="3006"/>
      <c r="P13" s="2886"/>
      <c r="Q13" s="2886"/>
      <c r="R13" s="2886"/>
      <c r="S13" s="2886"/>
      <c r="T13" s="2886"/>
      <c r="U13" s="2886"/>
    </row>
    <row r="14" spans="1:21">
      <c r="A14" s="2887" t="s">
        <v>368</v>
      </c>
      <c r="B14" s="2921"/>
      <c r="C14" s="2923" t="s">
        <v>369</v>
      </c>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370</v>
      </c>
      <c r="E15" s="2928" t="s">
        <v>371</v>
      </c>
      <c r="F15" s="2928" t="s">
        <v>372</v>
      </c>
      <c r="G15" s="2929" t="s">
        <v>373</v>
      </c>
      <c r="H15" s="2929" t="s">
        <v>374</v>
      </c>
      <c r="I15" s="2929" t="s">
        <v>164</v>
      </c>
      <c r="J15" s="2886"/>
      <c r="K15" s="3007"/>
      <c r="L15" s="3005"/>
      <c r="M15" s="3005"/>
      <c r="N15" s="2886"/>
      <c r="O15" s="3006"/>
      <c r="P15" s="2886"/>
      <c r="Q15" s="2886"/>
      <c r="R15" s="2886"/>
      <c r="S15" s="2886"/>
      <c r="T15" s="2886"/>
      <c r="U15" s="2886"/>
    </row>
    <row r="16" spans="1:21" ht="28.5">
      <c r="A16" s="2930" t="s">
        <v>375</v>
      </c>
      <c r="B16" s="2931" t="s">
        <v>376</v>
      </c>
      <c r="C16" s="2921" t="s">
        <v>345</v>
      </c>
      <c r="D16" s="2928" t="s">
        <v>370</v>
      </c>
      <c r="E16" s="2932" t="s">
        <v>371</v>
      </c>
      <c r="F16" s="2932" t="s">
        <v>372</v>
      </c>
      <c r="G16" s="2932" t="s">
        <v>373</v>
      </c>
      <c r="H16" s="2932"/>
      <c r="I16" s="2929" t="s">
        <v>164</v>
      </c>
      <c r="J16" s="2886"/>
      <c r="K16" s="3012" t="str">
        <f>IF(D17="","",D16&amp;TEXT(D17,"yyyy年m月d日;;"))</f>
        <v/>
      </c>
      <c r="L16" s="2921" t="str">
        <f>IF(OR(K16="",M16=""),"","、")</f>
        <v/>
      </c>
      <c r="M16" s="3012" t="str">
        <f>IF(E17="","",E16&amp;TEXT(E17,"yyyy年m月d日;;"))</f>
        <v>商业2047年7月11日</v>
      </c>
      <c r="N16" s="2921" t="str">
        <f>IF(OR(M16="",O16=""),"","、")</f>
        <v>、</v>
      </c>
      <c r="O16" s="3012" t="str">
        <f>IF(F17="","",F16&amp;TEXT(F17,"yyyy年m月d日;;"))</f>
        <v>办公2057年7月11日</v>
      </c>
      <c r="P16" s="2921" t="str">
        <f>IF(OR(O16="",Q16=""),"","、")</f>
        <v>、</v>
      </c>
      <c r="Q16" s="3012" t="str">
        <f>IF(G17="","",G16&amp;TEXT(G17,"yyyy年m月d日;;"))</f>
        <v>车库2057年7月11日</v>
      </c>
      <c r="R16" s="2921" t="str">
        <f>IF(OR(Q16="",S16=""),"","、")</f>
        <v/>
      </c>
      <c r="S16" s="3012" t="str">
        <f>IF(H17="","",H16&amp;TEXT(H17,"yyyy年m月d日;;"))</f>
        <v/>
      </c>
      <c r="T16" s="2921" t="str">
        <f>IF(OR(S16="",U16=""),"","、")</f>
        <v/>
      </c>
      <c r="U16" s="3012" t="str">
        <f>IF(I17="","",I16&amp;TEXT(I17,"yyyy年m月d日;;"))</f>
        <v/>
      </c>
    </row>
    <row r="17" spans="1:21">
      <c r="A17" s="2933"/>
      <c r="B17" s="2934"/>
      <c r="C17" s="2935" t="s">
        <v>378</v>
      </c>
      <c r="D17" s="2936"/>
      <c r="E17" s="2936">
        <v>53884</v>
      </c>
      <c r="F17" s="2936">
        <v>57537</v>
      </c>
      <c r="G17" s="2936">
        <v>57537</v>
      </c>
      <c r="H17" s="2936"/>
      <c r="I17" s="2936"/>
      <c r="J17" s="2886"/>
      <c r="K17" s="3004" t="str">
        <f>CONCATENATE(K16,L16,M16,N16,O16,P16,Q16,R16,S16,T16,,U16)</f>
        <v>商业2047年7月11日、办公2057年7月11日、车库2057年7月11日</v>
      </c>
      <c r="L17" s="3005"/>
      <c r="M17" s="3005"/>
      <c r="N17" s="2886"/>
      <c r="O17" s="3006"/>
      <c r="P17" s="2886"/>
      <c r="Q17" s="2886"/>
      <c r="R17" s="2886"/>
      <c r="S17" s="2886"/>
      <c r="T17" s="2886"/>
      <c r="U17" s="2886"/>
    </row>
    <row r="18" spans="1:21">
      <c r="A18" s="2933"/>
      <c r="B18" s="2934"/>
      <c r="C18" s="2935" t="s">
        <v>379</v>
      </c>
      <c r="D18" s="2937"/>
      <c r="E18" s="2937">
        <v>40</v>
      </c>
      <c r="F18" s="2937">
        <v>50</v>
      </c>
      <c r="G18" s="2937">
        <v>50</v>
      </c>
      <c r="H18" s="2937"/>
      <c r="I18" s="2937"/>
      <c r="J18" s="2886"/>
      <c r="K18" s="3007"/>
      <c r="L18" s="3005"/>
      <c r="M18" s="3005"/>
      <c r="N18" s="2886"/>
      <c r="O18" s="3006"/>
      <c r="P18" s="2886"/>
      <c r="Q18" s="2886"/>
      <c r="R18" s="2886"/>
      <c r="S18" s="2886"/>
      <c r="T18" s="2886"/>
      <c r="U18" s="2886"/>
    </row>
    <row r="19" spans="1:21">
      <c r="A19" s="2933"/>
      <c r="B19" s="2934"/>
      <c r="C19" s="2884" t="s">
        <v>380</v>
      </c>
      <c r="D19" s="2938" t="str">
        <f>IF(B16="出让",IF(D17="","",ROUNDDOWN(MIN((D17-$D$3)/365,D18),2)),D18)</f>
        <v/>
      </c>
      <c r="E19" s="2939">
        <f>IF(B16="出让",IF(E17="","",ROUNDDOWN(MIN((E17-$D$3)/365,E18),2)),E18)</f>
        <v>27.43</v>
      </c>
      <c r="F19" s="2939">
        <f>IF(B16="出让",IF(F17="","",ROUNDDOWN(MIN((F17-$D$3)/365,F18),2)),F18)</f>
        <v>37.44</v>
      </c>
      <c r="G19" s="2939">
        <f>IF(B16="出让",IF(G17="","",ROUNDDOWN(MIN((G17-$D$3)/365,G18),2)),G18)</f>
        <v>37.44</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381</v>
      </c>
      <c r="D20" s="3230"/>
      <c r="E20" s="3231"/>
      <c r="F20" s="3231"/>
      <c r="G20" s="3231"/>
      <c r="H20" s="3231"/>
      <c r="I20" s="3232"/>
      <c r="J20" s="2886"/>
      <c r="K20" s="3007"/>
      <c r="L20" s="3005"/>
      <c r="M20" s="3005"/>
      <c r="N20" s="2886"/>
      <c r="O20" s="3006"/>
      <c r="P20" s="2886"/>
      <c r="Q20" s="2886"/>
      <c r="R20" s="2886"/>
      <c r="S20" s="2886"/>
      <c r="T20" s="2886"/>
      <c r="U20" s="2886"/>
    </row>
    <row r="21" spans="1:21">
      <c r="A21" s="2933" t="s">
        <v>382</v>
      </c>
      <c r="B21" s="2943" t="s">
        <v>383</v>
      </c>
      <c r="C21" s="2944">
        <f>'数据-汇总表'!E3</f>
        <v>524902.89999999991</v>
      </c>
      <c r="D21" s="2945" t="s">
        <v>384</v>
      </c>
      <c r="E21" s="3233" t="s">
        <v>385</v>
      </c>
      <c r="F21" s="3234"/>
      <c r="G21" s="3234"/>
      <c r="H21" s="3234"/>
      <c r="I21" s="3235"/>
      <c r="J21" s="2886"/>
      <c r="K21" s="3007"/>
      <c r="L21" s="3005"/>
      <c r="M21" s="3005"/>
      <c r="N21" s="2886"/>
      <c r="O21" s="3006"/>
      <c r="P21" s="2886"/>
      <c r="Q21" s="2886"/>
      <c r="R21" s="2886"/>
      <c r="S21" s="2886"/>
      <c r="T21" s="2886"/>
      <c r="U21" s="2886"/>
    </row>
    <row r="22" spans="1:21">
      <c r="A22" s="2946" t="s">
        <v>138</v>
      </c>
      <c r="B22" s="2887" t="s">
        <v>386</v>
      </c>
      <c r="C22" s="2929">
        <f>'数据-汇总表'!D3</f>
        <v>110836.2</v>
      </c>
      <c r="D22" s="2922" t="s">
        <v>384</v>
      </c>
      <c r="E22" s="3233" t="s">
        <v>365</v>
      </c>
      <c r="F22" s="3234"/>
      <c r="G22" s="3234"/>
      <c r="H22" s="3234"/>
      <c r="I22" s="3235"/>
      <c r="J22" s="2886"/>
      <c r="K22" s="3007"/>
      <c r="L22" s="3005"/>
      <c r="M22" s="3005"/>
      <c r="N22" s="2886"/>
      <c r="O22" s="3006"/>
      <c r="P22" s="2886"/>
      <c r="Q22" s="2886"/>
      <c r="R22" s="2886"/>
      <c r="S22" s="2886"/>
      <c r="T22" s="2886"/>
      <c r="U22" s="2886"/>
    </row>
    <row r="23" spans="1:21" ht="42.75">
      <c r="A23" s="2947" t="s">
        <v>387</v>
      </c>
      <c r="B23" s="2948" t="s">
        <v>388</v>
      </c>
      <c r="C23" s="2949"/>
      <c r="D23" s="2950" t="s">
        <v>389</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364</v>
      </c>
      <c r="B24" s="3236" t="s">
        <v>390</v>
      </c>
      <c r="C24" s="3237"/>
      <c r="D24" s="3238" t="s">
        <v>391</v>
      </c>
      <c r="E24" s="3239"/>
      <c r="F24" s="2955" t="s">
        <v>392</v>
      </c>
      <c r="G24" s="2886"/>
      <c r="H24" s="2886"/>
      <c r="I24" s="3009"/>
      <c r="J24" s="2886"/>
      <c r="K24" s="3240" t="s">
        <v>393</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394</v>
      </c>
      <c r="C25" s="2958" t="s">
        <v>395</v>
      </c>
      <c r="D25" s="2959"/>
      <c r="E25" s="2960" t="s">
        <v>138</v>
      </c>
      <c r="F25" s="2961"/>
      <c r="G25" s="2886"/>
      <c r="H25" s="2886"/>
      <c r="I25" s="3009"/>
      <c r="J25" s="2886"/>
      <c r="K25" s="3240"/>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396</v>
      </c>
      <c r="C26" s="2958" t="s">
        <v>397</v>
      </c>
      <c r="D26" s="2884"/>
      <c r="E26" s="2884"/>
      <c r="F26" s="2964"/>
      <c r="G26" s="2886"/>
      <c r="H26" s="2886"/>
      <c r="I26" s="3009"/>
      <c r="J26" s="2886"/>
      <c r="K26" s="3240"/>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398</v>
      </c>
      <c r="B27" s="2966" t="s">
        <v>399</v>
      </c>
      <c r="C27" s="2967"/>
      <c r="D27" s="2968" t="s">
        <v>399</v>
      </c>
      <c r="E27" s="2969"/>
      <c r="F27" s="2964"/>
      <c r="G27" s="2886"/>
      <c r="H27" s="2886"/>
      <c r="I27" s="3009"/>
      <c r="J27" s="2886"/>
      <c r="K27" s="3007"/>
      <c r="L27" s="3005"/>
      <c r="M27" s="3005"/>
      <c r="N27" s="2886"/>
      <c r="O27" s="3006"/>
      <c r="P27" s="2886"/>
      <c r="Q27" s="2886"/>
      <c r="R27" s="2886"/>
      <c r="S27" s="2886"/>
      <c r="T27" s="2886"/>
      <c r="U27" s="2886"/>
    </row>
    <row r="28" spans="1:21">
      <c r="A28" s="2970"/>
      <c r="B28" s="2966" t="s">
        <v>400</v>
      </c>
      <c r="C28" s="2971"/>
      <c r="D28" s="2972" t="s">
        <v>400</v>
      </c>
      <c r="E28" s="2973"/>
      <c r="F28" s="2964"/>
      <c r="G28" s="2886"/>
      <c r="H28" s="2886"/>
      <c r="I28" s="3009"/>
      <c r="J28" s="2886"/>
      <c r="K28" s="3007"/>
      <c r="L28" s="3005"/>
      <c r="M28" s="3005"/>
      <c r="N28" s="2886"/>
      <c r="O28" s="3006"/>
      <c r="P28" s="2886"/>
      <c r="Q28" s="2886"/>
      <c r="R28" s="2886"/>
      <c r="S28" s="2886"/>
      <c r="T28" s="2886"/>
      <c r="U28" s="2886"/>
    </row>
    <row r="29" spans="1:21">
      <c r="A29" s="2970"/>
      <c r="B29" s="2966" t="s">
        <v>401</v>
      </c>
      <c r="C29" s="2971"/>
      <c r="D29" s="2972" t="s">
        <v>401</v>
      </c>
      <c r="E29" s="2973"/>
      <c r="F29" s="2964"/>
      <c r="G29" s="2886"/>
      <c r="H29" s="2886"/>
      <c r="I29" s="3009"/>
      <c r="J29" s="2886"/>
      <c r="K29" s="3007"/>
      <c r="L29" s="3005"/>
      <c r="M29" s="3005"/>
      <c r="N29" s="2886"/>
      <c r="O29" s="3006"/>
      <c r="P29" s="2886"/>
      <c r="Q29" s="2886"/>
      <c r="R29" s="2886"/>
      <c r="S29" s="2886"/>
      <c r="T29" s="2886"/>
      <c r="U29" s="2886"/>
    </row>
    <row r="30" spans="1:21">
      <c r="A30" s="2974"/>
      <c r="B30" s="2975" t="s">
        <v>402</v>
      </c>
      <c r="C30" s="2976"/>
      <c r="D30" s="2977" t="s">
        <v>402</v>
      </c>
      <c r="E30" s="2978"/>
      <c r="F30" s="2979"/>
      <c r="G30" s="2908"/>
      <c r="H30" s="2908"/>
      <c r="I30" s="3010"/>
      <c r="J30" s="2886"/>
      <c r="K30" s="3007"/>
      <c r="L30" s="3005"/>
      <c r="M30" s="3005"/>
      <c r="N30" s="2886"/>
      <c r="O30" s="3006"/>
      <c r="P30" s="2886"/>
      <c r="Q30" s="2886"/>
      <c r="R30" s="2886"/>
      <c r="S30" s="2886"/>
      <c r="T30" s="2886"/>
      <c r="U30" s="2886"/>
    </row>
    <row r="31" spans="1:21">
      <c r="A31" s="3243" t="s">
        <v>403</v>
      </c>
      <c r="B31" s="2943" t="s">
        <v>404</v>
      </c>
      <c r="C31" s="3249"/>
      <c r="D31" s="3250"/>
      <c r="E31" s="2886"/>
      <c r="F31" s="2886"/>
      <c r="G31" s="2886"/>
      <c r="H31" s="2886"/>
      <c r="I31" s="3009"/>
      <c r="J31" s="2886"/>
      <c r="K31" s="3014"/>
      <c r="L31" s="2886"/>
      <c r="M31" s="2886"/>
      <c r="N31" s="2886"/>
      <c r="O31" s="2886"/>
      <c r="P31" s="2886"/>
      <c r="Q31" s="2886"/>
      <c r="R31" s="2886"/>
      <c r="S31" s="2886"/>
      <c r="T31" s="2886"/>
      <c r="U31" s="2886"/>
    </row>
    <row r="32" spans="1:21">
      <c r="A32" s="3243"/>
      <c r="B32" s="2887" t="s">
        <v>405</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43"/>
      <c r="B33" s="2887" t="s">
        <v>406</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44"/>
      <c r="B34" s="2887" t="s">
        <v>407</v>
      </c>
      <c r="C34" s="3251"/>
      <c r="D34" s="3252"/>
      <c r="E34" s="2886"/>
      <c r="F34" s="2886"/>
      <c r="G34" s="2886"/>
      <c r="H34" s="2886"/>
      <c r="I34" s="3009"/>
      <c r="J34" s="2886"/>
      <c r="K34" s="3014"/>
      <c r="L34" s="2886"/>
      <c r="M34" s="2886"/>
      <c r="N34" s="2886"/>
      <c r="O34" s="2886"/>
      <c r="P34" s="2886"/>
      <c r="Q34" s="2886"/>
      <c r="R34" s="2886"/>
      <c r="S34" s="2886"/>
      <c r="T34" s="2886"/>
      <c r="U34" s="2886"/>
    </row>
    <row r="35" spans="1:21">
      <c r="A35" s="3245" t="s">
        <v>408</v>
      </c>
      <c r="B35" s="2932"/>
      <c r="C35" s="2983" t="str">
        <f>IF(B35="场地平整","——","具体情况：")</f>
        <v>具体情况：</v>
      </c>
      <c r="D35" s="3253"/>
      <c r="E35" s="3254"/>
      <c r="F35" s="3254"/>
      <c r="G35" s="3254"/>
      <c r="H35" s="3254"/>
      <c r="I35" s="3255"/>
      <c r="J35" s="2886"/>
      <c r="K35" s="3015"/>
      <c r="L35" s="3005"/>
      <c r="M35" s="3005"/>
      <c r="N35" s="2886"/>
      <c r="O35" s="3006"/>
      <c r="P35" s="2886"/>
      <c r="Q35" s="2886"/>
      <c r="R35" s="2886"/>
      <c r="S35" s="2886"/>
      <c r="T35" s="2886"/>
      <c r="U35" s="2886"/>
    </row>
    <row r="36" spans="1:21">
      <c r="A36" s="3243"/>
      <c r="B36" s="3256" t="s">
        <v>409</v>
      </c>
      <c r="C36" s="3257"/>
      <c r="D36" s="2984"/>
      <c r="E36" s="3258"/>
      <c r="F36" s="3258"/>
      <c r="G36" s="2922" t="str">
        <f>IF(B35="场地未平整","估价结果处理","")</f>
        <v/>
      </c>
      <c r="H36" s="3259"/>
      <c r="I36" s="3259"/>
      <c r="J36" s="2886"/>
      <c r="K36" s="3015"/>
      <c r="L36" s="3005"/>
      <c r="M36" s="3005"/>
      <c r="N36" s="2886"/>
      <c r="O36" s="3006"/>
      <c r="P36" s="2886"/>
      <c r="Q36" s="2886"/>
      <c r="R36" s="2886"/>
      <c r="S36" s="2886"/>
      <c r="T36" s="2886"/>
      <c r="U36" s="2886"/>
    </row>
    <row r="37" spans="1:21" ht="28.5">
      <c r="A37" s="3243"/>
      <c r="B37" s="3246" t="s">
        <v>410</v>
      </c>
      <c r="C37" s="2985" t="s">
        <v>411</v>
      </c>
      <c r="D37" s="2986"/>
      <c r="E37" s="2987"/>
      <c r="F37" s="2886"/>
      <c r="G37" s="2886"/>
      <c r="H37" s="2886"/>
      <c r="I37" s="3009"/>
      <c r="J37" s="2886"/>
      <c r="K37" s="3015"/>
      <c r="L37" s="2886"/>
      <c r="M37" s="2886"/>
      <c r="N37" s="2886"/>
      <c r="O37" s="2886"/>
      <c r="P37" s="2886"/>
      <c r="Q37" s="2886"/>
      <c r="R37" s="2886"/>
      <c r="S37" s="2886"/>
      <c r="T37" s="2886"/>
      <c r="U37" s="2886"/>
    </row>
    <row r="38" spans="1:21">
      <c r="A38" s="3243"/>
      <c r="B38" s="3247"/>
      <c r="C38" s="2899" t="s">
        <v>412</v>
      </c>
      <c r="D38" s="2988">
        <f>ROUNDDOWN(MIN(('数据-取费表'!$B$2-D37)/365,D34),1)</f>
        <v>120.1</v>
      </c>
      <c r="E38" s="2989" t="s">
        <v>413</v>
      </c>
      <c r="F38" s="2886"/>
      <c r="G38" s="2886"/>
      <c r="H38" s="2886"/>
      <c r="I38" s="3009"/>
      <c r="J38" s="2886"/>
      <c r="K38" s="3015"/>
      <c r="L38" s="2886"/>
      <c r="M38" s="2886"/>
      <c r="N38" s="2886"/>
      <c r="O38" s="2886"/>
      <c r="P38" s="2886"/>
      <c r="Q38" s="2886"/>
      <c r="R38" s="2886"/>
      <c r="S38" s="2886"/>
      <c r="T38" s="2886"/>
      <c r="U38" s="2886"/>
    </row>
    <row r="39" spans="1:21">
      <c r="A39" s="3244"/>
      <c r="B39" s="3248"/>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414</v>
      </c>
      <c r="B40" s="2991"/>
      <c r="C40" s="2991"/>
      <c r="D40" s="2991"/>
      <c r="E40" s="2991"/>
      <c r="F40" s="2991"/>
      <c r="G40" s="2991"/>
      <c r="H40" s="2991"/>
      <c r="I40" s="3009"/>
      <c r="J40" s="2886"/>
      <c r="K40" s="3003">
        <f>COUNTIF(B40:H40,"——")</f>
        <v>0</v>
      </c>
      <c r="L40" s="2921" t="s">
        <v>415</v>
      </c>
      <c r="M40" s="3002" t="s">
        <v>416</v>
      </c>
      <c r="N40" s="3002" t="s">
        <v>288</v>
      </c>
      <c r="O40" s="3002" t="s">
        <v>280</v>
      </c>
      <c r="P40" s="3002" t="s">
        <v>270</v>
      </c>
      <c r="Q40" s="3002" t="s">
        <v>259</v>
      </c>
      <c r="R40" s="3002" t="s">
        <v>247</v>
      </c>
      <c r="S40" s="3241" t="s">
        <v>417</v>
      </c>
      <c r="T40" s="3024" t="str">
        <f>NUMBERSTRING(7-K40,1)&amp;"通"</f>
        <v>七通</v>
      </c>
      <c r="U40" s="2886"/>
    </row>
    <row r="41" spans="1:21">
      <c r="A41" s="2889"/>
      <c r="B41" s="3242" t="s">
        <v>418</v>
      </c>
      <c r="C41" s="3242"/>
      <c r="D41" s="3242"/>
      <c r="E41" s="3242"/>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41"/>
      <c r="T41" s="2924" t="str">
        <f>IF(T40="一通",L41,IF(T40="二通",M41,IF(T40="三通",N41,IF(T40="四通",O41,IF(T40="五通",P41,IF(T40="六通",Q41,R41))))))</f>
        <v>、、、、、、</v>
      </c>
      <c r="U41" s="2886"/>
    </row>
    <row r="42" spans="1:21">
      <c r="A42" s="2993"/>
      <c r="B42" s="2928" t="s">
        <v>371</v>
      </c>
      <c r="C42" s="2928" t="s">
        <v>372</v>
      </c>
      <c r="D42" s="2928" t="s">
        <v>370</v>
      </c>
      <c r="E42" s="2921" t="s">
        <v>164</v>
      </c>
      <c r="F42" s="2994"/>
      <c r="G42" s="2886"/>
      <c r="H42" s="2886"/>
      <c r="I42" s="3009"/>
      <c r="J42" s="2886"/>
      <c r="K42" s="3007"/>
      <c r="L42" s="3005"/>
      <c r="M42" s="3005"/>
      <c r="N42" s="2886"/>
      <c r="O42" s="3006"/>
      <c r="P42" s="2886"/>
      <c r="Q42" s="2886"/>
      <c r="R42" s="2886"/>
      <c r="S42" s="2886"/>
      <c r="T42" s="2886"/>
      <c r="U42" s="2886"/>
    </row>
    <row r="43" spans="1:21">
      <c r="A43" s="2995" t="s">
        <v>217</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419</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420</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421</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422</v>
      </c>
      <c r="B48" s="2929" t="s">
        <v>423</v>
      </c>
      <c r="C48" s="2929" t="s">
        <v>424</v>
      </c>
      <c r="D48" s="2929" t="s">
        <v>425</v>
      </c>
      <c r="E48" s="2929" t="s">
        <v>426</v>
      </c>
      <c r="F48" s="2929" t="s">
        <v>427</v>
      </c>
      <c r="G48" s="2929" t="s">
        <v>428</v>
      </c>
      <c r="H48" s="2929" t="s">
        <v>429</v>
      </c>
      <c r="I48" s="2929" t="s">
        <v>430</v>
      </c>
      <c r="J48" s="3020" t="s">
        <v>431</v>
      </c>
      <c r="K48" s="2928" t="s">
        <v>432</v>
      </c>
      <c r="L48" s="2928" t="s">
        <v>433</v>
      </c>
      <c r="M48" s="2928" t="s">
        <v>434</v>
      </c>
      <c r="N48" s="2929" t="s">
        <v>435</v>
      </c>
      <c r="O48" s="2929" t="s">
        <v>436</v>
      </c>
      <c r="P48" s="2929" t="s">
        <v>437</v>
      </c>
      <c r="Q48" s="2921" t="s">
        <v>438</v>
      </c>
      <c r="R48" s="2921" t="s">
        <v>439</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7" type="noConversion"/>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J13" activePane="bottomRight" state="frozen"/>
      <selection pane="topRight"/>
      <selection pane="bottomLeft"/>
      <selection pane="bottomRight" activeCell="L23" sqref="L23"/>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customWidth="1"/>
    <col min="11" max="11" width="11" style="2765" customWidth="1"/>
    <col min="12" max="12" width="9.5" style="2765" customWidth="1"/>
    <col min="13" max="13" width="10.75" style="2765" customWidth="1"/>
    <col min="14" max="14" width="9.5" style="2765" customWidth="1"/>
    <col min="15" max="15" width="9.875" style="2765" customWidth="1"/>
    <col min="16" max="16" width="9.75" style="2765" customWidth="1"/>
    <col min="17" max="17" width="10.375" style="2765" customWidth="1"/>
    <col min="18" max="18" width="9.25" style="2765" customWidth="1"/>
    <col min="19" max="19" width="10.875" style="2765" customWidth="1"/>
    <col min="20" max="21" width="10.75" style="2765" customWidth="1"/>
    <col min="22" max="22" width="10.875" style="2765" customWidth="1"/>
    <col min="23" max="27" width="10.75" style="2765" customWidth="1"/>
    <col min="28" max="28" width="10.875" style="2765" customWidth="1"/>
    <col min="29" max="29" width="11" style="2765" customWidth="1"/>
    <col min="30" max="30" width="10" style="2765" customWidth="1"/>
    <col min="31" max="31" width="9.75" style="2765" customWidth="1"/>
    <col min="32" max="45" width="9.5" style="2765" customWidth="1"/>
    <col min="46" max="46" width="10.37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440</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441</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381" customFormat="1" ht="24">
      <c r="A2" s="321" t="s">
        <v>442</v>
      </c>
      <c r="B2" s="321" t="s">
        <v>443</v>
      </c>
      <c r="C2" s="321" t="s">
        <v>444</v>
      </c>
      <c r="D2" s="2768"/>
      <c r="E2" s="2272"/>
      <c r="F2" s="2266"/>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445</v>
      </c>
      <c r="AZ2" s="2852" t="s">
        <v>446</v>
      </c>
      <c r="BA2" s="2853" t="s">
        <v>447</v>
      </c>
      <c r="BB2" s="2768"/>
      <c r="BC2" s="2768"/>
      <c r="BD2" s="2768"/>
      <c r="BE2" s="2768"/>
      <c r="BF2" s="2768"/>
      <c r="BG2" s="2768"/>
      <c r="BH2" s="2768"/>
      <c r="BI2" s="2768"/>
      <c r="BJ2" s="2768"/>
      <c r="BK2" s="2768"/>
      <c r="BL2" s="2768"/>
      <c r="BM2" s="2768"/>
      <c r="BN2" s="2768"/>
      <c r="BO2" s="2768"/>
      <c r="BP2" s="2768"/>
      <c r="BQ2" s="2768"/>
      <c r="BR2" s="2768"/>
      <c r="BS2" s="2768"/>
      <c r="BT2" s="2768"/>
    </row>
    <row r="3" spans="1:72" s="381" customFormat="1" ht="12.75">
      <c r="A3" s="2769">
        <v>110836.2</v>
      </c>
      <c r="B3" s="2770">
        <f>IF(C3="否",G5-AT5,G5)</f>
        <v>524902.89999999991</v>
      </c>
      <c r="C3" s="2771" t="s">
        <v>448</v>
      </c>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381" customFormat="1" ht="12.75">
      <c r="A5" s="157" t="s">
        <v>449</v>
      </c>
      <c r="B5" s="264"/>
      <c r="C5" s="264"/>
      <c r="D5" s="2187"/>
      <c r="E5" s="2775" t="s">
        <v>138</v>
      </c>
      <c r="F5" s="2775">
        <f>SUM(F13:F572)</f>
        <v>0</v>
      </c>
      <c r="G5" s="2775">
        <f>SUM(G13:G572)</f>
        <v>524902.89999999991</v>
      </c>
      <c r="H5" s="2775">
        <f t="shared" ref="H5:AT5" si="0">SUM(H13:H641)</f>
        <v>524379.19999999995</v>
      </c>
      <c r="I5" s="2775">
        <f t="shared" si="0"/>
        <v>30674.760000000002</v>
      </c>
      <c r="J5" s="2775">
        <f t="shared" si="0"/>
        <v>0</v>
      </c>
      <c r="K5" s="2775">
        <f t="shared" si="0"/>
        <v>151484.87</v>
      </c>
      <c r="L5" s="2775">
        <f t="shared" si="0"/>
        <v>0</v>
      </c>
      <c r="M5" s="2775">
        <f t="shared" si="0"/>
        <v>108103.09</v>
      </c>
      <c r="N5" s="2775">
        <f t="shared" si="0"/>
        <v>0</v>
      </c>
      <c r="O5" s="2775">
        <f t="shared" si="0"/>
        <v>125369.60000000001</v>
      </c>
      <c r="P5" s="2775">
        <f t="shared" si="0"/>
        <v>0</v>
      </c>
      <c r="Q5" s="2775">
        <f t="shared" si="0"/>
        <v>108746.88</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523.70000000000005</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523.70000000000005</v>
      </c>
      <c r="AM5" s="2775">
        <f t="shared" si="0"/>
        <v>0</v>
      </c>
      <c r="AN5" s="2775">
        <f t="shared" si="0"/>
        <v>0</v>
      </c>
      <c r="AO5" s="2775">
        <f t="shared" si="0"/>
        <v>0</v>
      </c>
      <c r="AP5" s="2775">
        <f t="shared" si="0"/>
        <v>0</v>
      </c>
      <c r="AQ5" s="2775">
        <f t="shared" si="0"/>
        <v>0</v>
      </c>
      <c r="AR5" s="2775">
        <f t="shared" si="0"/>
        <v>0</v>
      </c>
      <c r="AS5" s="2775">
        <f t="shared" si="0"/>
        <v>0</v>
      </c>
      <c r="AT5" s="2775">
        <f t="shared" si="0"/>
        <v>0</v>
      </c>
      <c r="AU5" s="2076"/>
      <c r="AV5" s="157" t="s">
        <v>449</v>
      </c>
      <c r="AW5" s="264"/>
      <c r="AX5" s="264"/>
      <c r="AY5" s="2858" t="s">
        <v>138</v>
      </c>
      <c r="AZ5" s="2859">
        <f t="shared" ref="AZ5:BT5" si="1">SUM(AZ13:AZ641)</f>
        <v>524902.89999999991</v>
      </c>
      <c r="BA5" s="2859">
        <f t="shared" si="1"/>
        <v>524379.19999999995</v>
      </c>
      <c r="BB5" s="2859">
        <f t="shared" si="1"/>
        <v>30674.760000000002</v>
      </c>
      <c r="BC5" s="2859">
        <f t="shared" si="1"/>
        <v>151484.87</v>
      </c>
      <c r="BD5" s="2859">
        <f t="shared" si="1"/>
        <v>108103.09</v>
      </c>
      <c r="BE5" s="2859">
        <f t="shared" si="1"/>
        <v>125369.60000000001</v>
      </c>
      <c r="BF5" s="2859">
        <f t="shared" si="1"/>
        <v>108746.88</v>
      </c>
      <c r="BG5" s="2859">
        <f t="shared" si="1"/>
        <v>0</v>
      </c>
      <c r="BH5" s="2859">
        <f t="shared" si="1"/>
        <v>0</v>
      </c>
      <c r="BI5" s="2859">
        <f t="shared" si="1"/>
        <v>0</v>
      </c>
      <c r="BJ5" s="2859">
        <f t="shared" si="1"/>
        <v>0</v>
      </c>
      <c r="BK5" s="2859">
        <f t="shared" si="1"/>
        <v>0</v>
      </c>
      <c r="BL5" s="2859">
        <f t="shared" si="1"/>
        <v>523.70000000000005</v>
      </c>
      <c r="BM5" s="2859">
        <f t="shared" si="1"/>
        <v>0</v>
      </c>
      <c r="BN5" s="2859">
        <f t="shared" si="1"/>
        <v>0</v>
      </c>
      <c r="BO5" s="2859">
        <f t="shared" si="1"/>
        <v>0</v>
      </c>
      <c r="BP5" s="2859">
        <f t="shared" si="1"/>
        <v>0</v>
      </c>
      <c r="BQ5" s="2859">
        <f t="shared" si="1"/>
        <v>523.70000000000005</v>
      </c>
      <c r="BR5" s="2859">
        <f t="shared" si="1"/>
        <v>0</v>
      </c>
      <c r="BS5" s="2859">
        <f t="shared" si="1"/>
        <v>0</v>
      </c>
      <c r="BT5" s="2868">
        <f t="shared" si="1"/>
        <v>0</v>
      </c>
    </row>
    <row r="6" spans="1:72" s="2762" customFormat="1" ht="12.75">
      <c r="A6" s="157" t="s">
        <v>450</v>
      </c>
      <c r="B6" s="2776"/>
      <c r="C6" s="2776"/>
      <c r="D6" s="2777"/>
      <c r="E6" s="2775">
        <f>H6+AC6+AT6</f>
        <v>110836.21</v>
      </c>
      <c r="F6" s="2775" t="s">
        <v>138</v>
      </c>
      <c r="G6" s="2775" t="s">
        <v>138</v>
      </c>
      <c r="H6" s="2778">
        <f>SUMIF(I$12:AB$12,"总值",I6:AB6)</f>
        <v>110725.63</v>
      </c>
      <c r="I6" s="2775">
        <f t="shared" ref="I6:AB6" si="2">ROUND($A$3*I5/$B$3,2)</f>
        <v>6477.15</v>
      </c>
      <c r="J6" s="2775">
        <f t="shared" si="2"/>
        <v>0</v>
      </c>
      <c r="K6" s="2775">
        <f t="shared" si="2"/>
        <v>31986.880000000001</v>
      </c>
      <c r="L6" s="2775">
        <f t="shared" si="2"/>
        <v>0</v>
      </c>
      <c r="M6" s="2775">
        <f t="shared" si="2"/>
        <v>22826.58</v>
      </c>
      <c r="N6" s="2775">
        <f t="shared" si="2"/>
        <v>0</v>
      </c>
      <c r="O6" s="2775">
        <f t="shared" si="2"/>
        <v>26472.5</v>
      </c>
      <c r="P6" s="2775">
        <f t="shared" si="2"/>
        <v>0</v>
      </c>
      <c r="Q6" s="2775">
        <f t="shared" si="2"/>
        <v>22962.52</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110.58</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110.58</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157" t="s">
        <v>450</v>
      </c>
      <c r="AW6" s="2776"/>
      <c r="AX6" s="2776"/>
      <c r="AY6" s="2860">
        <f>IF(AY3&gt;0,AY3,ROUND($A$3*AZ5/$B$3,2))</f>
        <v>110836.2</v>
      </c>
      <c r="AZ6" s="2775" t="s">
        <v>138</v>
      </c>
      <c r="BA6" s="2775">
        <f>ROUND($AY$6*BA5/$AZ$5,2)</f>
        <v>110725.62</v>
      </c>
      <c r="BB6" s="2775">
        <f>ROUND($AY$6*BB5/$AZ$5,2)</f>
        <v>6477.15</v>
      </c>
      <c r="BC6" s="2775">
        <f t="shared" ref="BC6:BH6" si="4">ROUND($AY$6*BC5/$AZ$5,2)</f>
        <v>31986.880000000001</v>
      </c>
      <c r="BD6" s="2775">
        <f t="shared" si="4"/>
        <v>22826.58</v>
      </c>
      <c r="BE6" s="2775">
        <f t="shared" si="4"/>
        <v>26472.5</v>
      </c>
      <c r="BF6" s="2775">
        <f t="shared" si="4"/>
        <v>22962.52</v>
      </c>
      <c r="BG6" s="2775">
        <f t="shared" si="4"/>
        <v>0</v>
      </c>
      <c r="BH6" s="2775">
        <f t="shared" si="4"/>
        <v>0</v>
      </c>
      <c r="BI6" s="2775">
        <f t="shared" ref="BI6:BT6" si="5">ROUND($AY$6*BI5/$AZ$5,2)</f>
        <v>0</v>
      </c>
      <c r="BJ6" s="2775">
        <f t="shared" si="5"/>
        <v>0</v>
      </c>
      <c r="BK6" s="2775">
        <f t="shared" si="5"/>
        <v>0</v>
      </c>
      <c r="BL6" s="2775">
        <f t="shared" si="5"/>
        <v>110.58</v>
      </c>
      <c r="BM6" s="2775">
        <f t="shared" si="5"/>
        <v>0</v>
      </c>
      <c r="BN6" s="2775">
        <f t="shared" si="5"/>
        <v>0</v>
      </c>
      <c r="BO6" s="2775">
        <f t="shared" si="5"/>
        <v>0</v>
      </c>
      <c r="BP6" s="2775">
        <f t="shared" si="5"/>
        <v>0</v>
      </c>
      <c r="BQ6" s="2775">
        <f t="shared" si="5"/>
        <v>110.58</v>
      </c>
      <c r="BR6" s="2775">
        <f t="shared" si="5"/>
        <v>0</v>
      </c>
      <c r="BS6" s="2775">
        <f t="shared" si="5"/>
        <v>0</v>
      </c>
      <c r="BT6" s="2869">
        <f t="shared" si="5"/>
        <v>0</v>
      </c>
    </row>
    <row r="7" spans="1:72" s="381" customFormat="1" ht="24.75">
      <c r="A7" s="2779" t="s">
        <v>451</v>
      </c>
      <c r="B7" s="2779" t="s">
        <v>452</v>
      </c>
      <c r="C7" s="2779" t="s">
        <v>453</v>
      </c>
      <c r="D7" s="2779" t="s">
        <v>454</v>
      </c>
      <c r="E7" s="2779" t="s">
        <v>450</v>
      </c>
      <c r="F7" s="2779" t="s">
        <v>455</v>
      </c>
      <c r="G7" s="2780" t="s">
        <v>456</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457</v>
      </c>
      <c r="AV7" s="2247" t="s">
        <v>451</v>
      </c>
      <c r="AW7" s="2266" t="s">
        <v>452</v>
      </c>
      <c r="AX7" s="2247" t="s">
        <v>453</v>
      </c>
      <c r="AY7" s="264" t="s">
        <v>458</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384" customFormat="1" ht="24">
      <c r="A8" s="2782"/>
      <c r="B8" s="2782"/>
      <c r="C8" s="2782"/>
      <c r="D8" s="2782"/>
      <c r="E8" s="2782"/>
      <c r="F8" s="2782"/>
      <c r="G8" s="2783" t="s">
        <v>459</v>
      </c>
      <c r="H8" s="2784" t="s">
        <v>460</v>
      </c>
      <c r="I8" s="2808"/>
      <c r="J8" s="86"/>
      <c r="K8" s="86"/>
      <c r="L8" s="86"/>
      <c r="M8" s="86"/>
      <c r="N8" s="86"/>
      <c r="O8" s="86"/>
      <c r="P8" s="86"/>
      <c r="Q8" s="86"/>
      <c r="R8" s="86"/>
      <c r="S8" s="86"/>
      <c r="T8" s="86"/>
      <c r="U8" s="86"/>
      <c r="V8" s="2820"/>
      <c r="W8" s="86"/>
      <c r="X8" s="86"/>
      <c r="Y8" s="86"/>
      <c r="Z8" s="86"/>
      <c r="AA8" s="2820"/>
      <c r="AB8" s="2822"/>
      <c r="AC8" s="1990" t="s">
        <v>461</v>
      </c>
      <c r="AD8" s="2823"/>
      <c r="AE8" s="2824"/>
      <c r="AF8" s="86"/>
      <c r="AG8" s="86"/>
      <c r="AH8" s="86"/>
      <c r="AI8" s="86"/>
      <c r="AJ8" s="86"/>
      <c r="AK8" s="86"/>
      <c r="AL8" s="86"/>
      <c r="AM8" s="86"/>
      <c r="AN8" s="86"/>
      <c r="AO8" s="86"/>
      <c r="AP8" s="86"/>
      <c r="AQ8" s="86"/>
      <c r="AR8" s="86"/>
      <c r="AS8" s="378"/>
      <c r="AT8" s="2837" t="s">
        <v>462</v>
      </c>
      <c r="AU8" s="2782"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2.75">
      <c r="A9" s="2782"/>
      <c r="B9" s="2782"/>
      <c r="C9" s="2782"/>
      <c r="D9" s="2782"/>
      <c r="E9" s="2782"/>
      <c r="F9" s="2782"/>
      <c r="G9" s="32"/>
      <c r="H9" s="2785" t="s">
        <v>464</v>
      </c>
      <c r="I9" s="2809" t="s">
        <v>465</v>
      </c>
      <c r="J9" s="1990"/>
      <c r="K9" s="2809" t="s">
        <v>465</v>
      </c>
      <c r="L9" s="1990"/>
      <c r="M9" s="2809" t="s">
        <v>465</v>
      </c>
      <c r="N9" s="1990"/>
      <c r="O9" s="2810" t="s">
        <v>466</v>
      </c>
      <c r="P9" s="1990"/>
      <c r="Q9" s="2810" t="s">
        <v>465</v>
      </c>
      <c r="R9" s="1990"/>
      <c r="S9" s="2810"/>
      <c r="T9" s="1990"/>
      <c r="U9" s="2810"/>
      <c r="V9" s="1990"/>
      <c r="W9" s="2810"/>
      <c r="X9" s="2821"/>
      <c r="Y9" s="2810"/>
      <c r="Z9" s="1990"/>
      <c r="AA9" s="2810"/>
      <c r="AB9" s="1990"/>
      <c r="AC9" s="2783" t="s">
        <v>464</v>
      </c>
      <c r="AD9" s="157" t="s">
        <v>467</v>
      </c>
      <c r="AE9" s="1070"/>
      <c r="AF9" s="157" t="s">
        <v>468</v>
      </c>
      <c r="AG9" s="1070"/>
      <c r="AH9" s="157" t="s">
        <v>467</v>
      </c>
      <c r="AI9" s="1070"/>
      <c r="AJ9" s="157" t="s">
        <v>468</v>
      </c>
      <c r="AK9" s="1070"/>
      <c r="AL9" s="157" t="s">
        <v>467</v>
      </c>
      <c r="AM9" s="1070"/>
      <c r="AN9" s="157" t="s">
        <v>468</v>
      </c>
      <c r="AO9" s="1070"/>
      <c r="AP9" s="2838" t="s">
        <v>467</v>
      </c>
      <c r="AQ9" s="2839"/>
      <c r="AR9" s="2838" t="s">
        <v>468</v>
      </c>
      <c r="AS9" s="2840"/>
      <c r="AT9" s="2782"/>
      <c r="AU9" s="2782" t="s">
        <v>469</v>
      </c>
      <c r="AV9" s="32"/>
      <c r="AW9" s="2272"/>
      <c r="AX9" s="32"/>
      <c r="AY9" s="2248"/>
      <c r="AZ9" s="2248" t="s">
        <v>459</v>
      </c>
      <c r="BA9" s="2861" t="s">
        <v>470</v>
      </c>
      <c r="BB9" s="2862"/>
      <c r="BC9" s="105"/>
      <c r="BD9" s="105"/>
      <c r="BE9" s="105"/>
      <c r="BF9" s="105"/>
      <c r="BG9" s="105"/>
      <c r="BH9" s="105"/>
      <c r="BI9" s="105"/>
      <c r="BJ9" s="105"/>
      <c r="BK9" s="2867"/>
      <c r="BL9" s="157" t="s">
        <v>471</v>
      </c>
      <c r="BM9" s="86"/>
      <c r="BN9" s="2808"/>
      <c r="BO9" s="86"/>
      <c r="BP9" s="86"/>
      <c r="BQ9" s="86"/>
      <c r="BR9" s="86"/>
      <c r="BS9" s="86"/>
      <c r="BT9" s="84"/>
    </row>
    <row r="10" spans="1:72" s="384" customFormat="1" ht="12.75">
      <c r="A10" s="2782"/>
      <c r="B10" s="2782"/>
      <c r="C10" s="2782"/>
      <c r="D10" s="2782"/>
      <c r="E10" s="2782"/>
      <c r="F10" s="2782"/>
      <c r="G10" s="32"/>
      <c r="H10" s="2248"/>
      <c r="I10" s="2809" t="s">
        <v>371</v>
      </c>
      <c r="J10" s="1990"/>
      <c r="K10" s="2811" t="s">
        <v>372</v>
      </c>
      <c r="L10" s="1990"/>
      <c r="M10" s="2811" t="s">
        <v>372</v>
      </c>
      <c r="N10" s="1990"/>
      <c r="O10" s="2812" t="s">
        <v>373</v>
      </c>
      <c r="P10" s="1990"/>
      <c r="Q10" s="2812" t="s">
        <v>371</v>
      </c>
      <c r="R10" s="1990"/>
      <c r="S10" s="2812"/>
      <c r="T10" s="1990"/>
      <c r="U10" s="2812"/>
      <c r="V10" s="1990"/>
      <c r="W10" s="2812"/>
      <c r="X10" s="1990"/>
      <c r="Y10" s="2812"/>
      <c r="Z10" s="1990"/>
      <c r="AA10" s="2812"/>
      <c r="AB10" s="1990"/>
      <c r="AC10" s="32"/>
      <c r="AD10" s="2366" t="s">
        <v>231</v>
      </c>
      <c r="AE10" s="2825"/>
      <c r="AF10" s="2366" t="s">
        <v>231</v>
      </c>
      <c r="AG10" s="2825"/>
      <c r="AH10" s="2366" t="s">
        <v>472</v>
      </c>
      <c r="AI10" s="2825"/>
      <c r="AJ10" s="157" t="s">
        <v>473</v>
      </c>
      <c r="AK10" s="2831"/>
      <c r="AL10" s="2366" t="s">
        <v>474</v>
      </c>
      <c r="AM10" s="2832"/>
      <c r="AN10" s="157" t="s">
        <v>475</v>
      </c>
      <c r="AO10" s="1070"/>
      <c r="AP10" s="2838" t="s">
        <v>476</v>
      </c>
      <c r="AQ10" s="2839"/>
      <c r="AR10" s="2838" t="s">
        <v>476</v>
      </c>
      <c r="AS10" s="2839"/>
      <c r="AT10" s="2782"/>
      <c r="AU10" s="2782"/>
      <c r="AV10" s="32"/>
      <c r="AW10" s="2272"/>
      <c r="AX10" s="32"/>
      <c r="AY10" s="2248"/>
      <c r="AZ10" s="2248"/>
      <c r="BA10" s="2786" t="s">
        <v>464</v>
      </c>
      <c r="BB10" s="2863"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2.75">
      <c r="A11" s="2782"/>
      <c r="B11" s="2782"/>
      <c r="C11" s="2782"/>
      <c r="D11" s="2782"/>
      <c r="E11" s="2782"/>
      <c r="F11" s="2782"/>
      <c r="G11" s="32"/>
      <c r="H11" s="2786"/>
      <c r="I11" s="2813" t="s">
        <v>477</v>
      </c>
      <c r="J11" s="2814"/>
      <c r="K11" s="2813" t="s">
        <v>478</v>
      </c>
      <c r="L11" s="2814"/>
      <c r="M11" s="2815" t="s">
        <v>479</v>
      </c>
      <c r="N11" s="2814"/>
      <c r="O11" s="2815"/>
      <c r="P11" s="2814"/>
      <c r="Q11" s="2815" t="s">
        <v>478</v>
      </c>
      <c r="R11" s="2814"/>
      <c r="S11" s="2815"/>
      <c r="T11" s="2814"/>
      <c r="U11" s="2815"/>
      <c r="V11" s="2814"/>
      <c r="W11" s="2815"/>
      <c r="X11" s="2814"/>
      <c r="Y11" s="2815"/>
      <c r="Z11" s="2814"/>
      <c r="AA11" s="2815"/>
      <c r="AB11" s="2814"/>
      <c r="AC11" s="32"/>
      <c r="AD11" s="2826" t="s">
        <v>480</v>
      </c>
      <c r="AE11" s="378"/>
      <c r="AF11" s="2826" t="s">
        <v>480</v>
      </c>
      <c r="AG11" s="378"/>
      <c r="AH11" s="2826" t="s">
        <v>481</v>
      </c>
      <c r="AI11" s="2833"/>
      <c r="AJ11" s="2826" t="s">
        <v>481</v>
      </c>
      <c r="AK11" s="2831"/>
      <c r="AL11" s="320"/>
      <c r="AM11" s="378"/>
      <c r="AN11" s="320"/>
      <c r="AO11" s="378"/>
      <c r="AP11" s="2841"/>
      <c r="AQ11" s="2842"/>
      <c r="AR11" s="2841"/>
      <c r="AS11" s="2842"/>
      <c r="AT11" s="2272"/>
      <c r="AU11" s="2782"/>
      <c r="AV11" s="32"/>
      <c r="AW11" s="2272"/>
      <c r="AX11" s="32"/>
      <c r="AY11" s="2248"/>
      <c r="AZ11" s="2248"/>
      <c r="BA11" s="2248"/>
      <c r="BB11" s="2822" t="str">
        <f>I10</f>
        <v>商业</v>
      </c>
      <c r="BC11" s="2822" t="str">
        <f>K10</f>
        <v>办公</v>
      </c>
      <c r="BD11" s="2822" t="str">
        <f>M10</f>
        <v>办公</v>
      </c>
      <c r="BE11" s="2822" t="str">
        <f>O10</f>
        <v>车库</v>
      </c>
      <c r="BF11" s="2822" t="str">
        <f>Q10</f>
        <v>商业</v>
      </c>
      <c r="BG11" s="2822">
        <f>S10</f>
        <v>0</v>
      </c>
      <c r="BH11" s="2822">
        <f>U10</f>
        <v>0</v>
      </c>
      <c r="BI11" s="2822">
        <f>W10</f>
        <v>0</v>
      </c>
      <c r="BJ11" s="2822">
        <f>Y10</f>
        <v>0</v>
      </c>
      <c r="BK11" s="2822">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2.75">
      <c r="A12" s="2787"/>
      <c r="B12" s="2787"/>
      <c r="C12" s="2787"/>
      <c r="D12" s="2787"/>
      <c r="E12" s="2787"/>
      <c r="F12" s="2787"/>
      <c r="G12" s="2256"/>
      <c r="H12" s="2788"/>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7"/>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3" t="s">
        <v>482</v>
      </c>
      <c r="AQ12" s="2843" t="s">
        <v>483</v>
      </c>
      <c r="AR12" s="2844" t="s">
        <v>482</v>
      </c>
      <c r="AS12" s="2845" t="s">
        <v>483</v>
      </c>
      <c r="AT12" s="2846"/>
      <c r="AU12" s="2787"/>
      <c r="AV12" s="2252"/>
      <c r="AW12" s="2266"/>
      <c r="AX12" s="2252"/>
      <c r="AY12" s="2864"/>
      <c r="AZ12" s="2248"/>
      <c r="BA12" s="2786"/>
      <c r="BB12" s="79" t="str">
        <f>I11</f>
        <v>底商</v>
      </c>
      <c r="BC12" s="2865" t="str">
        <f>K11</f>
        <v>公寓</v>
      </c>
      <c r="BD12" s="2865" t="str">
        <f>M11</f>
        <v>LOFT住宅</v>
      </c>
      <c r="BE12" s="2822">
        <f>O11</f>
        <v>0</v>
      </c>
      <c r="BF12" s="2822" t="str">
        <f>Q11</f>
        <v>公寓</v>
      </c>
      <c r="BG12" s="2822">
        <f>S11</f>
        <v>0</v>
      </c>
      <c r="BH12" s="2822">
        <f>U11</f>
        <v>0</v>
      </c>
      <c r="BI12" s="2822">
        <f>W11</f>
        <v>0</v>
      </c>
      <c r="BJ12" s="2822">
        <f>Y11</f>
        <v>0</v>
      </c>
      <c r="BK12" s="2822">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2.75">
      <c r="A13" s="2789"/>
      <c r="B13" s="2789"/>
      <c r="C13" s="2789"/>
      <c r="D13" s="2790" t="s">
        <v>484</v>
      </c>
      <c r="E13" s="2775">
        <f t="shared" ref="E13:E20" si="6">IF($C$3="是",ROUND($A$3*G13/$B$3,2),ROUND($A$3*(G13-AT13)/$B$3,2))</f>
        <v>110836.2</v>
      </c>
      <c r="F13" s="2791"/>
      <c r="G13" s="2792">
        <f t="shared" ref="G13:G20" si="7">H13+AC13+AT13</f>
        <v>524902.89999999991</v>
      </c>
      <c r="H13" s="2778">
        <f t="shared" ref="H13:H20" si="8">SUMIF(I$12:AB$12,"总值",I13:AB13)</f>
        <v>524379.19999999995</v>
      </c>
      <c r="I13" s="2816">
        <f>面积表!G23</f>
        <v>30674.760000000002</v>
      </c>
      <c r="J13" s="2816"/>
      <c r="K13" s="2816">
        <f>面积表!E22</f>
        <v>151484.87</v>
      </c>
      <c r="L13" s="2816"/>
      <c r="M13" s="2816">
        <f>面积表!F23</f>
        <v>108103.09</v>
      </c>
      <c r="N13" s="2817"/>
      <c r="O13" s="2817">
        <f>面积表!K21</f>
        <v>125369.60000000001</v>
      </c>
      <c r="P13" s="2817"/>
      <c r="Q13" s="2817">
        <f>面积表!D22</f>
        <v>108746.88</v>
      </c>
      <c r="R13" s="2817"/>
      <c r="S13" s="2817"/>
      <c r="T13" s="2817"/>
      <c r="U13" s="2817"/>
      <c r="V13" s="2817"/>
      <c r="W13" s="2817"/>
      <c r="X13" s="2817"/>
      <c r="Y13" s="2817"/>
      <c r="Z13" s="2817"/>
      <c r="AA13" s="2817"/>
      <c r="AB13" s="2817"/>
      <c r="AC13" s="2775">
        <f t="shared" ref="AC13:AC20" si="9">SUMIF(AD$12:AS$12,"总值",AD13:AS13)</f>
        <v>523.70000000000005</v>
      </c>
      <c r="AD13" s="2828"/>
      <c r="AE13" s="2828"/>
      <c r="AF13" s="2828"/>
      <c r="AG13" s="2828"/>
      <c r="AH13" s="2828"/>
      <c r="AI13" s="2828"/>
      <c r="AJ13" s="2828"/>
      <c r="AK13" s="2828"/>
      <c r="AL13" s="2828">
        <f>面积表!J23+面积表!H23</f>
        <v>523.70000000000005</v>
      </c>
      <c r="AM13" s="2828"/>
      <c r="AN13" s="2828"/>
      <c r="AO13" s="2828"/>
      <c r="AP13" s="2828"/>
      <c r="AQ13" s="2828"/>
      <c r="AR13" s="2828"/>
      <c r="AS13" s="2828"/>
      <c r="AT13" s="2847"/>
      <c r="AU13" s="2848"/>
      <c r="AV13" s="321">
        <f t="shared" ref="AV13:AX20" si="10">A13</f>
        <v>0</v>
      </c>
      <c r="AW13" s="321">
        <f t="shared" si="10"/>
        <v>0</v>
      </c>
      <c r="AX13" s="321">
        <f t="shared" si="10"/>
        <v>0</v>
      </c>
      <c r="AY13" s="2187">
        <f t="shared" ref="AY13:AY20" si="11">ROUND($AY$6*AZ13/$AZ$5,2)</f>
        <v>110836.2</v>
      </c>
      <c r="AZ13" s="2775">
        <f t="shared" ref="AZ13:AZ20" si="12">BA13+BL13</f>
        <v>524902.89999999991</v>
      </c>
      <c r="BA13" s="2775">
        <f t="shared" ref="BA13:BA20" si="13">SUM(BB13:BK13)</f>
        <v>524379.19999999995</v>
      </c>
      <c r="BB13" s="2775">
        <f t="shared" ref="BB13:BB20" si="14">IF($D13="是",I13-J13,0)</f>
        <v>30674.760000000002</v>
      </c>
      <c r="BC13" s="2775">
        <f t="shared" ref="BC13:BC20" si="15">IF($D13="是",K13-L13,0)</f>
        <v>151484.87</v>
      </c>
      <c r="BD13" s="2775">
        <f t="shared" ref="BD13:BD20" si="16">IF($D13="是",M13-N13,0)</f>
        <v>108103.09</v>
      </c>
      <c r="BE13" s="2775">
        <f t="shared" ref="BE13:BE20" si="17">IF($D13="是",O13-P13,0)</f>
        <v>125369.60000000001</v>
      </c>
      <c r="BF13" s="2775">
        <f t="shared" ref="BF13:BF20" si="18">IF($D13="是",Q13-R13,0)</f>
        <v>108746.88</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523.70000000000005</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523.70000000000005</v>
      </c>
      <c r="BR13" s="2775">
        <f t="shared" ref="BR13:BR20" si="30">IF($D13="是",AN13-AO13,0)</f>
        <v>0</v>
      </c>
      <c r="BS13" s="2775">
        <f t="shared" ref="BS13:BS20" si="31">IF($D13="是",AP13-AQ13,0)</f>
        <v>0</v>
      </c>
      <c r="BT13" s="2869">
        <f t="shared" ref="BT13:BT20" si="32">IF($D13="是",AR13-AS13,0)</f>
        <v>0</v>
      </c>
    </row>
    <row r="14" spans="1:72" s="381" customFormat="1" ht="12.75">
      <c r="A14" s="2789"/>
      <c r="B14" s="2789"/>
      <c r="C14" s="2793"/>
      <c r="D14" s="2790"/>
      <c r="E14" s="2775">
        <f t="shared" si="6"/>
        <v>0</v>
      </c>
      <c r="F14" s="2791"/>
      <c r="G14" s="2792">
        <f t="shared" si="7"/>
        <v>0</v>
      </c>
      <c r="H14" s="2778">
        <f t="shared" si="8"/>
        <v>0</v>
      </c>
      <c r="I14" s="2816"/>
      <c r="J14" s="2816"/>
      <c r="K14" s="2816"/>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321">
        <f t="shared" si="10"/>
        <v>0</v>
      </c>
      <c r="AW14" s="321">
        <f t="shared" si="10"/>
        <v>0</v>
      </c>
      <c r="AX14" s="321">
        <f t="shared" si="10"/>
        <v>0</v>
      </c>
      <c r="AY14" s="2187">
        <f t="shared" si="11"/>
        <v>0</v>
      </c>
      <c r="AZ14" s="2775">
        <f t="shared" si="12"/>
        <v>0</v>
      </c>
      <c r="BA14" s="2775">
        <f t="shared" si="13"/>
        <v>0</v>
      </c>
      <c r="BB14" s="2775">
        <f t="shared" si="14"/>
        <v>0</v>
      </c>
      <c r="BC14" s="2775">
        <f t="shared" si="15"/>
        <v>0</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381" customFormat="1" ht="12.75">
      <c r="A15" s="2789"/>
      <c r="B15" s="2789"/>
      <c r="C15" s="2793"/>
      <c r="D15" s="2790"/>
      <c r="E15" s="2775">
        <f t="shared" si="6"/>
        <v>0</v>
      </c>
      <c r="F15" s="2791"/>
      <c r="G15" s="2792">
        <f t="shared" si="7"/>
        <v>0</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321">
        <f t="shared" si="10"/>
        <v>0</v>
      </c>
      <c r="AW15" s="321">
        <f t="shared" si="10"/>
        <v>0</v>
      </c>
      <c r="AX15" s="321">
        <f t="shared" si="10"/>
        <v>0</v>
      </c>
      <c r="AY15" s="2187">
        <f t="shared" si="11"/>
        <v>0</v>
      </c>
      <c r="AZ15" s="2775">
        <f t="shared" si="12"/>
        <v>0</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381" customFormat="1" ht="12.75">
      <c r="A16" s="2789"/>
      <c r="B16" s="2789"/>
      <c r="C16" s="2793"/>
      <c r="D16" s="2790"/>
      <c r="E16" s="2775">
        <f t="shared" si="6"/>
        <v>0</v>
      </c>
      <c r="F16" s="2791"/>
      <c r="G16" s="2792">
        <f t="shared" si="7"/>
        <v>0</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321">
        <f t="shared" si="10"/>
        <v>0</v>
      </c>
      <c r="AW16" s="321">
        <f t="shared" si="10"/>
        <v>0</v>
      </c>
      <c r="AX16" s="321">
        <f t="shared" si="10"/>
        <v>0</v>
      </c>
      <c r="AY16" s="2187">
        <f t="shared" si="11"/>
        <v>0</v>
      </c>
      <c r="AZ16" s="2775">
        <f t="shared" si="12"/>
        <v>0</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381" customFormat="1" ht="12.75">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321">
        <f t="shared" si="10"/>
        <v>0</v>
      </c>
      <c r="AW17" s="321">
        <f t="shared" si="10"/>
        <v>0</v>
      </c>
      <c r="AX17" s="321">
        <f t="shared" si="10"/>
        <v>0</v>
      </c>
      <c r="AY17" s="2187">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711">
        <f t="shared" si="10"/>
        <v>0</v>
      </c>
      <c r="AW18" s="711">
        <f t="shared" si="10"/>
        <v>0</v>
      </c>
      <c r="AX18" s="711">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711">
        <f t="shared" si="10"/>
        <v>0</v>
      </c>
      <c r="AW19" s="711">
        <f t="shared" si="10"/>
        <v>0</v>
      </c>
      <c r="AX19" s="711">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711">
        <f t="shared" si="10"/>
        <v>0</v>
      </c>
      <c r="AW20" s="711">
        <f t="shared" si="10"/>
        <v>0</v>
      </c>
      <c r="AX20" s="711">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711">
        <f t="shared" ref="AV21:AV112" si="37">A21</f>
        <v>0</v>
      </c>
      <c r="AW21" s="711">
        <f t="shared" ref="AW21:AW112" si="38">B21</f>
        <v>0</v>
      </c>
      <c r="AX21" s="711">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711">
        <f t="shared" si="37"/>
        <v>0</v>
      </c>
      <c r="AW22" s="711">
        <f t="shared" si="38"/>
        <v>0</v>
      </c>
      <c r="AX22" s="711">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711">
        <f t="shared" si="37"/>
        <v>0</v>
      </c>
      <c r="AW23" s="711">
        <f t="shared" si="38"/>
        <v>0</v>
      </c>
      <c r="AX23" s="711">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711">
        <f t="shared" si="37"/>
        <v>0</v>
      </c>
      <c r="AW24" s="711">
        <f t="shared" si="38"/>
        <v>0</v>
      </c>
      <c r="AX24" s="711">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711">
        <f t="shared" si="37"/>
        <v>0</v>
      </c>
      <c r="AW25" s="711">
        <f t="shared" si="38"/>
        <v>0</v>
      </c>
      <c r="AX25" s="711">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711">
        <f t="shared" si="37"/>
        <v>0</v>
      </c>
      <c r="AW26" s="711">
        <f t="shared" si="38"/>
        <v>0</v>
      </c>
      <c r="AX26" s="711">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711">
        <f t="shared" si="37"/>
        <v>0</v>
      </c>
      <c r="AW27" s="711">
        <f t="shared" si="38"/>
        <v>0</v>
      </c>
      <c r="AX27" s="711">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711">
        <f t="shared" si="37"/>
        <v>0</v>
      </c>
      <c r="AW28" s="711">
        <f t="shared" si="38"/>
        <v>0</v>
      </c>
      <c r="AX28" s="711">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711">
        <f t="shared" si="37"/>
        <v>0</v>
      </c>
      <c r="AW29" s="711">
        <f t="shared" si="38"/>
        <v>0</v>
      </c>
      <c r="AX29" s="711">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711">
        <f t="shared" si="37"/>
        <v>0</v>
      </c>
      <c r="AW30" s="711">
        <f t="shared" si="38"/>
        <v>0</v>
      </c>
      <c r="AX30" s="711">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711">
        <f t="shared" si="37"/>
        <v>0</v>
      </c>
      <c r="AW31" s="711">
        <f t="shared" si="38"/>
        <v>0</v>
      </c>
      <c r="AX31" s="711">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711">
        <f t="shared" si="37"/>
        <v>0</v>
      </c>
      <c r="AW32" s="711">
        <f t="shared" si="38"/>
        <v>0</v>
      </c>
      <c r="AX32" s="711">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711">
        <f t="shared" si="37"/>
        <v>0</v>
      </c>
      <c r="AW33" s="711">
        <f t="shared" si="38"/>
        <v>0</v>
      </c>
      <c r="AX33" s="711">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711">
        <f t="shared" si="37"/>
        <v>0</v>
      </c>
      <c r="AW34" s="711">
        <f t="shared" si="38"/>
        <v>0</v>
      </c>
      <c r="AX34" s="711">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711">
        <f t="shared" si="37"/>
        <v>0</v>
      </c>
      <c r="AW35" s="711">
        <f t="shared" si="38"/>
        <v>0</v>
      </c>
      <c r="AX35" s="711">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711">
        <f t="shared" si="37"/>
        <v>0</v>
      </c>
      <c r="AW36" s="711">
        <f t="shared" si="38"/>
        <v>0</v>
      </c>
      <c r="AX36" s="711">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711">
        <f t="shared" si="37"/>
        <v>0</v>
      </c>
      <c r="AW37" s="711">
        <f t="shared" si="38"/>
        <v>0</v>
      </c>
      <c r="AX37" s="711">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711">
        <f t="shared" si="37"/>
        <v>0</v>
      </c>
      <c r="AW38" s="711">
        <f t="shared" si="38"/>
        <v>0</v>
      </c>
      <c r="AX38" s="711">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711">
        <f t="shared" si="37"/>
        <v>0</v>
      </c>
      <c r="AW39" s="711">
        <f t="shared" si="38"/>
        <v>0</v>
      </c>
      <c r="AX39" s="711">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711">
        <f t="shared" si="37"/>
        <v>0</v>
      </c>
      <c r="AW40" s="711">
        <f t="shared" si="38"/>
        <v>0</v>
      </c>
      <c r="AX40" s="711">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711">
        <f t="shared" si="37"/>
        <v>0</v>
      </c>
      <c r="AW41" s="711">
        <f t="shared" si="38"/>
        <v>0</v>
      </c>
      <c r="AX41" s="711">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711">
        <f t="shared" si="37"/>
        <v>0</v>
      </c>
      <c r="AW42" s="711">
        <f t="shared" si="38"/>
        <v>0</v>
      </c>
      <c r="AX42" s="711">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711">
        <f t="shared" si="37"/>
        <v>0</v>
      </c>
      <c r="AW43" s="711">
        <f t="shared" si="38"/>
        <v>0</v>
      </c>
      <c r="AX43" s="711">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711">
        <f t="shared" si="37"/>
        <v>0</v>
      </c>
      <c r="AW44" s="711">
        <f t="shared" si="38"/>
        <v>0</v>
      </c>
      <c r="AX44" s="711">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711">
        <f t="shared" si="37"/>
        <v>0</v>
      </c>
      <c r="AW45" s="711">
        <f t="shared" si="38"/>
        <v>0</v>
      </c>
      <c r="AX45" s="711">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711">
        <f t="shared" si="37"/>
        <v>0</v>
      </c>
      <c r="AW46" s="711">
        <f t="shared" si="38"/>
        <v>0</v>
      </c>
      <c r="AX46" s="711">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711">
        <f t="shared" si="37"/>
        <v>0</v>
      </c>
      <c r="AW47" s="711">
        <f t="shared" si="38"/>
        <v>0</v>
      </c>
      <c r="AX47" s="711">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711">
        <f t="shared" si="37"/>
        <v>0</v>
      </c>
      <c r="AW48" s="711">
        <f t="shared" si="38"/>
        <v>0</v>
      </c>
      <c r="AX48" s="711">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711">
        <f t="shared" si="37"/>
        <v>0</v>
      </c>
      <c r="AW49" s="711">
        <f t="shared" si="38"/>
        <v>0</v>
      </c>
      <c r="AX49" s="711">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711">
        <f t="shared" si="37"/>
        <v>0</v>
      </c>
      <c r="AW50" s="711">
        <f t="shared" si="38"/>
        <v>0</v>
      </c>
      <c r="AX50" s="711">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711">
        <f t="shared" si="37"/>
        <v>0</v>
      </c>
      <c r="AW51" s="711">
        <f t="shared" si="38"/>
        <v>0</v>
      </c>
      <c r="AX51" s="711">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711">
        <f t="shared" si="37"/>
        <v>0</v>
      </c>
      <c r="AW52" s="711">
        <f t="shared" si="38"/>
        <v>0</v>
      </c>
      <c r="AX52" s="711">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711">
        <f t="shared" si="37"/>
        <v>0</v>
      </c>
      <c r="AW53" s="711">
        <f t="shared" si="38"/>
        <v>0</v>
      </c>
      <c r="AX53" s="711">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711">
        <f t="shared" si="37"/>
        <v>0</v>
      </c>
      <c r="AW54" s="711">
        <f t="shared" si="38"/>
        <v>0</v>
      </c>
      <c r="AX54" s="711">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711">
        <f t="shared" si="37"/>
        <v>0</v>
      </c>
      <c r="AW55" s="711">
        <f t="shared" si="38"/>
        <v>0</v>
      </c>
      <c r="AX55" s="711">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711">
        <f t="shared" si="37"/>
        <v>0</v>
      </c>
      <c r="AW56" s="711">
        <f t="shared" si="38"/>
        <v>0</v>
      </c>
      <c r="AX56" s="711">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711">
        <f t="shared" si="37"/>
        <v>0</v>
      </c>
      <c r="AW57" s="711">
        <f t="shared" si="38"/>
        <v>0</v>
      </c>
      <c r="AX57" s="711">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711">
        <f t="shared" si="37"/>
        <v>0</v>
      </c>
      <c r="AW58" s="711">
        <f t="shared" si="38"/>
        <v>0</v>
      </c>
      <c r="AX58" s="711">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711">
        <f t="shared" si="37"/>
        <v>0</v>
      </c>
      <c r="AW59" s="711">
        <f t="shared" si="38"/>
        <v>0</v>
      </c>
      <c r="AX59" s="711">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711">
        <f t="shared" si="37"/>
        <v>0</v>
      </c>
      <c r="AW60" s="711">
        <f t="shared" si="38"/>
        <v>0</v>
      </c>
      <c r="AX60" s="711">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711">
        <f t="shared" si="37"/>
        <v>0</v>
      </c>
      <c r="AW61" s="711">
        <f t="shared" si="38"/>
        <v>0</v>
      </c>
      <c r="AX61" s="711">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711">
        <f t="shared" si="37"/>
        <v>0</v>
      </c>
      <c r="AW62" s="711">
        <f t="shared" si="38"/>
        <v>0</v>
      </c>
      <c r="AX62" s="711">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711">
        <f t="shared" si="37"/>
        <v>0</v>
      </c>
      <c r="AW63" s="711">
        <f t="shared" si="38"/>
        <v>0</v>
      </c>
      <c r="AX63" s="711">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711">
        <f t="shared" si="37"/>
        <v>0</v>
      </c>
      <c r="AW64" s="711">
        <f t="shared" si="38"/>
        <v>0</v>
      </c>
      <c r="AX64" s="711">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711">
        <f t="shared" si="37"/>
        <v>0</v>
      </c>
      <c r="AW65" s="711">
        <f t="shared" si="38"/>
        <v>0</v>
      </c>
      <c r="AX65" s="711">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711">
        <f t="shared" si="37"/>
        <v>0</v>
      </c>
      <c r="AW66" s="711">
        <f t="shared" si="38"/>
        <v>0</v>
      </c>
      <c r="AX66" s="711">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711">
        <f t="shared" si="37"/>
        <v>0</v>
      </c>
      <c r="AW67" s="711">
        <f t="shared" si="38"/>
        <v>0</v>
      </c>
      <c r="AX67" s="711">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711">
        <f t="shared" si="37"/>
        <v>0</v>
      </c>
      <c r="AW68" s="711">
        <f t="shared" si="38"/>
        <v>0</v>
      </c>
      <c r="AX68" s="711">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711">
        <f t="shared" si="37"/>
        <v>0</v>
      </c>
      <c r="AW69" s="711">
        <f t="shared" si="38"/>
        <v>0</v>
      </c>
      <c r="AX69" s="711">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711">
        <f t="shared" si="37"/>
        <v>0</v>
      </c>
      <c r="AW70" s="711">
        <f t="shared" si="38"/>
        <v>0</v>
      </c>
      <c r="AX70" s="711">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711">
        <f t="shared" si="37"/>
        <v>0</v>
      </c>
      <c r="AW71" s="711">
        <f t="shared" si="38"/>
        <v>0</v>
      </c>
      <c r="AX71" s="711">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711">
        <f t="shared" si="37"/>
        <v>0</v>
      </c>
      <c r="AW72" s="711">
        <f t="shared" si="38"/>
        <v>0</v>
      </c>
      <c r="AX72" s="711">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711">
        <f t="shared" si="37"/>
        <v>0</v>
      </c>
      <c r="AW73" s="711">
        <f t="shared" si="38"/>
        <v>0</v>
      </c>
      <c r="AX73" s="711">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711">
        <f t="shared" si="37"/>
        <v>0</v>
      </c>
      <c r="AW74" s="711">
        <f t="shared" si="38"/>
        <v>0</v>
      </c>
      <c r="AX74" s="711">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711">
        <f t="shared" si="37"/>
        <v>0</v>
      </c>
      <c r="AW75" s="711">
        <f t="shared" si="38"/>
        <v>0</v>
      </c>
      <c r="AX75" s="711">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711">
        <f t="shared" si="37"/>
        <v>0</v>
      </c>
      <c r="AW76" s="711">
        <f t="shared" si="38"/>
        <v>0</v>
      </c>
      <c r="AX76" s="711">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711">
        <f t="shared" si="37"/>
        <v>0</v>
      </c>
      <c r="AW77" s="711">
        <f t="shared" si="38"/>
        <v>0</v>
      </c>
      <c r="AX77" s="711">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711">
        <f t="shared" si="37"/>
        <v>0</v>
      </c>
      <c r="AW78" s="711">
        <f t="shared" si="38"/>
        <v>0</v>
      </c>
      <c r="AX78" s="711">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711">
        <f t="shared" si="37"/>
        <v>0</v>
      </c>
      <c r="AW79" s="711">
        <f t="shared" si="38"/>
        <v>0</v>
      </c>
      <c r="AX79" s="711">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711">
        <f t="shared" si="37"/>
        <v>0</v>
      </c>
      <c r="AW80" s="711">
        <f t="shared" si="38"/>
        <v>0</v>
      </c>
      <c r="AX80" s="711">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711">
        <f t="shared" si="37"/>
        <v>0</v>
      </c>
      <c r="AW81" s="711">
        <f t="shared" si="38"/>
        <v>0</v>
      </c>
      <c r="AX81" s="711">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711">
        <f t="shared" si="37"/>
        <v>0</v>
      </c>
      <c r="AW82" s="711">
        <f t="shared" si="38"/>
        <v>0</v>
      </c>
      <c r="AX82" s="711">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711">
        <f t="shared" si="37"/>
        <v>0</v>
      </c>
      <c r="AW83" s="711">
        <f t="shared" si="38"/>
        <v>0</v>
      </c>
      <c r="AX83" s="711">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711">
        <f t="shared" si="37"/>
        <v>0</v>
      </c>
      <c r="AW84" s="711">
        <f t="shared" si="38"/>
        <v>0</v>
      </c>
      <c r="AX84" s="711">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711">
        <f t="shared" si="37"/>
        <v>0</v>
      </c>
      <c r="AW85" s="711">
        <f t="shared" si="38"/>
        <v>0</v>
      </c>
      <c r="AX85" s="711">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711">
        <f t="shared" si="37"/>
        <v>0</v>
      </c>
      <c r="AW86" s="711">
        <f t="shared" si="38"/>
        <v>0</v>
      </c>
      <c r="AX86" s="711">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711">
        <f t="shared" si="37"/>
        <v>0</v>
      </c>
      <c r="AW87" s="711">
        <f t="shared" si="38"/>
        <v>0</v>
      </c>
      <c r="AX87" s="711">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711">
        <f t="shared" si="37"/>
        <v>0</v>
      </c>
      <c r="AW88" s="711">
        <f t="shared" si="38"/>
        <v>0</v>
      </c>
      <c r="AX88" s="711">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711">
        <f t="shared" si="37"/>
        <v>0</v>
      </c>
      <c r="AW89" s="711">
        <f t="shared" si="38"/>
        <v>0</v>
      </c>
      <c r="AX89" s="711">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711">
        <f t="shared" si="37"/>
        <v>0</v>
      </c>
      <c r="AW90" s="711">
        <f t="shared" si="38"/>
        <v>0</v>
      </c>
      <c r="AX90" s="711">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711">
        <f t="shared" si="37"/>
        <v>0</v>
      </c>
      <c r="AW91" s="711">
        <f t="shared" si="38"/>
        <v>0</v>
      </c>
      <c r="AX91" s="711">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711">
        <f t="shared" si="37"/>
        <v>0</v>
      </c>
      <c r="AW92" s="711">
        <f t="shared" si="38"/>
        <v>0</v>
      </c>
      <c r="AX92" s="711">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711">
        <f t="shared" si="37"/>
        <v>0</v>
      </c>
      <c r="AW93" s="711">
        <f t="shared" si="38"/>
        <v>0</v>
      </c>
      <c r="AX93" s="711">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711">
        <f t="shared" si="37"/>
        <v>0</v>
      </c>
      <c r="AW94" s="711">
        <f t="shared" si="38"/>
        <v>0</v>
      </c>
      <c r="AX94" s="711">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711">
        <f t="shared" si="37"/>
        <v>0</v>
      </c>
      <c r="AW95" s="711">
        <f t="shared" si="38"/>
        <v>0</v>
      </c>
      <c r="AX95" s="711">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711">
        <f t="shared" si="37"/>
        <v>0</v>
      </c>
      <c r="AW96" s="711">
        <f t="shared" si="38"/>
        <v>0</v>
      </c>
      <c r="AX96" s="711">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711">
        <f t="shared" si="37"/>
        <v>0</v>
      </c>
      <c r="AW97" s="711">
        <f t="shared" si="38"/>
        <v>0</v>
      </c>
      <c r="AX97" s="711">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711">
        <f t="shared" si="37"/>
        <v>0</v>
      </c>
      <c r="AW98" s="711">
        <f t="shared" si="38"/>
        <v>0</v>
      </c>
      <c r="AX98" s="711">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711">
        <f t="shared" si="37"/>
        <v>0</v>
      </c>
      <c r="AW99" s="711">
        <f t="shared" si="38"/>
        <v>0</v>
      </c>
      <c r="AX99" s="711">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711">
        <f t="shared" si="37"/>
        <v>0</v>
      </c>
      <c r="AW100" s="711">
        <f t="shared" si="38"/>
        <v>0</v>
      </c>
      <c r="AX100" s="711">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711">
        <f t="shared" si="37"/>
        <v>0</v>
      </c>
      <c r="AW101" s="711">
        <f t="shared" si="38"/>
        <v>0</v>
      </c>
      <c r="AX101" s="711">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711">
        <f t="shared" si="37"/>
        <v>0</v>
      </c>
      <c r="AW102" s="711">
        <f t="shared" si="38"/>
        <v>0</v>
      </c>
      <c r="AX102" s="711">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711">
        <f t="shared" si="37"/>
        <v>0</v>
      </c>
      <c r="AW103" s="711">
        <f t="shared" si="38"/>
        <v>0</v>
      </c>
      <c r="AX103" s="711">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711">
        <f t="shared" si="37"/>
        <v>0</v>
      </c>
      <c r="AW104" s="711">
        <f t="shared" si="38"/>
        <v>0</v>
      </c>
      <c r="AX104" s="711">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711">
        <f t="shared" si="37"/>
        <v>0</v>
      </c>
      <c r="AW105" s="711">
        <f t="shared" si="38"/>
        <v>0</v>
      </c>
      <c r="AX105" s="711">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711">
        <f t="shared" si="37"/>
        <v>0</v>
      </c>
      <c r="AW106" s="711">
        <f t="shared" si="38"/>
        <v>0</v>
      </c>
      <c r="AX106" s="711">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711">
        <f t="shared" si="37"/>
        <v>0</v>
      </c>
      <c r="AW107" s="711">
        <f t="shared" si="38"/>
        <v>0</v>
      </c>
      <c r="AX107" s="711">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711">
        <f t="shared" si="37"/>
        <v>0</v>
      </c>
      <c r="AW108" s="711">
        <f t="shared" si="38"/>
        <v>0</v>
      </c>
      <c r="AX108" s="711">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711">
        <f t="shared" si="37"/>
        <v>0</v>
      </c>
      <c r="AW109" s="711">
        <f t="shared" si="38"/>
        <v>0</v>
      </c>
      <c r="AX109" s="711">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711">
        <f t="shared" si="37"/>
        <v>0</v>
      </c>
      <c r="AW110" s="711">
        <f t="shared" si="38"/>
        <v>0</v>
      </c>
      <c r="AX110" s="711">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711">
        <f t="shared" si="37"/>
        <v>0</v>
      </c>
      <c r="AW111" s="711">
        <f t="shared" si="38"/>
        <v>0</v>
      </c>
      <c r="AX111" s="711">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711">
        <f t="shared" si="37"/>
        <v>0</v>
      </c>
      <c r="AW112" s="711">
        <f t="shared" si="38"/>
        <v>0</v>
      </c>
      <c r="AX112" s="711">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711">
        <f t="shared" ref="AV113:AV144" si="88">A113</f>
        <v>0</v>
      </c>
      <c r="AW113" s="711">
        <f t="shared" ref="AW113:AW144" si="89">B113</f>
        <v>0</v>
      </c>
      <c r="AX113" s="711">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711">
        <f t="shared" si="88"/>
        <v>0</v>
      </c>
      <c r="AW114" s="711">
        <f t="shared" si="89"/>
        <v>0</v>
      </c>
      <c r="AX114" s="711">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711">
        <f t="shared" si="88"/>
        <v>0</v>
      </c>
      <c r="AW115" s="711">
        <f t="shared" si="89"/>
        <v>0</v>
      </c>
      <c r="AX115" s="711">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711">
        <f t="shared" si="88"/>
        <v>0</v>
      </c>
      <c r="AW116" s="711">
        <f t="shared" si="89"/>
        <v>0</v>
      </c>
      <c r="AX116" s="711">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711">
        <f t="shared" si="88"/>
        <v>0</v>
      </c>
      <c r="AW117" s="711">
        <f t="shared" si="89"/>
        <v>0</v>
      </c>
      <c r="AX117" s="711">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711">
        <f t="shared" si="88"/>
        <v>0</v>
      </c>
      <c r="AW118" s="711">
        <f t="shared" si="89"/>
        <v>0</v>
      </c>
      <c r="AX118" s="711">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711">
        <f t="shared" si="88"/>
        <v>0</v>
      </c>
      <c r="AW119" s="711">
        <f t="shared" si="89"/>
        <v>0</v>
      </c>
      <c r="AX119" s="711">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711">
        <f t="shared" si="88"/>
        <v>0</v>
      </c>
      <c r="AW120" s="711">
        <f t="shared" si="89"/>
        <v>0</v>
      </c>
      <c r="AX120" s="711">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711">
        <f t="shared" si="88"/>
        <v>0</v>
      </c>
      <c r="AW121" s="711">
        <f t="shared" si="89"/>
        <v>0</v>
      </c>
      <c r="AX121" s="711">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711">
        <f t="shared" si="88"/>
        <v>0</v>
      </c>
      <c r="AW122" s="711">
        <f t="shared" si="89"/>
        <v>0</v>
      </c>
      <c r="AX122" s="711">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711">
        <f t="shared" si="88"/>
        <v>0</v>
      </c>
      <c r="AW123" s="711">
        <f t="shared" si="89"/>
        <v>0</v>
      </c>
      <c r="AX123" s="711">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711">
        <f t="shared" si="88"/>
        <v>0</v>
      </c>
      <c r="AW124" s="711">
        <f t="shared" si="89"/>
        <v>0</v>
      </c>
      <c r="AX124" s="711">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711">
        <f t="shared" si="88"/>
        <v>0</v>
      </c>
      <c r="AW125" s="711">
        <f t="shared" si="89"/>
        <v>0</v>
      </c>
      <c r="AX125" s="711">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711">
        <f t="shared" si="88"/>
        <v>0</v>
      </c>
      <c r="AW126" s="711">
        <f t="shared" si="89"/>
        <v>0</v>
      </c>
      <c r="AX126" s="711">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711">
        <f t="shared" si="88"/>
        <v>0</v>
      </c>
      <c r="AW127" s="711">
        <f t="shared" si="89"/>
        <v>0</v>
      </c>
      <c r="AX127" s="711">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711">
        <f t="shared" si="88"/>
        <v>0</v>
      </c>
      <c r="AW128" s="711">
        <f t="shared" si="89"/>
        <v>0</v>
      </c>
      <c r="AX128" s="711">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711">
        <f t="shared" si="88"/>
        <v>0</v>
      </c>
      <c r="AW129" s="711">
        <f t="shared" si="89"/>
        <v>0</v>
      </c>
      <c r="AX129" s="711">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711">
        <f t="shared" si="88"/>
        <v>0</v>
      </c>
      <c r="AW130" s="711">
        <f t="shared" si="89"/>
        <v>0</v>
      </c>
      <c r="AX130" s="711">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711">
        <f t="shared" si="88"/>
        <v>0</v>
      </c>
      <c r="AW131" s="711">
        <f t="shared" si="89"/>
        <v>0</v>
      </c>
      <c r="AX131" s="711">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711">
        <f t="shared" si="88"/>
        <v>0</v>
      </c>
      <c r="AW132" s="711">
        <f t="shared" si="89"/>
        <v>0</v>
      </c>
      <c r="AX132" s="711">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711">
        <f t="shared" si="88"/>
        <v>0</v>
      </c>
      <c r="AW133" s="711">
        <f t="shared" si="89"/>
        <v>0</v>
      </c>
      <c r="AX133" s="711">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711">
        <f t="shared" si="88"/>
        <v>0</v>
      </c>
      <c r="AW134" s="711">
        <f t="shared" si="89"/>
        <v>0</v>
      </c>
      <c r="AX134" s="711">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711">
        <f t="shared" si="88"/>
        <v>0</v>
      </c>
      <c r="AW135" s="711">
        <f t="shared" si="89"/>
        <v>0</v>
      </c>
      <c r="AX135" s="711">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711">
        <f t="shared" si="88"/>
        <v>0</v>
      </c>
      <c r="AW136" s="711">
        <f t="shared" si="89"/>
        <v>0</v>
      </c>
      <c r="AX136" s="711">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711">
        <f t="shared" si="88"/>
        <v>0</v>
      </c>
      <c r="AW137" s="711">
        <f t="shared" si="89"/>
        <v>0</v>
      </c>
      <c r="AX137" s="711">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711">
        <f t="shared" si="88"/>
        <v>0</v>
      </c>
      <c r="AW138" s="711">
        <f t="shared" si="89"/>
        <v>0</v>
      </c>
      <c r="AX138" s="711">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711">
        <f t="shared" si="88"/>
        <v>0</v>
      </c>
      <c r="AW139" s="711">
        <f t="shared" si="89"/>
        <v>0</v>
      </c>
      <c r="AX139" s="711">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711">
        <f t="shared" si="88"/>
        <v>0</v>
      </c>
      <c r="AW140" s="711">
        <f t="shared" si="89"/>
        <v>0</v>
      </c>
      <c r="AX140" s="711">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711">
        <f t="shared" si="88"/>
        <v>0</v>
      </c>
      <c r="AW141" s="711">
        <f t="shared" si="89"/>
        <v>0</v>
      </c>
      <c r="AX141" s="711">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711">
        <f t="shared" si="88"/>
        <v>0</v>
      </c>
      <c r="AW142" s="711">
        <f t="shared" si="89"/>
        <v>0</v>
      </c>
      <c r="AX142" s="711">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711">
        <f t="shared" si="88"/>
        <v>0</v>
      </c>
      <c r="AW143" s="711">
        <f t="shared" si="89"/>
        <v>0</v>
      </c>
      <c r="AX143" s="711">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711">
        <f t="shared" si="88"/>
        <v>0</v>
      </c>
      <c r="AW144" s="711">
        <f t="shared" si="89"/>
        <v>0</v>
      </c>
      <c r="AX144" s="711">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711">
        <f t="shared" ref="AV145:AV176" si="117">A145</f>
        <v>0</v>
      </c>
      <c r="AW145" s="711">
        <f t="shared" ref="AW145:AW176" si="118">B145</f>
        <v>0</v>
      </c>
      <c r="AX145" s="711">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711">
        <f t="shared" si="117"/>
        <v>0</v>
      </c>
      <c r="AW146" s="711">
        <f t="shared" si="118"/>
        <v>0</v>
      </c>
      <c r="AX146" s="711">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711">
        <f t="shared" si="117"/>
        <v>0</v>
      </c>
      <c r="AW147" s="711">
        <f t="shared" si="118"/>
        <v>0</v>
      </c>
      <c r="AX147" s="711">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711">
        <f t="shared" si="117"/>
        <v>0</v>
      </c>
      <c r="AW148" s="711">
        <f t="shared" si="118"/>
        <v>0</v>
      </c>
      <c r="AX148" s="711">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711">
        <f t="shared" si="117"/>
        <v>0</v>
      </c>
      <c r="AW149" s="711">
        <f t="shared" si="118"/>
        <v>0</v>
      </c>
      <c r="AX149" s="711">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711">
        <f t="shared" si="117"/>
        <v>0</v>
      </c>
      <c r="AW150" s="711">
        <f t="shared" si="118"/>
        <v>0</v>
      </c>
      <c r="AX150" s="711">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711">
        <f t="shared" si="117"/>
        <v>0</v>
      </c>
      <c r="AW151" s="711">
        <f t="shared" si="118"/>
        <v>0</v>
      </c>
      <c r="AX151" s="711">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711">
        <f t="shared" si="117"/>
        <v>0</v>
      </c>
      <c r="AW152" s="711">
        <f t="shared" si="118"/>
        <v>0</v>
      </c>
      <c r="AX152" s="711">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711">
        <f t="shared" si="117"/>
        <v>0</v>
      </c>
      <c r="AW153" s="711">
        <f t="shared" si="118"/>
        <v>0</v>
      </c>
      <c r="AX153" s="711">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711">
        <f t="shared" si="117"/>
        <v>0</v>
      </c>
      <c r="AW154" s="711">
        <f t="shared" si="118"/>
        <v>0</v>
      </c>
      <c r="AX154" s="711">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711">
        <f t="shared" si="117"/>
        <v>0</v>
      </c>
      <c r="AW155" s="711">
        <f t="shared" si="118"/>
        <v>0</v>
      </c>
      <c r="AX155" s="711">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711">
        <f t="shared" si="117"/>
        <v>0</v>
      </c>
      <c r="AW156" s="711">
        <f t="shared" si="118"/>
        <v>0</v>
      </c>
      <c r="AX156" s="711">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711">
        <f t="shared" si="117"/>
        <v>0</v>
      </c>
      <c r="AW157" s="711">
        <f t="shared" si="118"/>
        <v>0</v>
      </c>
      <c r="AX157" s="711">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711">
        <f t="shared" si="117"/>
        <v>0</v>
      </c>
      <c r="AW158" s="711">
        <f t="shared" si="118"/>
        <v>0</v>
      </c>
      <c r="AX158" s="711">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711">
        <f t="shared" si="117"/>
        <v>0</v>
      </c>
      <c r="AW159" s="711">
        <f t="shared" si="118"/>
        <v>0</v>
      </c>
      <c r="AX159" s="711">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711">
        <f t="shared" si="117"/>
        <v>0</v>
      </c>
      <c r="AW160" s="711">
        <f t="shared" si="118"/>
        <v>0</v>
      </c>
      <c r="AX160" s="711">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711">
        <f t="shared" si="117"/>
        <v>0</v>
      </c>
      <c r="AW161" s="711">
        <f t="shared" si="118"/>
        <v>0</v>
      </c>
      <c r="AX161" s="711">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711">
        <f t="shared" si="117"/>
        <v>0</v>
      </c>
      <c r="AW162" s="711">
        <f t="shared" si="118"/>
        <v>0</v>
      </c>
      <c r="AX162" s="711">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711">
        <f t="shared" si="117"/>
        <v>0</v>
      </c>
      <c r="AW163" s="711">
        <f t="shared" si="118"/>
        <v>0</v>
      </c>
      <c r="AX163" s="711">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711">
        <f t="shared" si="117"/>
        <v>0</v>
      </c>
      <c r="AW164" s="711">
        <f t="shared" si="118"/>
        <v>0</v>
      </c>
      <c r="AX164" s="711">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711">
        <f t="shared" si="117"/>
        <v>0</v>
      </c>
      <c r="AW165" s="711">
        <f t="shared" si="118"/>
        <v>0</v>
      </c>
      <c r="AX165" s="711">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711">
        <f t="shared" si="117"/>
        <v>0</v>
      </c>
      <c r="AW166" s="711">
        <f t="shared" si="118"/>
        <v>0</v>
      </c>
      <c r="AX166" s="711">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711">
        <f t="shared" si="117"/>
        <v>0</v>
      </c>
      <c r="AW167" s="711">
        <f t="shared" si="118"/>
        <v>0</v>
      </c>
      <c r="AX167" s="711">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711">
        <f t="shared" si="117"/>
        <v>0</v>
      </c>
      <c r="AW168" s="711">
        <f t="shared" si="118"/>
        <v>0</v>
      </c>
      <c r="AX168" s="711">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711">
        <f t="shared" si="117"/>
        <v>0</v>
      </c>
      <c r="AW169" s="711">
        <f t="shared" si="118"/>
        <v>0</v>
      </c>
      <c r="AX169" s="711">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711">
        <f t="shared" si="117"/>
        <v>0</v>
      </c>
      <c r="AW170" s="711">
        <f t="shared" si="118"/>
        <v>0</v>
      </c>
      <c r="AX170" s="711">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711">
        <f t="shared" si="117"/>
        <v>0</v>
      </c>
      <c r="AW171" s="711">
        <f t="shared" si="118"/>
        <v>0</v>
      </c>
      <c r="AX171" s="711">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711">
        <f t="shared" si="117"/>
        <v>0</v>
      </c>
      <c r="AW172" s="711">
        <f t="shared" si="118"/>
        <v>0</v>
      </c>
      <c r="AX172" s="711">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711">
        <f t="shared" si="117"/>
        <v>0</v>
      </c>
      <c r="AW173" s="711">
        <f t="shared" si="118"/>
        <v>0</v>
      </c>
      <c r="AX173" s="711">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711">
        <f t="shared" si="117"/>
        <v>0</v>
      </c>
      <c r="AW174" s="711">
        <f t="shared" si="118"/>
        <v>0</v>
      </c>
      <c r="AX174" s="711">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711">
        <f t="shared" si="117"/>
        <v>0</v>
      </c>
      <c r="AW175" s="711">
        <f t="shared" si="118"/>
        <v>0</v>
      </c>
      <c r="AX175" s="711">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711">
        <f t="shared" si="117"/>
        <v>0</v>
      </c>
      <c r="AW176" s="711">
        <f t="shared" si="118"/>
        <v>0</v>
      </c>
      <c r="AX176" s="711">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711">
        <f t="shared" ref="AV177:AV204" si="146">A177</f>
        <v>0</v>
      </c>
      <c r="AW177" s="711">
        <f t="shared" ref="AW177:AW204" si="147">B177</f>
        <v>0</v>
      </c>
      <c r="AX177" s="711">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711">
        <f t="shared" si="146"/>
        <v>0</v>
      </c>
      <c r="AW178" s="711">
        <f t="shared" si="147"/>
        <v>0</v>
      </c>
      <c r="AX178" s="711">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711">
        <f t="shared" si="146"/>
        <v>0</v>
      </c>
      <c r="AW179" s="711">
        <f t="shared" si="147"/>
        <v>0</v>
      </c>
      <c r="AX179" s="711">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711">
        <f t="shared" si="146"/>
        <v>0</v>
      </c>
      <c r="AW180" s="711">
        <f t="shared" si="147"/>
        <v>0</v>
      </c>
      <c r="AX180" s="711">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711">
        <f t="shared" si="146"/>
        <v>0</v>
      </c>
      <c r="AW181" s="711">
        <f t="shared" si="147"/>
        <v>0</v>
      </c>
      <c r="AX181" s="711">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711">
        <f t="shared" si="146"/>
        <v>0</v>
      </c>
      <c r="AW182" s="711">
        <f t="shared" si="147"/>
        <v>0</v>
      </c>
      <c r="AX182" s="711">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711">
        <f t="shared" si="146"/>
        <v>0</v>
      </c>
      <c r="AW183" s="711">
        <f t="shared" si="147"/>
        <v>0</v>
      </c>
      <c r="AX183" s="711">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711">
        <f t="shared" si="146"/>
        <v>0</v>
      </c>
      <c r="AW184" s="711">
        <f t="shared" si="147"/>
        <v>0</v>
      </c>
      <c r="AX184" s="711">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711">
        <f t="shared" si="146"/>
        <v>0</v>
      </c>
      <c r="AW185" s="711">
        <f t="shared" si="147"/>
        <v>0</v>
      </c>
      <c r="AX185" s="711">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711">
        <f t="shared" si="146"/>
        <v>0</v>
      </c>
      <c r="AW186" s="711">
        <f t="shared" si="147"/>
        <v>0</v>
      </c>
      <c r="AX186" s="711">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711">
        <f t="shared" si="146"/>
        <v>0</v>
      </c>
      <c r="AW187" s="711">
        <f t="shared" si="147"/>
        <v>0</v>
      </c>
      <c r="AX187" s="711">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711">
        <f t="shared" si="146"/>
        <v>0</v>
      </c>
      <c r="AW188" s="711">
        <f t="shared" si="147"/>
        <v>0</v>
      </c>
      <c r="AX188" s="711">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711">
        <f t="shared" si="146"/>
        <v>0</v>
      </c>
      <c r="AW189" s="711">
        <f t="shared" si="147"/>
        <v>0</v>
      </c>
      <c r="AX189" s="711">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711">
        <f t="shared" si="146"/>
        <v>0</v>
      </c>
      <c r="AW190" s="711">
        <f t="shared" si="147"/>
        <v>0</v>
      </c>
      <c r="AX190" s="711">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711">
        <f t="shared" si="146"/>
        <v>0</v>
      </c>
      <c r="AW191" s="711">
        <f t="shared" si="147"/>
        <v>0</v>
      </c>
      <c r="AX191" s="711">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711">
        <f t="shared" si="146"/>
        <v>0</v>
      </c>
      <c r="AW192" s="711">
        <f t="shared" si="147"/>
        <v>0</v>
      </c>
      <c r="AX192" s="711">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711">
        <f t="shared" si="146"/>
        <v>0</v>
      </c>
      <c r="AW193" s="711">
        <f t="shared" si="147"/>
        <v>0</v>
      </c>
      <c r="AX193" s="711">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711">
        <f t="shared" si="146"/>
        <v>0</v>
      </c>
      <c r="AW194" s="711">
        <f t="shared" si="147"/>
        <v>0</v>
      </c>
      <c r="AX194" s="711">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711">
        <f t="shared" si="146"/>
        <v>0</v>
      </c>
      <c r="AW195" s="711">
        <f t="shared" si="147"/>
        <v>0</v>
      </c>
      <c r="AX195" s="711">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711">
        <f t="shared" si="146"/>
        <v>0</v>
      </c>
      <c r="AW196" s="711">
        <f t="shared" si="147"/>
        <v>0</v>
      </c>
      <c r="AX196" s="711">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711">
        <f t="shared" si="146"/>
        <v>0</v>
      </c>
      <c r="AW197" s="711">
        <f t="shared" si="147"/>
        <v>0</v>
      </c>
      <c r="AX197" s="711">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711">
        <f t="shared" si="146"/>
        <v>0</v>
      </c>
      <c r="AW198" s="711">
        <f t="shared" si="147"/>
        <v>0</v>
      </c>
      <c r="AX198" s="711">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711">
        <f t="shared" si="146"/>
        <v>0</v>
      </c>
      <c r="AW199" s="711">
        <f t="shared" si="147"/>
        <v>0</v>
      </c>
      <c r="AX199" s="711">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711">
        <f t="shared" si="146"/>
        <v>0</v>
      </c>
      <c r="AW200" s="711">
        <f t="shared" si="147"/>
        <v>0</v>
      </c>
      <c r="AX200" s="711">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711">
        <f t="shared" si="146"/>
        <v>0</v>
      </c>
      <c r="AW201" s="711">
        <f t="shared" si="147"/>
        <v>0</v>
      </c>
      <c r="AX201" s="711">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711">
        <f t="shared" si="146"/>
        <v>0</v>
      </c>
      <c r="AW202" s="711">
        <f t="shared" si="147"/>
        <v>0</v>
      </c>
      <c r="AX202" s="711">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711">
        <f t="shared" si="146"/>
        <v>0</v>
      </c>
      <c r="AW203" s="711">
        <f t="shared" si="147"/>
        <v>0</v>
      </c>
      <c r="AX203" s="711">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711">
        <f t="shared" si="146"/>
        <v>0</v>
      </c>
      <c r="AW204" s="711">
        <f t="shared" si="147"/>
        <v>0</v>
      </c>
      <c r="AX204" s="711">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711">
        <f t="shared" ref="AV205:AV296" si="153">A205</f>
        <v>0</v>
      </c>
      <c r="AW205" s="711">
        <f t="shared" ref="AW205:AW296" si="154">B205</f>
        <v>0</v>
      </c>
      <c r="AX205" s="711">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711">
        <f t="shared" si="153"/>
        <v>0</v>
      </c>
      <c r="AW206" s="711">
        <f t="shared" si="154"/>
        <v>0</v>
      </c>
      <c r="AX206" s="711">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711">
        <f t="shared" si="153"/>
        <v>0</v>
      </c>
      <c r="AW207" s="711">
        <f t="shared" si="154"/>
        <v>0</v>
      </c>
      <c r="AX207" s="711">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711">
        <f t="shared" si="153"/>
        <v>0</v>
      </c>
      <c r="AW208" s="711">
        <f t="shared" si="154"/>
        <v>0</v>
      </c>
      <c r="AX208" s="711">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711">
        <f t="shared" si="153"/>
        <v>0</v>
      </c>
      <c r="AW209" s="711">
        <f t="shared" si="154"/>
        <v>0</v>
      </c>
      <c r="AX209" s="711">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711">
        <f t="shared" si="153"/>
        <v>0</v>
      </c>
      <c r="AW210" s="711">
        <f t="shared" si="154"/>
        <v>0</v>
      </c>
      <c r="AX210" s="711">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711">
        <f t="shared" si="153"/>
        <v>0</v>
      </c>
      <c r="AW211" s="711">
        <f t="shared" si="154"/>
        <v>0</v>
      </c>
      <c r="AX211" s="711">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711">
        <f t="shared" si="153"/>
        <v>0</v>
      </c>
      <c r="AW212" s="711">
        <f t="shared" si="154"/>
        <v>0</v>
      </c>
      <c r="AX212" s="711">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711">
        <f t="shared" si="153"/>
        <v>0</v>
      </c>
      <c r="AW213" s="711">
        <f t="shared" si="154"/>
        <v>0</v>
      </c>
      <c r="AX213" s="711">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711">
        <f t="shared" si="153"/>
        <v>0</v>
      </c>
      <c r="AW214" s="711">
        <f t="shared" si="154"/>
        <v>0</v>
      </c>
      <c r="AX214" s="711">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711">
        <f t="shared" si="153"/>
        <v>0</v>
      </c>
      <c r="AW215" s="711">
        <f t="shared" si="154"/>
        <v>0</v>
      </c>
      <c r="AX215" s="711">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711">
        <f t="shared" si="153"/>
        <v>0</v>
      </c>
      <c r="AW216" s="711">
        <f t="shared" si="154"/>
        <v>0</v>
      </c>
      <c r="AX216" s="711">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711">
        <f t="shared" si="153"/>
        <v>0</v>
      </c>
      <c r="AW217" s="711">
        <f t="shared" si="154"/>
        <v>0</v>
      </c>
      <c r="AX217" s="711">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711">
        <f t="shared" si="153"/>
        <v>0</v>
      </c>
      <c r="AW218" s="711">
        <f t="shared" si="154"/>
        <v>0</v>
      </c>
      <c r="AX218" s="711">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711">
        <f t="shared" si="153"/>
        <v>0</v>
      </c>
      <c r="AW219" s="711">
        <f t="shared" si="154"/>
        <v>0</v>
      </c>
      <c r="AX219" s="711">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711">
        <f t="shared" si="153"/>
        <v>0</v>
      </c>
      <c r="AW220" s="711">
        <f t="shared" si="154"/>
        <v>0</v>
      </c>
      <c r="AX220" s="711">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711">
        <f t="shared" si="153"/>
        <v>0</v>
      </c>
      <c r="AW221" s="711">
        <f t="shared" si="154"/>
        <v>0</v>
      </c>
      <c r="AX221" s="711">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711">
        <f t="shared" si="153"/>
        <v>0</v>
      </c>
      <c r="AW222" s="711">
        <f t="shared" si="154"/>
        <v>0</v>
      </c>
      <c r="AX222" s="711">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711">
        <f t="shared" si="153"/>
        <v>0</v>
      </c>
      <c r="AW223" s="711">
        <f t="shared" si="154"/>
        <v>0</v>
      </c>
      <c r="AX223" s="711">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711">
        <f t="shared" si="153"/>
        <v>0</v>
      </c>
      <c r="AW224" s="711">
        <f t="shared" si="154"/>
        <v>0</v>
      </c>
      <c r="AX224" s="711">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711">
        <f t="shared" si="153"/>
        <v>0</v>
      </c>
      <c r="AW225" s="711">
        <f t="shared" si="154"/>
        <v>0</v>
      </c>
      <c r="AX225" s="711">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711">
        <f t="shared" si="153"/>
        <v>0</v>
      </c>
      <c r="AW226" s="711">
        <f t="shared" si="154"/>
        <v>0</v>
      </c>
      <c r="AX226" s="711">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711">
        <f t="shared" si="153"/>
        <v>0</v>
      </c>
      <c r="AW227" s="711">
        <f t="shared" si="154"/>
        <v>0</v>
      </c>
      <c r="AX227" s="711">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711">
        <f t="shared" si="153"/>
        <v>0</v>
      </c>
      <c r="AW228" s="711">
        <f t="shared" si="154"/>
        <v>0</v>
      </c>
      <c r="AX228" s="711">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711">
        <f t="shared" si="153"/>
        <v>0</v>
      </c>
      <c r="AW229" s="711">
        <f t="shared" si="154"/>
        <v>0</v>
      </c>
      <c r="AX229" s="711">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711">
        <f t="shared" si="153"/>
        <v>0</v>
      </c>
      <c r="AW230" s="711">
        <f t="shared" si="154"/>
        <v>0</v>
      </c>
      <c r="AX230" s="711">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711">
        <f t="shared" si="153"/>
        <v>0</v>
      </c>
      <c r="AW231" s="711">
        <f t="shared" si="154"/>
        <v>0</v>
      </c>
      <c r="AX231" s="711">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711">
        <f t="shared" si="153"/>
        <v>0</v>
      </c>
      <c r="AW232" s="711">
        <f t="shared" si="154"/>
        <v>0</v>
      </c>
      <c r="AX232" s="711">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711">
        <f t="shared" si="153"/>
        <v>0</v>
      </c>
      <c r="AW233" s="711">
        <f t="shared" si="154"/>
        <v>0</v>
      </c>
      <c r="AX233" s="711">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711">
        <f t="shared" si="153"/>
        <v>0</v>
      </c>
      <c r="AW234" s="711">
        <f t="shared" si="154"/>
        <v>0</v>
      </c>
      <c r="AX234" s="711">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711">
        <f t="shared" si="153"/>
        <v>0</v>
      </c>
      <c r="AW235" s="711">
        <f t="shared" si="154"/>
        <v>0</v>
      </c>
      <c r="AX235" s="711">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711">
        <f t="shared" si="153"/>
        <v>0</v>
      </c>
      <c r="AW236" s="711">
        <f t="shared" si="154"/>
        <v>0</v>
      </c>
      <c r="AX236" s="711">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711">
        <f t="shared" si="153"/>
        <v>0</v>
      </c>
      <c r="AW237" s="711">
        <f t="shared" si="154"/>
        <v>0</v>
      </c>
      <c r="AX237" s="711">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711">
        <f t="shared" si="153"/>
        <v>0</v>
      </c>
      <c r="AW238" s="711">
        <f t="shared" si="154"/>
        <v>0</v>
      </c>
      <c r="AX238" s="711">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711">
        <f t="shared" si="153"/>
        <v>0</v>
      </c>
      <c r="AW239" s="711">
        <f t="shared" si="154"/>
        <v>0</v>
      </c>
      <c r="AX239" s="711">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711">
        <f t="shared" si="153"/>
        <v>0</v>
      </c>
      <c r="AW240" s="711">
        <f t="shared" si="154"/>
        <v>0</v>
      </c>
      <c r="AX240" s="711">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711">
        <f t="shared" si="153"/>
        <v>0</v>
      </c>
      <c r="AW241" s="711">
        <f t="shared" si="154"/>
        <v>0</v>
      </c>
      <c r="AX241" s="711">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711">
        <f t="shared" si="153"/>
        <v>0</v>
      </c>
      <c r="AW242" s="711">
        <f t="shared" si="154"/>
        <v>0</v>
      </c>
      <c r="AX242" s="711">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711">
        <f t="shared" si="153"/>
        <v>0</v>
      </c>
      <c r="AW243" s="711">
        <f t="shared" si="154"/>
        <v>0</v>
      </c>
      <c r="AX243" s="711">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711">
        <f t="shared" si="153"/>
        <v>0</v>
      </c>
      <c r="AW244" s="711">
        <f t="shared" si="154"/>
        <v>0</v>
      </c>
      <c r="AX244" s="711">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711">
        <f t="shared" si="153"/>
        <v>0</v>
      </c>
      <c r="AW245" s="711">
        <f t="shared" si="154"/>
        <v>0</v>
      </c>
      <c r="AX245" s="711">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711">
        <f t="shared" si="153"/>
        <v>0</v>
      </c>
      <c r="AW246" s="711">
        <f t="shared" si="154"/>
        <v>0</v>
      </c>
      <c r="AX246" s="711">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711">
        <f t="shared" si="153"/>
        <v>0</v>
      </c>
      <c r="AW247" s="711">
        <f t="shared" si="154"/>
        <v>0</v>
      </c>
      <c r="AX247" s="711">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711">
        <f t="shared" si="153"/>
        <v>0</v>
      </c>
      <c r="AW248" s="711">
        <f t="shared" si="154"/>
        <v>0</v>
      </c>
      <c r="AX248" s="711">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711">
        <f t="shared" si="153"/>
        <v>0</v>
      </c>
      <c r="AW249" s="711">
        <f t="shared" si="154"/>
        <v>0</v>
      </c>
      <c r="AX249" s="711">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711">
        <f t="shared" si="153"/>
        <v>0</v>
      </c>
      <c r="AW250" s="711">
        <f t="shared" si="154"/>
        <v>0</v>
      </c>
      <c r="AX250" s="711">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711">
        <f t="shared" si="153"/>
        <v>0</v>
      </c>
      <c r="AW251" s="711">
        <f t="shared" si="154"/>
        <v>0</v>
      </c>
      <c r="AX251" s="711">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711">
        <f t="shared" si="153"/>
        <v>0</v>
      </c>
      <c r="AW252" s="711">
        <f t="shared" si="154"/>
        <v>0</v>
      </c>
      <c r="AX252" s="711">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711">
        <f t="shared" si="153"/>
        <v>0</v>
      </c>
      <c r="AW253" s="711">
        <f t="shared" si="154"/>
        <v>0</v>
      </c>
      <c r="AX253" s="711">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711">
        <f t="shared" si="153"/>
        <v>0</v>
      </c>
      <c r="AW254" s="711">
        <f t="shared" si="154"/>
        <v>0</v>
      </c>
      <c r="AX254" s="711">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711">
        <f t="shared" si="153"/>
        <v>0</v>
      </c>
      <c r="AW255" s="711">
        <f t="shared" si="154"/>
        <v>0</v>
      </c>
      <c r="AX255" s="711">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711">
        <f t="shared" si="153"/>
        <v>0</v>
      </c>
      <c r="AW256" s="711">
        <f t="shared" si="154"/>
        <v>0</v>
      </c>
      <c r="AX256" s="711">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711">
        <f t="shared" si="153"/>
        <v>0</v>
      </c>
      <c r="AW257" s="711">
        <f t="shared" si="154"/>
        <v>0</v>
      </c>
      <c r="AX257" s="711">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711">
        <f t="shared" si="153"/>
        <v>0</v>
      </c>
      <c r="AW258" s="711">
        <f t="shared" si="154"/>
        <v>0</v>
      </c>
      <c r="AX258" s="711">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711">
        <f t="shared" si="153"/>
        <v>0</v>
      </c>
      <c r="AW259" s="711">
        <f t="shared" si="154"/>
        <v>0</v>
      </c>
      <c r="AX259" s="711">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711">
        <f t="shared" si="153"/>
        <v>0</v>
      </c>
      <c r="AW260" s="711">
        <f t="shared" si="154"/>
        <v>0</v>
      </c>
      <c r="AX260" s="711">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711">
        <f t="shared" si="153"/>
        <v>0</v>
      </c>
      <c r="AW261" s="711">
        <f t="shared" si="154"/>
        <v>0</v>
      </c>
      <c r="AX261" s="711">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711">
        <f t="shared" si="153"/>
        <v>0</v>
      </c>
      <c r="AW262" s="711">
        <f t="shared" si="154"/>
        <v>0</v>
      </c>
      <c r="AX262" s="711">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711">
        <f t="shared" si="153"/>
        <v>0</v>
      </c>
      <c r="AW263" s="711">
        <f t="shared" si="154"/>
        <v>0</v>
      </c>
      <c r="AX263" s="711">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711">
        <f t="shared" si="153"/>
        <v>0</v>
      </c>
      <c r="AW264" s="711">
        <f t="shared" si="154"/>
        <v>0</v>
      </c>
      <c r="AX264" s="711">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711">
        <f t="shared" si="153"/>
        <v>0</v>
      </c>
      <c r="AW265" s="711">
        <f t="shared" si="154"/>
        <v>0</v>
      </c>
      <c r="AX265" s="711">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711">
        <f t="shared" si="153"/>
        <v>0</v>
      </c>
      <c r="AW266" s="711">
        <f t="shared" si="154"/>
        <v>0</v>
      </c>
      <c r="AX266" s="711">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711">
        <f t="shared" si="153"/>
        <v>0</v>
      </c>
      <c r="AW267" s="711">
        <f t="shared" si="154"/>
        <v>0</v>
      </c>
      <c r="AX267" s="711">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711">
        <f t="shared" si="153"/>
        <v>0</v>
      </c>
      <c r="AW268" s="711">
        <f t="shared" si="154"/>
        <v>0</v>
      </c>
      <c r="AX268" s="711">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711">
        <f t="shared" si="153"/>
        <v>0</v>
      </c>
      <c r="AW269" s="711">
        <f t="shared" si="154"/>
        <v>0</v>
      </c>
      <c r="AX269" s="711">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711">
        <f t="shared" si="153"/>
        <v>0</v>
      </c>
      <c r="AW270" s="711">
        <f t="shared" si="154"/>
        <v>0</v>
      </c>
      <c r="AX270" s="711">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711">
        <f t="shared" si="153"/>
        <v>0</v>
      </c>
      <c r="AW271" s="711">
        <f t="shared" si="154"/>
        <v>0</v>
      </c>
      <c r="AX271" s="711">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711">
        <f t="shared" si="153"/>
        <v>0</v>
      </c>
      <c r="AW272" s="711">
        <f t="shared" si="154"/>
        <v>0</v>
      </c>
      <c r="AX272" s="711">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711">
        <f t="shared" si="153"/>
        <v>0</v>
      </c>
      <c r="AW273" s="711">
        <f t="shared" si="154"/>
        <v>0</v>
      </c>
      <c r="AX273" s="711">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711">
        <f t="shared" si="153"/>
        <v>0</v>
      </c>
      <c r="AW274" s="711">
        <f t="shared" si="154"/>
        <v>0</v>
      </c>
      <c r="AX274" s="711">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711">
        <f t="shared" si="153"/>
        <v>0</v>
      </c>
      <c r="AW275" s="711">
        <f t="shared" si="154"/>
        <v>0</v>
      </c>
      <c r="AX275" s="711">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711">
        <f t="shared" si="153"/>
        <v>0</v>
      </c>
      <c r="AW276" s="711">
        <f t="shared" si="154"/>
        <v>0</v>
      </c>
      <c r="AX276" s="711">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711">
        <f t="shared" si="153"/>
        <v>0</v>
      </c>
      <c r="AW277" s="711">
        <f t="shared" si="154"/>
        <v>0</v>
      </c>
      <c r="AX277" s="711">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711">
        <f t="shared" si="153"/>
        <v>0</v>
      </c>
      <c r="AW278" s="711">
        <f t="shared" si="154"/>
        <v>0</v>
      </c>
      <c r="AX278" s="711">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711">
        <f t="shared" si="153"/>
        <v>0</v>
      </c>
      <c r="AW279" s="711">
        <f t="shared" si="154"/>
        <v>0</v>
      </c>
      <c r="AX279" s="711">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711">
        <f t="shared" si="153"/>
        <v>0</v>
      </c>
      <c r="AW280" s="711">
        <f t="shared" si="154"/>
        <v>0</v>
      </c>
      <c r="AX280" s="711">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711">
        <f t="shared" si="153"/>
        <v>0</v>
      </c>
      <c r="AW281" s="711">
        <f t="shared" si="154"/>
        <v>0</v>
      </c>
      <c r="AX281" s="711">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711">
        <f t="shared" si="153"/>
        <v>0</v>
      </c>
      <c r="AW282" s="711">
        <f t="shared" si="154"/>
        <v>0</v>
      </c>
      <c r="AX282" s="711">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711">
        <f t="shared" si="153"/>
        <v>0</v>
      </c>
      <c r="AW283" s="711">
        <f t="shared" si="154"/>
        <v>0</v>
      </c>
      <c r="AX283" s="711">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711">
        <f t="shared" si="153"/>
        <v>0</v>
      </c>
      <c r="AW284" s="711">
        <f t="shared" si="154"/>
        <v>0</v>
      </c>
      <c r="AX284" s="711">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711">
        <f t="shared" si="153"/>
        <v>0</v>
      </c>
      <c r="AW285" s="711">
        <f t="shared" si="154"/>
        <v>0</v>
      </c>
      <c r="AX285" s="711">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711">
        <f t="shared" si="153"/>
        <v>0</v>
      </c>
      <c r="AW286" s="711">
        <f t="shared" si="154"/>
        <v>0</v>
      </c>
      <c r="AX286" s="711">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711">
        <f t="shared" si="153"/>
        <v>0</v>
      </c>
      <c r="AW287" s="711">
        <f t="shared" si="154"/>
        <v>0</v>
      </c>
      <c r="AX287" s="711">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711">
        <f t="shared" si="153"/>
        <v>0</v>
      </c>
      <c r="AW288" s="711">
        <f t="shared" si="154"/>
        <v>0</v>
      </c>
      <c r="AX288" s="711">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711">
        <f t="shared" si="153"/>
        <v>0</v>
      </c>
      <c r="AW289" s="711">
        <f t="shared" si="154"/>
        <v>0</v>
      </c>
      <c r="AX289" s="711">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711">
        <f t="shared" si="153"/>
        <v>0</v>
      </c>
      <c r="AW290" s="711">
        <f t="shared" si="154"/>
        <v>0</v>
      </c>
      <c r="AX290" s="711">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711">
        <f t="shared" si="153"/>
        <v>0</v>
      </c>
      <c r="AW291" s="711">
        <f t="shared" si="154"/>
        <v>0</v>
      </c>
      <c r="AX291" s="711">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711">
        <f t="shared" si="153"/>
        <v>0</v>
      </c>
      <c r="AW292" s="711">
        <f t="shared" si="154"/>
        <v>0</v>
      </c>
      <c r="AX292" s="711">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711">
        <f t="shared" si="153"/>
        <v>0</v>
      </c>
      <c r="AW293" s="711">
        <f t="shared" si="154"/>
        <v>0</v>
      </c>
      <c r="AX293" s="711">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711">
        <f t="shared" si="153"/>
        <v>0</v>
      </c>
      <c r="AW294" s="711">
        <f t="shared" si="154"/>
        <v>0</v>
      </c>
      <c r="AX294" s="711">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711">
        <f t="shared" si="153"/>
        <v>0</v>
      </c>
      <c r="AW295" s="711">
        <f t="shared" si="154"/>
        <v>0</v>
      </c>
      <c r="AX295" s="711">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711">
        <f t="shared" si="153"/>
        <v>0</v>
      </c>
      <c r="AW296" s="711">
        <f t="shared" si="154"/>
        <v>0</v>
      </c>
      <c r="AX296" s="711">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711">
        <f t="shared" ref="AV297:AV328" si="204">A297</f>
        <v>0</v>
      </c>
      <c r="AW297" s="711">
        <f t="shared" ref="AW297:AW328" si="205">B297</f>
        <v>0</v>
      </c>
      <c r="AX297" s="711">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711">
        <f t="shared" si="204"/>
        <v>0</v>
      </c>
      <c r="AW298" s="711">
        <f t="shared" si="205"/>
        <v>0</v>
      </c>
      <c r="AX298" s="711">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711">
        <f t="shared" si="204"/>
        <v>0</v>
      </c>
      <c r="AW299" s="711">
        <f t="shared" si="205"/>
        <v>0</v>
      </c>
      <c r="AX299" s="711">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711">
        <f t="shared" si="204"/>
        <v>0</v>
      </c>
      <c r="AW300" s="711">
        <f t="shared" si="205"/>
        <v>0</v>
      </c>
      <c r="AX300" s="711">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711">
        <f t="shared" si="204"/>
        <v>0</v>
      </c>
      <c r="AW301" s="711">
        <f t="shared" si="205"/>
        <v>0</v>
      </c>
      <c r="AX301" s="711">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711">
        <f t="shared" si="204"/>
        <v>0</v>
      </c>
      <c r="AW302" s="711">
        <f t="shared" si="205"/>
        <v>0</v>
      </c>
      <c r="AX302" s="711">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711">
        <f t="shared" si="204"/>
        <v>0</v>
      </c>
      <c r="AW303" s="711">
        <f t="shared" si="205"/>
        <v>0</v>
      </c>
      <c r="AX303" s="711">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711">
        <f t="shared" si="204"/>
        <v>0</v>
      </c>
      <c r="AW304" s="711">
        <f t="shared" si="205"/>
        <v>0</v>
      </c>
      <c r="AX304" s="711">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711">
        <f t="shared" si="204"/>
        <v>0</v>
      </c>
      <c r="AW305" s="711">
        <f t="shared" si="205"/>
        <v>0</v>
      </c>
      <c r="AX305" s="711">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711">
        <f t="shared" si="204"/>
        <v>0</v>
      </c>
      <c r="AW306" s="711">
        <f t="shared" si="205"/>
        <v>0</v>
      </c>
      <c r="AX306" s="711">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711">
        <f t="shared" si="204"/>
        <v>0</v>
      </c>
      <c r="AW307" s="711">
        <f t="shared" si="205"/>
        <v>0</v>
      </c>
      <c r="AX307" s="711">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711">
        <f t="shared" si="204"/>
        <v>0</v>
      </c>
      <c r="AW308" s="711">
        <f t="shared" si="205"/>
        <v>0</v>
      </c>
      <c r="AX308" s="711">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711">
        <f t="shared" si="204"/>
        <v>0</v>
      </c>
      <c r="AW309" s="711">
        <f t="shared" si="205"/>
        <v>0</v>
      </c>
      <c r="AX309" s="711">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711">
        <f t="shared" si="204"/>
        <v>0</v>
      </c>
      <c r="AW310" s="711">
        <f t="shared" si="205"/>
        <v>0</v>
      </c>
      <c r="AX310" s="711">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711">
        <f t="shared" si="204"/>
        <v>0</v>
      </c>
      <c r="AW311" s="711">
        <f t="shared" si="205"/>
        <v>0</v>
      </c>
      <c r="AX311" s="711">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711">
        <f t="shared" si="204"/>
        <v>0</v>
      </c>
      <c r="AW312" s="711">
        <f t="shared" si="205"/>
        <v>0</v>
      </c>
      <c r="AX312" s="711">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711">
        <f t="shared" si="204"/>
        <v>0</v>
      </c>
      <c r="AW313" s="711">
        <f t="shared" si="205"/>
        <v>0</v>
      </c>
      <c r="AX313" s="711">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711">
        <f t="shared" si="204"/>
        <v>0</v>
      </c>
      <c r="AW314" s="711">
        <f t="shared" si="205"/>
        <v>0</v>
      </c>
      <c r="AX314" s="711">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711">
        <f t="shared" si="204"/>
        <v>0</v>
      </c>
      <c r="AW315" s="711">
        <f t="shared" si="205"/>
        <v>0</v>
      </c>
      <c r="AX315" s="711">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711">
        <f t="shared" si="204"/>
        <v>0</v>
      </c>
      <c r="AW316" s="711">
        <f t="shared" si="205"/>
        <v>0</v>
      </c>
      <c r="AX316" s="711">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711">
        <f t="shared" si="204"/>
        <v>0</v>
      </c>
      <c r="AW317" s="711">
        <f t="shared" si="205"/>
        <v>0</v>
      </c>
      <c r="AX317" s="711">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711">
        <f t="shared" si="204"/>
        <v>0</v>
      </c>
      <c r="AW318" s="711">
        <f t="shared" si="205"/>
        <v>0</v>
      </c>
      <c r="AX318" s="711">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711">
        <f t="shared" si="204"/>
        <v>0</v>
      </c>
      <c r="AW319" s="711">
        <f t="shared" si="205"/>
        <v>0</v>
      </c>
      <c r="AX319" s="711">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711">
        <f t="shared" si="204"/>
        <v>0</v>
      </c>
      <c r="AW320" s="711">
        <f t="shared" si="205"/>
        <v>0</v>
      </c>
      <c r="AX320" s="711">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711">
        <f t="shared" si="204"/>
        <v>0</v>
      </c>
      <c r="AW321" s="711">
        <f t="shared" si="205"/>
        <v>0</v>
      </c>
      <c r="AX321" s="711">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711">
        <f t="shared" si="204"/>
        <v>0</v>
      </c>
      <c r="AW322" s="711">
        <f t="shared" si="205"/>
        <v>0</v>
      </c>
      <c r="AX322" s="711">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711">
        <f t="shared" si="204"/>
        <v>0</v>
      </c>
      <c r="AW323" s="711">
        <f t="shared" si="205"/>
        <v>0</v>
      </c>
      <c r="AX323" s="711">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711">
        <f t="shared" si="204"/>
        <v>0</v>
      </c>
      <c r="AW324" s="711">
        <f t="shared" si="205"/>
        <v>0</v>
      </c>
      <c r="AX324" s="711">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711">
        <f t="shared" si="204"/>
        <v>0</v>
      </c>
      <c r="AW325" s="711">
        <f t="shared" si="205"/>
        <v>0</v>
      </c>
      <c r="AX325" s="711">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711">
        <f t="shared" si="204"/>
        <v>0</v>
      </c>
      <c r="AW326" s="711">
        <f t="shared" si="205"/>
        <v>0</v>
      </c>
      <c r="AX326" s="711">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711">
        <f t="shared" si="204"/>
        <v>0</v>
      </c>
      <c r="AW327" s="711">
        <f t="shared" si="205"/>
        <v>0</v>
      </c>
      <c r="AX327" s="711">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711">
        <f t="shared" si="204"/>
        <v>0</v>
      </c>
      <c r="AW328" s="711">
        <f t="shared" si="205"/>
        <v>0</v>
      </c>
      <c r="AX328" s="711">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711">
        <f t="shared" ref="AV329:AV360" si="233">A329</f>
        <v>0</v>
      </c>
      <c r="AW329" s="711">
        <f t="shared" ref="AW329:AW360" si="234">B329</f>
        <v>0</v>
      </c>
      <c r="AX329" s="711">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711">
        <f t="shared" si="233"/>
        <v>0</v>
      </c>
      <c r="AW330" s="711">
        <f t="shared" si="234"/>
        <v>0</v>
      </c>
      <c r="AX330" s="711">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711">
        <f t="shared" si="233"/>
        <v>0</v>
      </c>
      <c r="AW331" s="711">
        <f t="shared" si="234"/>
        <v>0</v>
      </c>
      <c r="AX331" s="711">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711">
        <f t="shared" si="233"/>
        <v>0</v>
      </c>
      <c r="AW332" s="711">
        <f t="shared" si="234"/>
        <v>0</v>
      </c>
      <c r="AX332" s="711">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711">
        <f t="shared" si="233"/>
        <v>0</v>
      </c>
      <c r="AW333" s="711">
        <f t="shared" si="234"/>
        <v>0</v>
      </c>
      <c r="AX333" s="711">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711">
        <f t="shared" si="233"/>
        <v>0</v>
      </c>
      <c r="AW334" s="711">
        <f t="shared" si="234"/>
        <v>0</v>
      </c>
      <c r="AX334" s="711">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711">
        <f t="shared" si="233"/>
        <v>0</v>
      </c>
      <c r="AW335" s="711">
        <f t="shared" si="234"/>
        <v>0</v>
      </c>
      <c r="AX335" s="711">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711">
        <f t="shared" si="233"/>
        <v>0</v>
      </c>
      <c r="AW336" s="711">
        <f t="shared" si="234"/>
        <v>0</v>
      </c>
      <c r="AX336" s="711">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711">
        <f t="shared" si="233"/>
        <v>0</v>
      </c>
      <c r="AW337" s="711">
        <f t="shared" si="234"/>
        <v>0</v>
      </c>
      <c r="AX337" s="711">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711">
        <f t="shared" si="233"/>
        <v>0</v>
      </c>
      <c r="AW338" s="711">
        <f t="shared" si="234"/>
        <v>0</v>
      </c>
      <c r="AX338" s="711">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711">
        <f t="shared" si="233"/>
        <v>0</v>
      </c>
      <c r="AW339" s="711">
        <f t="shared" si="234"/>
        <v>0</v>
      </c>
      <c r="AX339" s="711">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711">
        <f t="shared" si="233"/>
        <v>0</v>
      </c>
      <c r="AW340" s="711">
        <f t="shared" si="234"/>
        <v>0</v>
      </c>
      <c r="AX340" s="711">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711">
        <f t="shared" si="233"/>
        <v>0</v>
      </c>
      <c r="AW341" s="711">
        <f t="shared" si="234"/>
        <v>0</v>
      </c>
      <c r="AX341" s="711">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711">
        <f t="shared" si="233"/>
        <v>0</v>
      </c>
      <c r="AW342" s="711">
        <f t="shared" si="234"/>
        <v>0</v>
      </c>
      <c r="AX342" s="711">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711">
        <f t="shared" si="233"/>
        <v>0</v>
      </c>
      <c r="AW343" s="711">
        <f t="shared" si="234"/>
        <v>0</v>
      </c>
      <c r="AX343" s="711">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711">
        <f t="shared" si="233"/>
        <v>0</v>
      </c>
      <c r="AW344" s="711">
        <f t="shared" si="234"/>
        <v>0</v>
      </c>
      <c r="AX344" s="711">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711">
        <f t="shared" si="233"/>
        <v>0</v>
      </c>
      <c r="AW345" s="711">
        <f t="shared" si="234"/>
        <v>0</v>
      </c>
      <c r="AX345" s="711">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711">
        <f t="shared" si="233"/>
        <v>0</v>
      </c>
      <c r="AW346" s="711">
        <f t="shared" si="234"/>
        <v>0</v>
      </c>
      <c r="AX346" s="711">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711">
        <f t="shared" si="233"/>
        <v>0</v>
      </c>
      <c r="AW347" s="711">
        <f t="shared" si="234"/>
        <v>0</v>
      </c>
      <c r="AX347" s="711">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711">
        <f t="shared" si="233"/>
        <v>0</v>
      </c>
      <c r="AW348" s="711">
        <f t="shared" si="234"/>
        <v>0</v>
      </c>
      <c r="AX348" s="711">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711">
        <f t="shared" si="233"/>
        <v>0</v>
      </c>
      <c r="AW349" s="711">
        <f t="shared" si="234"/>
        <v>0</v>
      </c>
      <c r="AX349" s="711">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711">
        <f t="shared" si="233"/>
        <v>0</v>
      </c>
      <c r="AW350" s="711">
        <f t="shared" si="234"/>
        <v>0</v>
      </c>
      <c r="AX350" s="711">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711">
        <f t="shared" si="233"/>
        <v>0</v>
      </c>
      <c r="AW351" s="711">
        <f t="shared" si="234"/>
        <v>0</v>
      </c>
      <c r="AX351" s="711">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711">
        <f t="shared" si="233"/>
        <v>0</v>
      </c>
      <c r="AW352" s="711">
        <f t="shared" si="234"/>
        <v>0</v>
      </c>
      <c r="AX352" s="711">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711">
        <f t="shared" si="233"/>
        <v>0</v>
      </c>
      <c r="AW353" s="711">
        <f t="shared" si="234"/>
        <v>0</v>
      </c>
      <c r="AX353" s="711">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711">
        <f t="shared" si="233"/>
        <v>0</v>
      </c>
      <c r="AW354" s="711">
        <f t="shared" si="234"/>
        <v>0</v>
      </c>
      <c r="AX354" s="711">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711">
        <f t="shared" si="233"/>
        <v>0</v>
      </c>
      <c r="AW355" s="711">
        <f t="shared" si="234"/>
        <v>0</v>
      </c>
      <c r="AX355" s="711">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711">
        <f t="shared" si="233"/>
        <v>0</v>
      </c>
      <c r="AW356" s="711">
        <f t="shared" si="234"/>
        <v>0</v>
      </c>
      <c r="AX356" s="711">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711">
        <f t="shared" si="233"/>
        <v>0</v>
      </c>
      <c r="AW357" s="711">
        <f t="shared" si="234"/>
        <v>0</v>
      </c>
      <c r="AX357" s="711">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711">
        <f t="shared" si="233"/>
        <v>0</v>
      </c>
      <c r="AW358" s="711">
        <f t="shared" si="234"/>
        <v>0</v>
      </c>
      <c r="AX358" s="711">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711">
        <f t="shared" si="233"/>
        <v>0</v>
      </c>
      <c r="AW359" s="711">
        <f t="shared" si="234"/>
        <v>0</v>
      </c>
      <c r="AX359" s="711">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711">
        <f t="shared" si="233"/>
        <v>0</v>
      </c>
      <c r="AW360" s="711">
        <f t="shared" si="234"/>
        <v>0</v>
      </c>
      <c r="AX360" s="711">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711">
        <f t="shared" ref="AV361:AV388" si="262">A361</f>
        <v>0</v>
      </c>
      <c r="AW361" s="711">
        <f t="shared" ref="AW361:AW388" si="263">B361</f>
        <v>0</v>
      </c>
      <c r="AX361" s="711">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711">
        <f t="shared" si="262"/>
        <v>0</v>
      </c>
      <c r="AW362" s="711">
        <f t="shared" si="263"/>
        <v>0</v>
      </c>
      <c r="AX362" s="711">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711">
        <f t="shared" si="262"/>
        <v>0</v>
      </c>
      <c r="AW363" s="711">
        <f t="shared" si="263"/>
        <v>0</v>
      </c>
      <c r="AX363" s="711">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711">
        <f t="shared" si="262"/>
        <v>0</v>
      </c>
      <c r="AW364" s="711">
        <f t="shared" si="263"/>
        <v>0</v>
      </c>
      <c r="AX364" s="711">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711">
        <f t="shared" si="262"/>
        <v>0</v>
      </c>
      <c r="AW365" s="711">
        <f t="shared" si="263"/>
        <v>0</v>
      </c>
      <c r="AX365" s="711">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711">
        <f t="shared" si="262"/>
        <v>0</v>
      </c>
      <c r="AW366" s="711">
        <f t="shared" si="263"/>
        <v>0</v>
      </c>
      <c r="AX366" s="711">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711">
        <f t="shared" si="262"/>
        <v>0</v>
      </c>
      <c r="AW367" s="711">
        <f t="shared" si="263"/>
        <v>0</v>
      </c>
      <c r="AX367" s="711">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711">
        <f t="shared" si="262"/>
        <v>0</v>
      </c>
      <c r="AW368" s="711">
        <f t="shared" si="263"/>
        <v>0</v>
      </c>
      <c r="AX368" s="711">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711">
        <f t="shared" si="262"/>
        <v>0</v>
      </c>
      <c r="AW369" s="711">
        <f t="shared" si="263"/>
        <v>0</v>
      </c>
      <c r="AX369" s="711">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711">
        <f t="shared" si="262"/>
        <v>0</v>
      </c>
      <c r="AW370" s="711">
        <f t="shared" si="263"/>
        <v>0</v>
      </c>
      <c r="AX370" s="711">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711">
        <f t="shared" si="262"/>
        <v>0</v>
      </c>
      <c r="AW371" s="711">
        <f t="shared" si="263"/>
        <v>0</v>
      </c>
      <c r="AX371" s="711">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711">
        <f t="shared" si="262"/>
        <v>0</v>
      </c>
      <c r="AW372" s="711">
        <f t="shared" si="263"/>
        <v>0</v>
      </c>
      <c r="AX372" s="711">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711">
        <f t="shared" si="262"/>
        <v>0</v>
      </c>
      <c r="AW373" s="711">
        <f t="shared" si="263"/>
        <v>0</v>
      </c>
      <c r="AX373" s="711">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711">
        <f t="shared" si="262"/>
        <v>0</v>
      </c>
      <c r="AW374" s="711">
        <f t="shared" si="263"/>
        <v>0</v>
      </c>
      <c r="AX374" s="711">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711">
        <f t="shared" si="262"/>
        <v>0</v>
      </c>
      <c r="AW375" s="711">
        <f t="shared" si="263"/>
        <v>0</v>
      </c>
      <c r="AX375" s="711">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711">
        <f t="shared" si="262"/>
        <v>0</v>
      </c>
      <c r="AW376" s="711">
        <f t="shared" si="263"/>
        <v>0</v>
      </c>
      <c r="AX376" s="711">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711">
        <f t="shared" si="262"/>
        <v>0</v>
      </c>
      <c r="AW377" s="711">
        <f t="shared" si="263"/>
        <v>0</v>
      </c>
      <c r="AX377" s="711">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711">
        <f t="shared" si="262"/>
        <v>0</v>
      </c>
      <c r="AW378" s="711">
        <f t="shared" si="263"/>
        <v>0</v>
      </c>
      <c r="AX378" s="711">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711">
        <f t="shared" si="262"/>
        <v>0</v>
      </c>
      <c r="AW379" s="711">
        <f t="shared" si="263"/>
        <v>0</v>
      </c>
      <c r="AX379" s="711">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711">
        <f t="shared" si="262"/>
        <v>0</v>
      </c>
      <c r="AW380" s="711">
        <f t="shared" si="263"/>
        <v>0</v>
      </c>
      <c r="AX380" s="711">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711">
        <f t="shared" si="262"/>
        <v>0</v>
      </c>
      <c r="AW381" s="711">
        <f t="shared" si="263"/>
        <v>0</v>
      </c>
      <c r="AX381" s="711">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711">
        <f t="shared" si="262"/>
        <v>0</v>
      </c>
      <c r="AW382" s="711">
        <f t="shared" si="263"/>
        <v>0</v>
      </c>
      <c r="AX382" s="711">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711">
        <f t="shared" si="262"/>
        <v>0</v>
      </c>
      <c r="AW383" s="711">
        <f t="shared" si="263"/>
        <v>0</v>
      </c>
      <c r="AX383" s="711">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711">
        <f t="shared" si="262"/>
        <v>0</v>
      </c>
      <c r="AW384" s="711">
        <f t="shared" si="263"/>
        <v>0</v>
      </c>
      <c r="AX384" s="711">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711">
        <f t="shared" si="262"/>
        <v>0</v>
      </c>
      <c r="AW385" s="711">
        <f t="shared" si="263"/>
        <v>0</v>
      </c>
      <c r="AX385" s="711">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711">
        <f t="shared" si="262"/>
        <v>0</v>
      </c>
      <c r="AW386" s="711">
        <f t="shared" si="263"/>
        <v>0</v>
      </c>
      <c r="AX386" s="711">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711">
        <f t="shared" si="262"/>
        <v>0</v>
      </c>
      <c r="AW387" s="711">
        <f t="shared" si="263"/>
        <v>0</v>
      </c>
      <c r="AX387" s="711">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711">
        <f t="shared" si="262"/>
        <v>0</v>
      </c>
      <c r="AW388" s="711">
        <f t="shared" si="263"/>
        <v>0</v>
      </c>
      <c r="AX388" s="711">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711">
        <f t="shared" ref="AV389:AV480" si="269">A389</f>
        <v>0</v>
      </c>
      <c r="AW389" s="711">
        <f t="shared" ref="AW389:AW480" si="270">B389</f>
        <v>0</v>
      </c>
      <c r="AX389" s="711">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711">
        <f t="shared" si="269"/>
        <v>0</v>
      </c>
      <c r="AW390" s="711">
        <f t="shared" si="270"/>
        <v>0</v>
      </c>
      <c r="AX390" s="711">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711">
        <f t="shared" si="269"/>
        <v>0</v>
      </c>
      <c r="AW391" s="711">
        <f t="shared" si="270"/>
        <v>0</v>
      </c>
      <c r="AX391" s="711">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711">
        <f t="shared" si="269"/>
        <v>0</v>
      </c>
      <c r="AW392" s="711">
        <f t="shared" si="270"/>
        <v>0</v>
      </c>
      <c r="AX392" s="711">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711">
        <f t="shared" si="269"/>
        <v>0</v>
      </c>
      <c r="AW393" s="711">
        <f t="shared" si="270"/>
        <v>0</v>
      </c>
      <c r="AX393" s="711">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711">
        <f t="shared" si="269"/>
        <v>0</v>
      </c>
      <c r="AW394" s="711">
        <f t="shared" si="270"/>
        <v>0</v>
      </c>
      <c r="AX394" s="711">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711">
        <f t="shared" si="269"/>
        <v>0</v>
      </c>
      <c r="AW395" s="711">
        <f t="shared" si="270"/>
        <v>0</v>
      </c>
      <c r="AX395" s="711">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711">
        <f t="shared" si="269"/>
        <v>0</v>
      </c>
      <c r="AW396" s="711">
        <f t="shared" si="270"/>
        <v>0</v>
      </c>
      <c r="AX396" s="711">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711">
        <f t="shared" si="269"/>
        <v>0</v>
      </c>
      <c r="AW397" s="711">
        <f t="shared" si="270"/>
        <v>0</v>
      </c>
      <c r="AX397" s="711">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711">
        <f t="shared" si="269"/>
        <v>0</v>
      </c>
      <c r="AW398" s="711">
        <f t="shared" si="270"/>
        <v>0</v>
      </c>
      <c r="AX398" s="711">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711">
        <f t="shared" si="269"/>
        <v>0</v>
      </c>
      <c r="AW399" s="711">
        <f t="shared" si="270"/>
        <v>0</v>
      </c>
      <c r="AX399" s="711">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711">
        <f t="shared" si="269"/>
        <v>0</v>
      </c>
      <c r="AW400" s="711">
        <f t="shared" si="270"/>
        <v>0</v>
      </c>
      <c r="AX400" s="711">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711">
        <f t="shared" si="269"/>
        <v>0</v>
      </c>
      <c r="AW401" s="711">
        <f t="shared" si="270"/>
        <v>0</v>
      </c>
      <c r="AX401" s="711">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711">
        <f t="shared" si="269"/>
        <v>0</v>
      </c>
      <c r="AW402" s="711">
        <f t="shared" si="270"/>
        <v>0</v>
      </c>
      <c r="AX402" s="711">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711">
        <f t="shared" si="269"/>
        <v>0</v>
      </c>
      <c r="AW403" s="711">
        <f t="shared" si="270"/>
        <v>0</v>
      </c>
      <c r="AX403" s="711">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711">
        <f t="shared" si="269"/>
        <v>0</v>
      </c>
      <c r="AW404" s="711">
        <f t="shared" si="270"/>
        <v>0</v>
      </c>
      <c r="AX404" s="711">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711">
        <f t="shared" si="269"/>
        <v>0</v>
      </c>
      <c r="AW405" s="711">
        <f t="shared" si="270"/>
        <v>0</v>
      </c>
      <c r="AX405" s="711">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711">
        <f t="shared" si="269"/>
        <v>0</v>
      </c>
      <c r="AW406" s="711">
        <f t="shared" si="270"/>
        <v>0</v>
      </c>
      <c r="AX406" s="711">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711">
        <f t="shared" si="269"/>
        <v>0</v>
      </c>
      <c r="AW407" s="711">
        <f t="shared" si="270"/>
        <v>0</v>
      </c>
      <c r="AX407" s="711">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711">
        <f t="shared" si="269"/>
        <v>0</v>
      </c>
      <c r="AW408" s="711">
        <f t="shared" si="270"/>
        <v>0</v>
      </c>
      <c r="AX408" s="711">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711">
        <f t="shared" si="269"/>
        <v>0</v>
      </c>
      <c r="AW409" s="711">
        <f t="shared" si="270"/>
        <v>0</v>
      </c>
      <c r="AX409" s="711">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711">
        <f t="shared" si="269"/>
        <v>0</v>
      </c>
      <c r="AW410" s="711">
        <f t="shared" si="270"/>
        <v>0</v>
      </c>
      <c r="AX410" s="711">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711">
        <f t="shared" si="269"/>
        <v>0</v>
      </c>
      <c r="AW411" s="711">
        <f t="shared" si="270"/>
        <v>0</v>
      </c>
      <c r="AX411" s="711">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711">
        <f t="shared" si="269"/>
        <v>0</v>
      </c>
      <c r="AW412" s="711">
        <f t="shared" si="270"/>
        <v>0</v>
      </c>
      <c r="AX412" s="711">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711">
        <f t="shared" si="269"/>
        <v>0</v>
      </c>
      <c r="AW413" s="711">
        <f t="shared" si="270"/>
        <v>0</v>
      </c>
      <c r="AX413" s="711">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711">
        <f t="shared" si="269"/>
        <v>0</v>
      </c>
      <c r="AW414" s="711">
        <f t="shared" si="270"/>
        <v>0</v>
      </c>
      <c r="AX414" s="711">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711">
        <f t="shared" si="269"/>
        <v>0</v>
      </c>
      <c r="AW415" s="711">
        <f t="shared" si="270"/>
        <v>0</v>
      </c>
      <c r="AX415" s="711">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711">
        <f t="shared" si="269"/>
        <v>0</v>
      </c>
      <c r="AW416" s="711">
        <f t="shared" si="270"/>
        <v>0</v>
      </c>
      <c r="AX416" s="711">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711">
        <f t="shared" si="269"/>
        <v>0</v>
      </c>
      <c r="AW417" s="711">
        <f t="shared" si="270"/>
        <v>0</v>
      </c>
      <c r="AX417" s="711">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711">
        <f t="shared" si="269"/>
        <v>0</v>
      </c>
      <c r="AW418" s="711">
        <f t="shared" si="270"/>
        <v>0</v>
      </c>
      <c r="AX418" s="711">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711">
        <f t="shared" si="269"/>
        <v>0</v>
      </c>
      <c r="AW419" s="711">
        <f t="shared" si="270"/>
        <v>0</v>
      </c>
      <c r="AX419" s="711">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711">
        <f t="shared" si="269"/>
        <v>0</v>
      </c>
      <c r="AW420" s="711">
        <f t="shared" si="270"/>
        <v>0</v>
      </c>
      <c r="AX420" s="711">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711">
        <f t="shared" si="269"/>
        <v>0</v>
      </c>
      <c r="AW421" s="711">
        <f t="shared" si="270"/>
        <v>0</v>
      </c>
      <c r="AX421" s="711">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711">
        <f t="shared" si="269"/>
        <v>0</v>
      </c>
      <c r="AW422" s="711">
        <f t="shared" si="270"/>
        <v>0</v>
      </c>
      <c r="AX422" s="711">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711">
        <f t="shared" si="269"/>
        <v>0</v>
      </c>
      <c r="AW423" s="711">
        <f t="shared" si="270"/>
        <v>0</v>
      </c>
      <c r="AX423" s="711">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711">
        <f t="shared" si="269"/>
        <v>0</v>
      </c>
      <c r="AW424" s="711">
        <f t="shared" si="270"/>
        <v>0</v>
      </c>
      <c r="AX424" s="711">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711">
        <f t="shared" si="269"/>
        <v>0</v>
      </c>
      <c r="AW425" s="711">
        <f t="shared" si="270"/>
        <v>0</v>
      </c>
      <c r="AX425" s="711">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711">
        <f t="shared" si="269"/>
        <v>0</v>
      </c>
      <c r="AW426" s="711">
        <f t="shared" si="270"/>
        <v>0</v>
      </c>
      <c r="AX426" s="711">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711">
        <f t="shared" si="269"/>
        <v>0</v>
      </c>
      <c r="AW427" s="711">
        <f t="shared" si="270"/>
        <v>0</v>
      </c>
      <c r="AX427" s="711">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711">
        <f t="shared" si="269"/>
        <v>0</v>
      </c>
      <c r="AW428" s="711">
        <f t="shared" si="270"/>
        <v>0</v>
      </c>
      <c r="AX428" s="711">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711">
        <f t="shared" si="269"/>
        <v>0</v>
      </c>
      <c r="AW429" s="711">
        <f t="shared" si="270"/>
        <v>0</v>
      </c>
      <c r="AX429" s="711">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711">
        <f t="shared" si="269"/>
        <v>0</v>
      </c>
      <c r="AW430" s="711">
        <f t="shared" si="270"/>
        <v>0</v>
      </c>
      <c r="AX430" s="711">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711">
        <f t="shared" si="269"/>
        <v>0</v>
      </c>
      <c r="AW431" s="711">
        <f t="shared" si="270"/>
        <v>0</v>
      </c>
      <c r="AX431" s="711">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711">
        <f t="shared" si="269"/>
        <v>0</v>
      </c>
      <c r="AW432" s="711">
        <f t="shared" si="270"/>
        <v>0</v>
      </c>
      <c r="AX432" s="711">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711">
        <f t="shared" si="269"/>
        <v>0</v>
      </c>
      <c r="AW433" s="711">
        <f t="shared" si="270"/>
        <v>0</v>
      </c>
      <c r="AX433" s="711">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711">
        <f t="shared" si="269"/>
        <v>0</v>
      </c>
      <c r="AW434" s="711">
        <f t="shared" si="270"/>
        <v>0</v>
      </c>
      <c r="AX434" s="711">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711">
        <f t="shared" si="269"/>
        <v>0</v>
      </c>
      <c r="AW435" s="711">
        <f t="shared" si="270"/>
        <v>0</v>
      </c>
      <c r="AX435" s="711">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711">
        <f t="shared" si="269"/>
        <v>0</v>
      </c>
      <c r="AW436" s="711">
        <f t="shared" si="270"/>
        <v>0</v>
      </c>
      <c r="AX436" s="711">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711">
        <f t="shared" si="269"/>
        <v>0</v>
      </c>
      <c r="AW437" s="711">
        <f t="shared" si="270"/>
        <v>0</v>
      </c>
      <c r="AX437" s="711">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711">
        <f t="shared" si="269"/>
        <v>0</v>
      </c>
      <c r="AW438" s="711">
        <f t="shared" si="270"/>
        <v>0</v>
      </c>
      <c r="AX438" s="711">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711">
        <f t="shared" si="269"/>
        <v>0</v>
      </c>
      <c r="AW439" s="711">
        <f t="shared" si="270"/>
        <v>0</v>
      </c>
      <c r="AX439" s="711">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711">
        <f t="shared" si="269"/>
        <v>0</v>
      </c>
      <c r="AW440" s="711">
        <f t="shared" si="270"/>
        <v>0</v>
      </c>
      <c r="AX440" s="711">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711">
        <f t="shared" si="269"/>
        <v>0</v>
      </c>
      <c r="AW441" s="711">
        <f t="shared" si="270"/>
        <v>0</v>
      </c>
      <c r="AX441" s="711">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711">
        <f t="shared" si="269"/>
        <v>0</v>
      </c>
      <c r="AW442" s="711">
        <f t="shared" si="270"/>
        <v>0</v>
      </c>
      <c r="AX442" s="711">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711">
        <f t="shared" si="269"/>
        <v>0</v>
      </c>
      <c r="AW443" s="711">
        <f t="shared" si="270"/>
        <v>0</v>
      </c>
      <c r="AX443" s="711">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711">
        <f t="shared" si="269"/>
        <v>0</v>
      </c>
      <c r="AW444" s="711">
        <f t="shared" si="270"/>
        <v>0</v>
      </c>
      <c r="AX444" s="711">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711">
        <f t="shared" si="269"/>
        <v>0</v>
      </c>
      <c r="AW445" s="711">
        <f t="shared" si="270"/>
        <v>0</v>
      </c>
      <c r="AX445" s="711">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711">
        <f t="shared" si="269"/>
        <v>0</v>
      </c>
      <c r="AW446" s="711">
        <f t="shared" si="270"/>
        <v>0</v>
      </c>
      <c r="AX446" s="711">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711">
        <f t="shared" si="269"/>
        <v>0</v>
      </c>
      <c r="AW447" s="711">
        <f t="shared" si="270"/>
        <v>0</v>
      </c>
      <c r="AX447" s="711">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711">
        <f t="shared" si="269"/>
        <v>0</v>
      </c>
      <c r="AW448" s="711">
        <f t="shared" si="270"/>
        <v>0</v>
      </c>
      <c r="AX448" s="711">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711">
        <f t="shared" si="269"/>
        <v>0</v>
      </c>
      <c r="AW449" s="711">
        <f t="shared" si="270"/>
        <v>0</v>
      </c>
      <c r="AX449" s="711">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711">
        <f t="shared" si="269"/>
        <v>0</v>
      </c>
      <c r="AW450" s="711">
        <f t="shared" si="270"/>
        <v>0</v>
      </c>
      <c r="AX450" s="711">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711">
        <f t="shared" si="269"/>
        <v>0</v>
      </c>
      <c r="AW451" s="711">
        <f t="shared" si="270"/>
        <v>0</v>
      </c>
      <c r="AX451" s="711">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711">
        <f t="shared" si="269"/>
        <v>0</v>
      </c>
      <c r="AW452" s="711">
        <f t="shared" si="270"/>
        <v>0</v>
      </c>
      <c r="AX452" s="711">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711">
        <f t="shared" si="269"/>
        <v>0</v>
      </c>
      <c r="AW453" s="711">
        <f t="shared" si="270"/>
        <v>0</v>
      </c>
      <c r="AX453" s="711">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711">
        <f t="shared" si="269"/>
        <v>0</v>
      </c>
      <c r="AW454" s="711">
        <f t="shared" si="270"/>
        <v>0</v>
      </c>
      <c r="AX454" s="711">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711">
        <f t="shared" si="269"/>
        <v>0</v>
      </c>
      <c r="AW455" s="711">
        <f t="shared" si="270"/>
        <v>0</v>
      </c>
      <c r="AX455" s="711">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711">
        <f t="shared" si="269"/>
        <v>0</v>
      </c>
      <c r="AW456" s="711">
        <f t="shared" si="270"/>
        <v>0</v>
      </c>
      <c r="AX456" s="711">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711">
        <f t="shared" si="269"/>
        <v>0</v>
      </c>
      <c r="AW457" s="711">
        <f t="shared" si="270"/>
        <v>0</v>
      </c>
      <c r="AX457" s="711">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711">
        <f t="shared" si="269"/>
        <v>0</v>
      </c>
      <c r="AW458" s="711">
        <f t="shared" si="270"/>
        <v>0</v>
      </c>
      <c r="AX458" s="711">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711">
        <f t="shared" si="269"/>
        <v>0</v>
      </c>
      <c r="AW459" s="711">
        <f t="shared" si="270"/>
        <v>0</v>
      </c>
      <c r="AX459" s="711">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711">
        <f t="shared" si="269"/>
        <v>0</v>
      </c>
      <c r="AW460" s="711">
        <f t="shared" si="270"/>
        <v>0</v>
      </c>
      <c r="AX460" s="711">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711">
        <f t="shared" si="269"/>
        <v>0</v>
      </c>
      <c r="AW461" s="711">
        <f t="shared" si="270"/>
        <v>0</v>
      </c>
      <c r="AX461" s="711">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711">
        <f t="shared" si="269"/>
        <v>0</v>
      </c>
      <c r="AW462" s="711">
        <f t="shared" si="270"/>
        <v>0</v>
      </c>
      <c r="AX462" s="711">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711">
        <f t="shared" si="269"/>
        <v>0</v>
      </c>
      <c r="AW463" s="711">
        <f t="shared" si="270"/>
        <v>0</v>
      </c>
      <c r="AX463" s="711">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711">
        <f t="shared" si="269"/>
        <v>0</v>
      </c>
      <c r="AW464" s="711">
        <f t="shared" si="270"/>
        <v>0</v>
      </c>
      <c r="AX464" s="711">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711">
        <f t="shared" si="269"/>
        <v>0</v>
      </c>
      <c r="AW465" s="711">
        <f t="shared" si="270"/>
        <v>0</v>
      </c>
      <c r="AX465" s="711">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711">
        <f t="shared" si="269"/>
        <v>0</v>
      </c>
      <c r="AW466" s="711">
        <f t="shared" si="270"/>
        <v>0</v>
      </c>
      <c r="AX466" s="711">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711">
        <f t="shared" si="269"/>
        <v>0</v>
      </c>
      <c r="AW467" s="711">
        <f t="shared" si="270"/>
        <v>0</v>
      </c>
      <c r="AX467" s="711">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711">
        <f t="shared" si="269"/>
        <v>0</v>
      </c>
      <c r="AW468" s="711">
        <f t="shared" si="270"/>
        <v>0</v>
      </c>
      <c r="AX468" s="711">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711">
        <f t="shared" si="269"/>
        <v>0</v>
      </c>
      <c r="AW469" s="711">
        <f t="shared" si="270"/>
        <v>0</v>
      </c>
      <c r="AX469" s="711">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711">
        <f t="shared" si="269"/>
        <v>0</v>
      </c>
      <c r="AW470" s="711">
        <f t="shared" si="270"/>
        <v>0</v>
      </c>
      <c r="AX470" s="711">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711">
        <f t="shared" si="269"/>
        <v>0</v>
      </c>
      <c r="AW471" s="711">
        <f t="shared" si="270"/>
        <v>0</v>
      </c>
      <c r="AX471" s="711">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711">
        <f t="shared" si="269"/>
        <v>0</v>
      </c>
      <c r="AW472" s="711">
        <f t="shared" si="270"/>
        <v>0</v>
      </c>
      <c r="AX472" s="711">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711">
        <f t="shared" si="269"/>
        <v>0</v>
      </c>
      <c r="AW473" s="711">
        <f t="shared" si="270"/>
        <v>0</v>
      </c>
      <c r="AX473" s="711">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711">
        <f t="shared" si="269"/>
        <v>0</v>
      </c>
      <c r="AW474" s="711">
        <f t="shared" si="270"/>
        <v>0</v>
      </c>
      <c r="AX474" s="711">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711">
        <f t="shared" si="269"/>
        <v>0</v>
      </c>
      <c r="AW475" s="711">
        <f t="shared" si="270"/>
        <v>0</v>
      </c>
      <c r="AX475" s="711">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711">
        <f t="shared" si="269"/>
        <v>0</v>
      </c>
      <c r="AW476" s="711">
        <f t="shared" si="270"/>
        <v>0</v>
      </c>
      <c r="AX476" s="711">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711">
        <f t="shared" si="269"/>
        <v>0</v>
      </c>
      <c r="AW477" s="711">
        <f t="shared" si="270"/>
        <v>0</v>
      </c>
      <c r="AX477" s="711">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711">
        <f t="shared" si="269"/>
        <v>0</v>
      </c>
      <c r="AW478" s="711">
        <f t="shared" si="270"/>
        <v>0</v>
      </c>
      <c r="AX478" s="711">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711">
        <f t="shared" si="269"/>
        <v>0</v>
      </c>
      <c r="AW479" s="711">
        <f t="shared" si="270"/>
        <v>0</v>
      </c>
      <c r="AX479" s="711">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711">
        <f t="shared" si="269"/>
        <v>0</v>
      </c>
      <c r="AW480" s="711">
        <f t="shared" si="270"/>
        <v>0</v>
      </c>
      <c r="AX480" s="711">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711">
        <f t="shared" ref="AV481:AV505" si="320">A481</f>
        <v>0</v>
      </c>
      <c r="AW481" s="711">
        <f t="shared" ref="AW481:AW505" si="321">B481</f>
        <v>0</v>
      </c>
      <c r="AX481" s="711">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711">
        <f t="shared" si="320"/>
        <v>0</v>
      </c>
      <c r="AW482" s="711">
        <f t="shared" si="321"/>
        <v>0</v>
      </c>
      <c r="AX482" s="711">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711">
        <f t="shared" si="320"/>
        <v>0</v>
      </c>
      <c r="AW483" s="711">
        <f t="shared" si="321"/>
        <v>0</v>
      </c>
      <c r="AX483" s="711">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711">
        <f t="shared" si="320"/>
        <v>0</v>
      </c>
      <c r="AW484" s="711">
        <f t="shared" si="321"/>
        <v>0</v>
      </c>
      <c r="AX484" s="711">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711">
        <f t="shared" si="320"/>
        <v>0</v>
      </c>
      <c r="AW485" s="711">
        <f t="shared" si="321"/>
        <v>0</v>
      </c>
      <c r="AX485" s="711">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711">
        <f t="shared" si="320"/>
        <v>0</v>
      </c>
      <c r="AW486" s="711">
        <f t="shared" si="321"/>
        <v>0</v>
      </c>
      <c r="AX486" s="711">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711">
        <f t="shared" si="320"/>
        <v>0</v>
      </c>
      <c r="AW487" s="711">
        <f t="shared" si="321"/>
        <v>0</v>
      </c>
      <c r="AX487" s="711">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711">
        <f t="shared" si="320"/>
        <v>0</v>
      </c>
      <c r="AW488" s="711">
        <f t="shared" si="321"/>
        <v>0</v>
      </c>
      <c r="AX488" s="711">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711">
        <f t="shared" si="320"/>
        <v>0</v>
      </c>
      <c r="AW489" s="711">
        <f t="shared" si="321"/>
        <v>0</v>
      </c>
      <c r="AX489" s="711">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711">
        <f t="shared" si="320"/>
        <v>0</v>
      </c>
      <c r="AW490" s="711">
        <f t="shared" si="321"/>
        <v>0</v>
      </c>
      <c r="AX490" s="711">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711">
        <f t="shared" si="320"/>
        <v>0</v>
      </c>
      <c r="AW491" s="711">
        <f t="shared" si="321"/>
        <v>0</v>
      </c>
      <c r="AX491" s="711">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711">
        <f t="shared" si="320"/>
        <v>0</v>
      </c>
      <c r="AW492" s="711">
        <f t="shared" si="321"/>
        <v>0</v>
      </c>
      <c r="AX492" s="711">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711">
        <f t="shared" si="320"/>
        <v>0</v>
      </c>
      <c r="AW493" s="711">
        <f t="shared" si="321"/>
        <v>0</v>
      </c>
      <c r="AX493" s="711">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711">
        <f t="shared" si="320"/>
        <v>0</v>
      </c>
      <c r="AW494" s="711">
        <f t="shared" si="321"/>
        <v>0</v>
      </c>
      <c r="AX494" s="711">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711">
        <f t="shared" si="320"/>
        <v>0</v>
      </c>
      <c r="AW495" s="711">
        <f t="shared" si="321"/>
        <v>0</v>
      </c>
      <c r="AX495" s="711">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711">
        <f t="shared" si="320"/>
        <v>0</v>
      </c>
      <c r="AW496" s="711">
        <f t="shared" si="321"/>
        <v>0</v>
      </c>
      <c r="AX496" s="711">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711">
        <f t="shared" si="320"/>
        <v>0</v>
      </c>
      <c r="AW497" s="711">
        <f t="shared" si="321"/>
        <v>0</v>
      </c>
      <c r="AX497" s="711">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711">
        <f t="shared" si="320"/>
        <v>0</v>
      </c>
      <c r="AW498" s="711">
        <f t="shared" si="321"/>
        <v>0</v>
      </c>
      <c r="AX498" s="711">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711">
        <f t="shared" si="320"/>
        <v>0</v>
      </c>
      <c r="AW499" s="711">
        <f t="shared" si="321"/>
        <v>0</v>
      </c>
      <c r="AX499" s="711">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711">
        <f t="shared" si="320"/>
        <v>0</v>
      </c>
      <c r="AW500" s="711">
        <f t="shared" si="321"/>
        <v>0</v>
      </c>
      <c r="AX500" s="711">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711">
        <f t="shared" si="320"/>
        <v>0</v>
      </c>
      <c r="AW501" s="711">
        <f t="shared" si="321"/>
        <v>0</v>
      </c>
      <c r="AX501" s="711">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711">
        <f t="shared" si="320"/>
        <v>0</v>
      </c>
      <c r="AW502" s="711">
        <f t="shared" si="321"/>
        <v>0</v>
      </c>
      <c r="AX502" s="711">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711">
        <f t="shared" si="320"/>
        <v>0</v>
      </c>
      <c r="AW503" s="711">
        <f t="shared" si="321"/>
        <v>0</v>
      </c>
      <c r="AX503" s="711">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711">
        <f t="shared" si="320"/>
        <v>0</v>
      </c>
      <c r="AW504" s="711">
        <f t="shared" si="321"/>
        <v>0</v>
      </c>
      <c r="AX504" s="711">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711">
        <f t="shared" si="320"/>
        <v>0</v>
      </c>
      <c r="AW505" s="711">
        <f t="shared" si="321"/>
        <v>0</v>
      </c>
      <c r="AX505" s="711">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711">
        <f t="shared" ref="AV506:AV537" si="324">A506</f>
        <v>0</v>
      </c>
      <c r="AW506" s="711">
        <f t="shared" ref="AW506:AW537" si="325">B506</f>
        <v>0</v>
      </c>
      <c r="AX506" s="711">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711">
        <f t="shared" si="324"/>
        <v>0</v>
      </c>
      <c r="AW507" s="711">
        <f t="shared" si="325"/>
        <v>0</v>
      </c>
      <c r="AX507" s="711">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711">
        <f t="shared" si="324"/>
        <v>0</v>
      </c>
      <c r="AW508" s="711">
        <f t="shared" si="325"/>
        <v>0</v>
      </c>
      <c r="AX508" s="711">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711">
        <f t="shared" si="324"/>
        <v>0</v>
      </c>
      <c r="AW509" s="711">
        <f t="shared" si="325"/>
        <v>0</v>
      </c>
      <c r="AX509" s="711">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711">
        <f t="shared" si="324"/>
        <v>0</v>
      </c>
      <c r="AW510" s="711">
        <f t="shared" si="325"/>
        <v>0</v>
      </c>
      <c r="AX510" s="711">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711">
        <f t="shared" si="324"/>
        <v>0</v>
      </c>
      <c r="AW511" s="711">
        <f t="shared" si="325"/>
        <v>0</v>
      </c>
      <c r="AX511" s="711">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711">
        <f t="shared" si="324"/>
        <v>0</v>
      </c>
      <c r="AW512" s="711">
        <f t="shared" si="325"/>
        <v>0</v>
      </c>
      <c r="AX512" s="711">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711">
        <f t="shared" si="324"/>
        <v>0</v>
      </c>
      <c r="AW513" s="711">
        <f t="shared" si="325"/>
        <v>0</v>
      </c>
      <c r="AX513" s="711">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711">
        <f t="shared" si="324"/>
        <v>0</v>
      </c>
      <c r="AW514" s="711">
        <f t="shared" si="325"/>
        <v>0</v>
      </c>
      <c r="AX514" s="711">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711">
        <f t="shared" si="324"/>
        <v>0</v>
      </c>
      <c r="AW515" s="711">
        <f t="shared" si="325"/>
        <v>0</v>
      </c>
      <c r="AX515" s="711">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711">
        <f t="shared" si="324"/>
        <v>0</v>
      </c>
      <c r="AW516" s="711">
        <f t="shared" si="325"/>
        <v>0</v>
      </c>
      <c r="AX516" s="711">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711">
        <f t="shared" si="324"/>
        <v>0</v>
      </c>
      <c r="AW517" s="711">
        <f t="shared" si="325"/>
        <v>0</v>
      </c>
      <c r="AX517" s="711">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711">
        <f t="shared" si="324"/>
        <v>0</v>
      </c>
      <c r="AW518" s="711">
        <f t="shared" si="325"/>
        <v>0</v>
      </c>
      <c r="AX518" s="711">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711">
        <f t="shared" si="324"/>
        <v>0</v>
      </c>
      <c r="AW519" s="711">
        <f t="shared" si="325"/>
        <v>0</v>
      </c>
      <c r="AX519" s="711">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711">
        <f t="shared" si="324"/>
        <v>0</v>
      </c>
      <c r="AW520" s="711">
        <f t="shared" si="325"/>
        <v>0</v>
      </c>
      <c r="AX520" s="711">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711">
        <f t="shared" si="324"/>
        <v>0</v>
      </c>
      <c r="AW521" s="711">
        <f t="shared" si="325"/>
        <v>0</v>
      </c>
      <c r="AX521" s="711">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711">
        <f t="shared" si="324"/>
        <v>0</v>
      </c>
      <c r="AW522" s="711">
        <f t="shared" si="325"/>
        <v>0</v>
      </c>
      <c r="AX522" s="711">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711">
        <f t="shared" si="324"/>
        <v>0</v>
      </c>
      <c r="AW523" s="711">
        <f t="shared" si="325"/>
        <v>0</v>
      </c>
      <c r="AX523" s="711">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711">
        <f t="shared" si="324"/>
        <v>0</v>
      </c>
      <c r="AW524" s="711">
        <f t="shared" si="325"/>
        <v>0</v>
      </c>
      <c r="AX524" s="711">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711">
        <f t="shared" si="324"/>
        <v>0</v>
      </c>
      <c r="AW525" s="711">
        <f t="shared" si="325"/>
        <v>0</v>
      </c>
      <c r="AX525" s="711">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711">
        <f t="shared" si="324"/>
        <v>0</v>
      </c>
      <c r="AW526" s="711">
        <f t="shared" si="325"/>
        <v>0</v>
      </c>
      <c r="AX526" s="711">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711">
        <f t="shared" si="324"/>
        <v>0</v>
      </c>
      <c r="AW527" s="711">
        <f t="shared" si="325"/>
        <v>0</v>
      </c>
      <c r="AX527" s="711">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711">
        <f t="shared" si="324"/>
        <v>0</v>
      </c>
      <c r="AW528" s="711">
        <f t="shared" si="325"/>
        <v>0</v>
      </c>
      <c r="AX528" s="711">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711">
        <f t="shared" si="324"/>
        <v>0</v>
      </c>
      <c r="AW529" s="711">
        <f t="shared" si="325"/>
        <v>0</v>
      </c>
      <c r="AX529" s="711">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711">
        <f t="shared" si="324"/>
        <v>0</v>
      </c>
      <c r="AW530" s="711">
        <f t="shared" si="325"/>
        <v>0</v>
      </c>
      <c r="AX530" s="711">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711">
        <f t="shared" si="324"/>
        <v>0</v>
      </c>
      <c r="AW531" s="711">
        <f t="shared" si="325"/>
        <v>0</v>
      </c>
      <c r="AX531" s="711">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711">
        <f t="shared" si="324"/>
        <v>0</v>
      </c>
      <c r="AW532" s="711">
        <f t="shared" si="325"/>
        <v>0</v>
      </c>
      <c r="AX532" s="711">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711">
        <f t="shared" si="324"/>
        <v>0</v>
      </c>
      <c r="AW533" s="711">
        <f t="shared" si="325"/>
        <v>0</v>
      </c>
      <c r="AX533" s="711">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711">
        <f t="shared" si="324"/>
        <v>0</v>
      </c>
      <c r="AW534" s="711">
        <f t="shared" si="325"/>
        <v>0</v>
      </c>
      <c r="AX534" s="711">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711">
        <f t="shared" si="324"/>
        <v>0</v>
      </c>
      <c r="AW535" s="711">
        <f t="shared" si="325"/>
        <v>0</v>
      </c>
      <c r="AX535" s="711">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711">
        <f t="shared" si="324"/>
        <v>0</v>
      </c>
      <c r="AW536" s="711">
        <f t="shared" si="325"/>
        <v>0</v>
      </c>
      <c r="AX536" s="711">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711">
        <f t="shared" si="324"/>
        <v>0</v>
      </c>
      <c r="AW537" s="711">
        <f t="shared" si="325"/>
        <v>0</v>
      </c>
      <c r="AX537" s="711">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711">
        <f t="shared" ref="AV538:AV572" si="356">A538</f>
        <v>0</v>
      </c>
      <c r="AW538" s="711">
        <f t="shared" ref="AW538:AW572" si="357">B538</f>
        <v>0</v>
      </c>
      <c r="AX538" s="711">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711">
        <f t="shared" si="356"/>
        <v>0</v>
      </c>
      <c r="AW539" s="711">
        <f t="shared" si="357"/>
        <v>0</v>
      </c>
      <c r="AX539" s="711">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711">
        <f t="shared" si="356"/>
        <v>0</v>
      </c>
      <c r="AW540" s="711">
        <f t="shared" si="357"/>
        <v>0</v>
      </c>
      <c r="AX540" s="711">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711">
        <f t="shared" si="356"/>
        <v>0</v>
      </c>
      <c r="AW541" s="711">
        <f t="shared" si="357"/>
        <v>0</v>
      </c>
      <c r="AX541" s="711">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711">
        <f t="shared" si="356"/>
        <v>0</v>
      </c>
      <c r="AW542" s="711">
        <f t="shared" si="357"/>
        <v>0</v>
      </c>
      <c r="AX542" s="711">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711">
        <f t="shared" si="356"/>
        <v>0</v>
      </c>
      <c r="AW543" s="711">
        <f t="shared" si="357"/>
        <v>0</v>
      </c>
      <c r="AX543" s="711">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711">
        <f t="shared" si="356"/>
        <v>0</v>
      </c>
      <c r="AW544" s="711">
        <f t="shared" si="357"/>
        <v>0</v>
      </c>
      <c r="AX544" s="711">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711">
        <f t="shared" si="356"/>
        <v>0</v>
      </c>
      <c r="AW545" s="711">
        <f t="shared" si="357"/>
        <v>0</v>
      </c>
      <c r="AX545" s="711">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711">
        <f t="shared" si="356"/>
        <v>0</v>
      </c>
      <c r="AW546" s="711">
        <f t="shared" si="357"/>
        <v>0</v>
      </c>
      <c r="AX546" s="711">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711">
        <f t="shared" si="356"/>
        <v>0</v>
      </c>
      <c r="AW547" s="711">
        <f t="shared" si="357"/>
        <v>0</v>
      </c>
      <c r="AX547" s="711">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711">
        <f t="shared" si="356"/>
        <v>0</v>
      </c>
      <c r="AW548" s="711">
        <f t="shared" si="357"/>
        <v>0</v>
      </c>
      <c r="AX548" s="711">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711">
        <f t="shared" si="356"/>
        <v>0</v>
      </c>
      <c r="AW549" s="711">
        <f t="shared" si="357"/>
        <v>0</v>
      </c>
      <c r="AX549" s="711">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711">
        <f t="shared" si="356"/>
        <v>0</v>
      </c>
      <c r="AW550" s="711">
        <f t="shared" si="357"/>
        <v>0</v>
      </c>
      <c r="AX550" s="711">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711">
        <f t="shared" si="356"/>
        <v>0</v>
      </c>
      <c r="AW551" s="711">
        <f t="shared" si="357"/>
        <v>0</v>
      </c>
      <c r="AX551" s="711">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711">
        <f t="shared" si="356"/>
        <v>0</v>
      </c>
      <c r="AW552" s="711">
        <f t="shared" si="357"/>
        <v>0</v>
      </c>
      <c r="AX552" s="711">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711">
        <f t="shared" si="356"/>
        <v>0</v>
      </c>
      <c r="AW553" s="711">
        <f t="shared" si="357"/>
        <v>0</v>
      </c>
      <c r="AX553" s="711">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711">
        <f t="shared" si="356"/>
        <v>0</v>
      </c>
      <c r="AW554" s="711">
        <f t="shared" si="357"/>
        <v>0</v>
      </c>
      <c r="AX554" s="711">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711">
        <f t="shared" si="356"/>
        <v>0</v>
      </c>
      <c r="AW555" s="711">
        <f t="shared" si="357"/>
        <v>0</v>
      </c>
      <c r="AX555" s="711">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711">
        <f t="shared" si="356"/>
        <v>0</v>
      </c>
      <c r="AW556" s="711">
        <f t="shared" si="357"/>
        <v>0</v>
      </c>
      <c r="AX556" s="711">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711">
        <f t="shared" si="356"/>
        <v>0</v>
      </c>
      <c r="AW557" s="711">
        <f t="shared" si="357"/>
        <v>0</v>
      </c>
      <c r="AX557" s="711">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711">
        <f t="shared" si="356"/>
        <v>0</v>
      </c>
      <c r="AW558" s="711">
        <f t="shared" si="357"/>
        <v>0</v>
      </c>
      <c r="AX558" s="711">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711">
        <f t="shared" si="356"/>
        <v>0</v>
      </c>
      <c r="AW559" s="711">
        <f t="shared" si="357"/>
        <v>0</v>
      </c>
      <c r="AX559" s="711">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711">
        <f t="shared" si="356"/>
        <v>0</v>
      </c>
      <c r="AW560" s="711">
        <f t="shared" si="357"/>
        <v>0</v>
      </c>
      <c r="AX560" s="711">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711">
        <f t="shared" si="356"/>
        <v>0</v>
      </c>
      <c r="AW561" s="711">
        <f t="shared" si="357"/>
        <v>0</v>
      </c>
      <c r="AX561" s="711">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711">
        <f t="shared" si="356"/>
        <v>0</v>
      </c>
      <c r="AW562" s="711">
        <f t="shared" si="357"/>
        <v>0</v>
      </c>
      <c r="AX562" s="711">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711">
        <f t="shared" si="356"/>
        <v>0</v>
      </c>
      <c r="AW563" s="711">
        <f t="shared" si="357"/>
        <v>0</v>
      </c>
      <c r="AX563" s="711">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711">
        <f t="shared" si="356"/>
        <v>0</v>
      </c>
      <c r="AW564" s="711">
        <f t="shared" si="357"/>
        <v>0</v>
      </c>
      <c r="AX564" s="711">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711">
        <f t="shared" si="356"/>
        <v>0</v>
      </c>
      <c r="AW565" s="711">
        <f t="shared" si="357"/>
        <v>0</v>
      </c>
      <c r="AX565" s="711">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711">
        <f t="shared" si="356"/>
        <v>0</v>
      </c>
      <c r="AW566" s="711">
        <f t="shared" si="357"/>
        <v>0</v>
      </c>
      <c r="AX566" s="711">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711">
        <f t="shared" si="356"/>
        <v>0</v>
      </c>
      <c r="AW567" s="711">
        <f t="shared" si="357"/>
        <v>0</v>
      </c>
      <c r="AX567" s="711">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711">
        <f t="shared" si="356"/>
        <v>0</v>
      </c>
      <c r="AW568" s="711">
        <f t="shared" si="357"/>
        <v>0</v>
      </c>
      <c r="AX568" s="711">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711">
        <f t="shared" si="356"/>
        <v>0</v>
      </c>
      <c r="AW569" s="711">
        <f t="shared" si="357"/>
        <v>0</v>
      </c>
      <c r="AX569" s="711">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711">
        <f t="shared" si="356"/>
        <v>0</v>
      </c>
      <c r="AW570" s="711">
        <f t="shared" si="357"/>
        <v>0</v>
      </c>
      <c r="AX570" s="711">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711">
        <f t="shared" si="356"/>
        <v>0</v>
      </c>
      <c r="AW571" s="711">
        <f t="shared" si="357"/>
        <v>0</v>
      </c>
      <c r="AX571" s="711">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711">
        <f t="shared" si="356"/>
        <v>0</v>
      </c>
      <c r="AW572" s="711">
        <f t="shared" si="357"/>
        <v>0</v>
      </c>
      <c r="AX572" s="711">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61" t="s">
        <v>485</v>
      </c>
      <c r="B1" s="3261" t="s">
        <v>486</v>
      </c>
      <c r="C1" s="3261" t="s">
        <v>423</v>
      </c>
      <c r="D1" s="3260" t="s">
        <v>487</v>
      </c>
      <c r="E1" s="3260" t="s">
        <v>383</v>
      </c>
      <c r="F1" s="3260"/>
      <c r="G1" s="3260"/>
      <c r="H1" s="3260"/>
      <c r="I1" s="3260"/>
      <c r="J1" s="3260"/>
      <c r="K1" s="3260"/>
      <c r="L1" s="3260"/>
      <c r="M1" s="3260"/>
    </row>
    <row r="2" spans="1:13" ht="27" customHeight="1">
      <c r="A2" s="3261"/>
      <c r="B2" s="3261"/>
      <c r="C2" s="3261"/>
      <c r="D2" s="3260"/>
      <c r="E2" s="3260" t="s">
        <v>488</v>
      </c>
      <c r="F2" s="3260" t="s">
        <v>489</v>
      </c>
      <c r="G2" s="3260"/>
      <c r="H2" s="3260"/>
      <c r="I2" s="3260"/>
      <c r="J2" s="3260" t="s">
        <v>490</v>
      </c>
      <c r="K2" s="3260"/>
      <c r="L2" s="3260"/>
      <c r="M2" s="3260"/>
    </row>
    <row r="3" spans="1:13" ht="28.5">
      <c r="A3" s="3261"/>
      <c r="B3" s="3261"/>
      <c r="C3" s="3261"/>
      <c r="D3" s="3260"/>
      <c r="E3" s="3260"/>
      <c r="F3" s="2760" t="s">
        <v>491</v>
      </c>
      <c r="G3" s="2760" t="s">
        <v>492</v>
      </c>
      <c r="H3" s="2760" t="s">
        <v>493</v>
      </c>
      <c r="I3" s="2760" t="s">
        <v>377</v>
      </c>
      <c r="J3" s="2760" t="s">
        <v>491</v>
      </c>
      <c r="K3" s="2760" t="s">
        <v>494</v>
      </c>
      <c r="L3" s="2760" t="s">
        <v>495</v>
      </c>
      <c r="M3" s="2760" t="s">
        <v>496</v>
      </c>
    </row>
    <row r="4" spans="1:13" ht="42.75">
      <c r="A4" s="2760" t="s">
        <v>497</v>
      </c>
      <c r="B4" s="2760" t="s">
        <v>498</v>
      </c>
      <c r="C4" s="2760" t="s">
        <v>499</v>
      </c>
      <c r="D4" s="2759">
        <v>3807.94</v>
      </c>
      <c r="E4" s="2759">
        <v>20666.91</v>
      </c>
      <c r="F4" s="2759">
        <v>19673</v>
      </c>
      <c r="G4" s="2759">
        <v>0</v>
      </c>
      <c r="H4" s="2759">
        <v>19673</v>
      </c>
      <c r="I4" s="2759">
        <v>0</v>
      </c>
      <c r="J4" s="2759">
        <v>993.91</v>
      </c>
      <c r="K4" s="2759">
        <v>0</v>
      </c>
      <c r="L4" s="2759">
        <v>0</v>
      </c>
      <c r="M4" s="2759">
        <v>993.91</v>
      </c>
    </row>
    <row r="5" spans="1:13" ht="42.75">
      <c r="A5" s="2760" t="s">
        <v>497</v>
      </c>
      <c r="B5" s="2760" t="s">
        <v>500</v>
      </c>
      <c r="C5" s="2760" t="s">
        <v>501</v>
      </c>
      <c r="D5" s="2759">
        <v>3667.86</v>
      </c>
      <c r="E5" s="2759">
        <v>19906.61</v>
      </c>
      <c r="F5" s="2759">
        <v>18792.87</v>
      </c>
      <c r="G5" s="2759">
        <v>18792.87</v>
      </c>
      <c r="H5" s="2759">
        <v>0</v>
      </c>
      <c r="I5" s="2759">
        <v>0</v>
      </c>
      <c r="J5" s="2759">
        <v>1113.74</v>
      </c>
      <c r="K5" s="2759">
        <v>55.59</v>
      </c>
      <c r="L5" s="2759">
        <v>0</v>
      </c>
      <c r="M5" s="2759">
        <v>1058.1500000000001</v>
      </c>
    </row>
    <row r="6" spans="1:13" ht="42.75">
      <c r="A6" s="2760" t="s">
        <v>497</v>
      </c>
      <c r="B6" s="2760" t="s">
        <v>500</v>
      </c>
      <c r="C6" s="2760" t="s">
        <v>502</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497</v>
      </c>
      <c r="B7" s="2760" t="s">
        <v>500</v>
      </c>
      <c r="C7" s="2760" t="s">
        <v>503</v>
      </c>
      <c r="D7" s="2759">
        <v>8.18</v>
      </c>
      <c r="E7" s="2759">
        <v>44.41</v>
      </c>
      <c r="F7" s="2759">
        <v>0</v>
      </c>
      <c r="G7" s="2759">
        <v>0</v>
      </c>
      <c r="H7" s="2759">
        <v>0</v>
      </c>
      <c r="I7" s="2759">
        <v>0</v>
      </c>
      <c r="J7" s="2759">
        <v>44.41</v>
      </c>
      <c r="K7" s="2759">
        <v>44.41</v>
      </c>
      <c r="L7" s="2759">
        <v>0</v>
      </c>
      <c r="M7" s="2759">
        <v>0</v>
      </c>
    </row>
    <row r="8" spans="1:13" ht="42.75">
      <c r="A8" s="2760" t="s">
        <v>497</v>
      </c>
      <c r="B8" s="2760" t="s">
        <v>500</v>
      </c>
      <c r="C8" s="2760" t="s">
        <v>377</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60" t="s">
        <v>504</v>
      </c>
      <c r="B9" s="3260"/>
      <c r="C9" s="3260"/>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0"/>
  <sheetViews>
    <sheetView workbookViewId="0">
      <selection activeCell="E31" sqref="E31"/>
    </sheetView>
  </sheetViews>
  <sheetFormatPr defaultColWidth="9" defaultRowHeight="16.5"/>
  <cols>
    <col min="1" max="1" width="9" style="2755"/>
    <col min="2" max="2" width="11.625" style="2756" customWidth="1"/>
    <col min="3" max="3" width="13.375" style="2756" customWidth="1"/>
    <col min="4" max="4" width="12.375" style="2755" customWidth="1"/>
    <col min="5" max="5" width="14.25" style="2755" customWidth="1"/>
    <col min="6" max="6" width="13" style="2755" customWidth="1"/>
    <col min="7" max="7" width="13.875" style="2755" customWidth="1"/>
    <col min="8" max="8" width="11.75" style="2755" customWidth="1"/>
    <col min="9" max="9" width="12" style="2756" customWidth="1"/>
    <col min="10" max="10" width="10.375" style="2755" customWidth="1"/>
    <col min="11" max="11" width="12.5" style="2755" customWidth="1"/>
    <col min="12" max="16384" width="9" style="2755"/>
  </cols>
  <sheetData>
    <row r="1" spans="1:12">
      <c r="A1" s="3262" t="s">
        <v>505</v>
      </c>
      <c r="B1" s="3263" t="s">
        <v>506</v>
      </c>
      <c r="C1" s="3262" t="s">
        <v>507</v>
      </c>
      <c r="D1" s="3262"/>
      <c r="E1" s="3262"/>
      <c r="F1" s="3262"/>
      <c r="G1" s="3262"/>
      <c r="I1" s="3262" t="s">
        <v>508</v>
      </c>
      <c r="J1" s="3262"/>
      <c r="K1" s="3262"/>
      <c r="L1" s="3262"/>
    </row>
    <row r="2" spans="1:12">
      <c r="A2" s="3262"/>
      <c r="B2" s="3263"/>
      <c r="C2" s="2756" t="s">
        <v>491</v>
      </c>
      <c r="D2" s="2755" t="s">
        <v>509</v>
      </c>
      <c r="E2" s="2755" t="s">
        <v>510</v>
      </c>
      <c r="F2" s="2755" t="s">
        <v>511</v>
      </c>
      <c r="G2" s="2755" t="s">
        <v>371</v>
      </c>
      <c r="H2" s="2755" t="s">
        <v>512</v>
      </c>
      <c r="I2" s="2756" t="s">
        <v>491</v>
      </c>
      <c r="J2" s="2755" t="s">
        <v>513</v>
      </c>
      <c r="K2" s="2755" t="s">
        <v>373</v>
      </c>
      <c r="L2" s="2755" t="s">
        <v>462</v>
      </c>
    </row>
    <row r="3" spans="1:12">
      <c r="A3" s="2755">
        <v>1</v>
      </c>
      <c r="B3" s="2756">
        <f>C3+I3</f>
        <v>33374.25</v>
      </c>
      <c r="C3" s="2756">
        <f>SUM(D3:G3)</f>
        <v>33374.25</v>
      </c>
      <c r="D3" s="2755">
        <v>32628.26</v>
      </c>
      <c r="G3" s="2755">
        <v>745.99</v>
      </c>
      <c r="H3" s="3262">
        <v>113.85</v>
      </c>
      <c r="I3" s="2756">
        <f>J3+K3</f>
        <v>0</v>
      </c>
    </row>
    <row r="4" spans="1:12">
      <c r="A4" s="2755">
        <v>2</v>
      </c>
      <c r="B4" s="2756">
        <f t="shared" ref="B4:B21" si="0">C4+I4</f>
        <v>46253.229999999996</v>
      </c>
      <c r="C4" s="2756">
        <f>SUM(D4:G4)</f>
        <v>46253.229999999996</v>
      </c>
      <c r="D4" s="2755">
        <v>45213.49</v>
      </c>
      <c r="G4" s="2755">
        <v>1039.74</v>
      </c>
      <c r="H4" s="3262"/>
      <c r="I4" s="2756">
        <f t="shared" ref="I4:I20" si="1">J4+K4</f>
        <v>0</v>
      </c>
    </row>
    <row r="5" spans="1:12">
      <c r="A5" s="2755">
        <v>3</v>
      </c>
      <c r="B5" s="2756">
        <f t="shared" si="0"/>
        <v>31965.88</v>
      </c>
      <c r="C5" s="2756">
        <f t="shared" ref="C5:C20" si="2">SUM(D5:G5)</f>
        <v>31958.68</v>
      </c>
      <c r="E5" s="2755">
        <v>31113.8</v>
      </c>
      <c r="G5" s="2755">
        <v>844.88</v>
      </c>
      <c r="H5" s="3262"/>
      <c r="I5" s="2756">
        <f t="shared" si="1"/>
        <v>7.2</v>
      </c>
      <c r="J5" s="2755">
        <v>7.2</v>
      </c>
    </row>
    <row r="6" spans="1:12">
      <c r="A6" s="2755">
        <v>4</v>
      </c>
      <c r="B6" s="2756">
        <f t="shared" si="0"/>
        <v>31012.44</v>
      </c>
      <c r="C6" s="2756">
        <f t="shared" si="2"/>
        <v>31005.239999999998</v>
      </c>
      <c r="E6" s="2755">
        <v>29754.87</v>
      </c>
      <c r="G6" s="2755">
        <v>1250.3699999999999</v>
      </c>
      <c r="H6" s="3262"/>
      <c r="I6" s="2756">
        <f t="shared" si="1"/>
        <v>7.2</v>
      </c>
      <c r="J6" s="2755">
        <v>7.2</v>
      </c>
    </row>
    <row r="7" spans="1:12">
      <c r="A7" s="2755">
        <v>5</v>
      </c>
      <c r="B7" s="2756">
        <f t="shared" si="0"/>
        <v>30735.3</v>
      </c>
      <c r="C7" s="2756">
        <f t="shared" si="2"/>
        <v>30669.7</v>
      </c>
      <c r="F7" s="2755">
        <v>30020.38</v>
      </c>
      <c r="G7" s="2755">
        <v>649.32000000000005</v>
      </c>
      <c r="H7" s="3262"/>
      <c r="I7" s="2756">
        <f t="shared" si="1"/>
        <v>65.599999999999994</v>
      </c>
      <c r="J7" s="2755">
        <v>65.599999999999994</v>
      </c>
    </row>
    <row r="8" spans="1:12">
      <c r="A8" s="2755">
        <v>6</v>
      </c>
      <c r="B8" s="2756">
        <f t="shared" si="0"/>
        <v>14014</v>
      </c>
      <c r="C8" s="2756">
        <f t="shared" si="2"/>
        <v>14014</v>
      </c>
      <c r="F8" s="2755">
        <v>12863.46</v>
      </c>
      <c r="G8" s="2755">
        <v>1150.54</v>
      </c>
      <c r="H8" s="3262"/>
      <c r="I8" s="2756">
        <f t="shared" si="1"/>
        <v>0</v>
      </c>
    </row>
    <row r="9" spans="1:12">
      <c r="A9" s="2755">
        <v>7</v>
      </c>
      <c r="B9" s="2756">
        <f t="shared" si="0"/>
        <v>12700.56</v>
      </c>
      <c r="C9" s="2756">
        <f t="shared" si="2"/>
        <v>12625.66</v>
      </c>
      <c r="F9" s="2755">
        <v>12625.66</v>
      </c>
      <c r="H9" s="3262"/>
      <c r="I9" s="2756">
        <f t="shared" si="1"/>
        <v>74.900000000000006</v>
      </c>
      <c r="J9" s="2755">
        <v>74.900000000000006</v>
      </c>
    </row>
    <row r="10" spans="1:12">
      <c r="A10" s="2755">
        <v>8</v>
      </c>
      <c r="B10" s="2756">
        <f t="shared" si="0"/>
        <v>13712.84</v>
      </c>
      <c r="C10" s="2756">
        <f t="shared" si="2"/>
        <v>13712.84</v>
      </c>
      <c r="F10" s="2755">
        <v>13712.84</v>
      </c>
      <c r="H10" s="3262"/>
      <c r="I10" s="2756">
        <f t="shared" si="1"/>
        <v>0</v>
      </c>
    </row>
    <row r="11" spans="1:12">
      <c r="A11" s="2755">
        <v>9</v>
      </c>
      <c r="B11" s="2756">
        <f t="shared" si="0"/>
        <v>12700.369999999999</v>
      </c>
      <c r="C11" s="2756">
        <f t="shared" si="2"/>
        <v>12625.47</v>
      </c>
      <c r="F11" s="2755">
        <v>12625.47</v>
      </c>
      <c r="H11" s="3262"/>
      <c r="I11" s="2756">
        <f t="shared" si="1"/>
        <v>74.900000000000006</v>
      </c>
      <c r="J11" s="2755">
        <v>74.900000000000006</v>
      </c>
    </row>
    <row r="12" spans="1:12">
      <c r="A12" s="2755">
        <v>10</v>
      </c>
      <c r="B12" s="2756">
        <f t="shared" si="0"/>
        <v>13199.68</v>
      </c>
      <c r="C12" s="2756">
        <f t="shared" si="2"/>
        <v>13127.64</v>
      </c>
      <c r="F12" s="2755">
        <v>13127.64</v>
      </c>
      <c r="H12" s="3262"/>
      <c r="I12" s="2756">
        <f t="shared" si="1"/>
        <v>72.040000000000006</v>
      </c>
      <c r="J12" s="2755">
        <v>72.040000000000006</v>
      </c>
    </row>
    <row r="13" spans="1:12">
      <c r="A13" s="2755">
        <v>11</v>
      </c>
      <c r="B13" s="2756">
        <f t="shared" si="0"/>
        <v>13199.68</v>
      </c>
      <c r="C13" s="2756">
        <f t="shared" si="2"/>
        <v>13127.64</v>
      </c>
      <c r="F13" s="2755">
        <v>13127.64</v>
      </c>
      <c r="H13" s="3262"/>
      <c r="I13" s="2756">
        <f t="shared" si="1"/>
        <v>72.040000000000006</v>
      </c>
      <c r="J13" s="2755">
        <v>72.040000000000006</v>
      </c>
    </row>
    <row r="14" spans="1:12">
      <c r="A14" s="2755">
        <v>12</v>
      </c>
      <c r="B14" s="2756">
        <f t="shared" si="0"/>
        <v>31610.350000000002</v>
      </c>
      <c r="C14" s="2756">
        <f t="shared" si="2"/>
        <v>31603.9</v>
      </c>
      <c r="D14" s="2755">
        <v>30905.13</v>
      </c>
      <c r="G14" s="2755">
        <v>698.77</v>
      </c>
      <c r="H14" s="3262"/>
      <c r="I14" s="2756">
        <f t="shared" si="1"/>
        <v>6.45</v>
      </c>
      <c r="J14" s="2755">
        <v>6.45</v>
      </c>
    </row>
    <row r="15" spans="1:12">
      <c r="A15" s="2755">
        <v>13</v>
      </c>
      <c r="B15" s="2756">
        <f t="shared" si="0"/>
        <v>45322.86</v>
      </c>
      <c r="C15" s="2756">
        <f t="shared" si="2"/>
        <v>45308.1</v>
      </c>
      <c r="E15" s="2755">
        <v>45308.1</v>
      </c>
      <c r="H15" s="3262"/>
      <c r="I15" s="2756">
        <f t="shared" si="1"/>
        <v>14.76</v>
      </c>
      <c r="J15" s="2755">
        <v>14.76</v>
      </c>
    </row>
    <row r="16" spans="1:12">
      <c r="A16" s="2755">
        <v>14</v>
      </c>
      <c r="B16" s="2756">
        <f t="shared" si="0"/>
        <v>45322.86</v>
      </c>
      <c r="C16" s="2756">
        <f t="shared" si="2"/>
        <v>45308.1</v>
      </c>
      <c r="E16" s="2755">
        <v>45308.1</v>
      </c>
      <c r="H16" s="3262"/>
      <c r="I16" s="2756">
        <f t="shared" si="1"/>
        <v>14.76</v>
      </c>
      <c r="J16" s="2755">
        <v>14.76</v>
      </c>
    </row>
    <row r="17" spans="1:12">
      <c r="A17" s="2755">
        <v>15</v>
      </c>
      <c r="B17" s="2756">
        <f t="shared" si="0"/>
        <v>2565.9</v>
      </c>
      <c r="C17" s="2756">
        <f t="shared" si="2"/>
        <v>2565.9</v>
      </c>
      <c r="G17" s="2755">
        <v>2565.9</v>
      </c>
      <c r="H17" s="3262"/>
      <c r="I17" s="2756">
        <f t="shared" si="1"/>
        <v>0</v>
      </c>
    </row>
    <row r="18" spans="1:12">
      <c r="A18" s="2755">
        <v>16</v>
      </c>
      <c r="B18" s="2756">
        <f t="shared" si="0"/>
        <v>3974.3</v>
      </c>
      <c r="C18" s="2756">
        <f t="shared" si="2"/>
        <v>3974.3</v>
      </c>
      <c r="G18" s="2755">
        <v>3974.3</v>
      </c>
      <c r="H18" s="3262"/>
      <c r="I18" s="2756">
        <f t="shared" si="1"/>
        <v>0</v>
      </c>
    </row>
    <row r="19" spans="1:12">
      <c r="A19" s="2755">
        <v>17</v>
      </c>
      <c r="B19" s="2756">
        <f t="shared" si="0"/>
        <v>5231.13</v>
      </c>
      <c r="C19" s="2756">
        <f t="shared" si="2"/>
        <v>5231.13</v>
      </c>
      <c r="G19" s="2755">
        <v>5231.13</v>
      </c>
      <c r="H19" s="3262"/>
      <c r="I19" s="2756">
        <f t="shared" si="1"/>
        <v>0</v>
      </c>
    </row>
    <row r="20" spans="1:12">
      <c r="A20" s="2755" t="s">
        <v>514</v>
      </c>
      <c r="B20" s="2756">
        <f t="shared" si="0"/>
        <v>12523.82</v>
      </c>
      <c r="C20" s="2756">
        <f t="shared" si="2"/>
        <v>12523.82</v>
      </c>
      <c r="G20" s="2755">
        <v>12523.82</v>
      </c>
      <c r="H20" s="3262"/>
      <c r="I20" s="2756">
        <f t="shared" si="1"/>
        <v>0</v>
      </c>
    </row>
    <row r="21" spans="1:12">
      <c r="A21" s="2755" t="s">
        <v>377</v>
      </c>
      <c r="B21" s="2756">
        <f t="shared" si="0"/>
        <v>151687.48000000001</v>
      </c>
      <c r="I21" s="2756">
        <f>J21+K21+L21</f>
        <v>151687.48000000001</v>
      </c>
      <c r="K21" s="2755">
        <v>125369.60000000001</v>
      </c>
      <c r="L21" s="2755">
        <v>26317.88</v>
      </c>
    </row>
    <row r="22" spans="1:12">
      <c r="D22" s="2755">
        <f>SUM(D3:D21)</f>
        <v>108746.88</v>
      </c>
      <c r="E22" s="2755">
        <f>SUM(E3:E21)</f>
        <v>151484.87</v>
      </c>
    </row>
    <row r="23" spans="1:12">
      <c r="A23" s="2755" t="s">
        <v>488</v>
      </c>
      <c r="B23" s="2756">
        <f>SUM(B3:B22)</f>
        <v>551106.92999999993</v>
      </c>
      <c r="C23" s="2756">
        <f>SUM(C3:C22)</f>
        <v>399009.60000000003</v>
      </c>
      <c r="D23" s="3262">
        <f>D22+E22-H22</f>
        <v>260231.75</v>
      </c>
      <c r="E23" s="3262"/>
      <c r="F23" s="2755">
        <f>SUM(F7:F22)</f>
        <v>108103.09</v>
      </c>
      <c r="G23" s="2755">
        <f>SUM(G3:G22)</f>
        <v>30674.760000000002</v>
      </c>
      <c r="H23" s="2755">
        <f>H3</f>
        <v>113.85</v>
      </c>
      <c r="I23" s="2756">
        <f>L23+K23+J23</f>
        <v>152097.33000000002</v>
      </c>
      <c r="J23" s="2755">
        <f>SUM(J3:J21)</f>
        <v>409.85</v>
      </c>
      <c r="K23" s="2755">
        <f>K21</f>
        <v>125369.60000000001</v>
      </c>
      <c r="L23" s="2755">
        <f>L21</f>
        <v>26317.88</v>
      </c>
    </row>
    <row r="25" spans="1:12">
      <c r="E25" s="2755" t="s">
        <v>515</v>
      </c>
      <c r="F25" s="2755" t="s">
        <v>516</v>
      </c>
      <c r="G25" s="2755" t="s">
        <v>517</v>
      </c>
      <c r="K25" s="2755">
        <f>K23/'数据-取费表'!AH9</f>
        <v>28.30013544018059</v>
      </c>
    </row>
    <row r="26" spans="1:12">
      <c r="E26" s="2755">
        <v>1</v>
      </c>
      <c r="F26" s="2755" t="s">
        <v>518</v>
      </c>
      <c r="G26" s="2755">
        <f>ROUND(G3+G4+G5+G6+G7+G8+G14+(G17+G18+G19)/2,2)</f>
        <v>12265.28</v>
      </c>
      <c r="H26" s="2755">
        <v>26000</v>
      </c>
      <c r="I26" s="2756">
        <f>G26*H26/10000</f>
        <v>31889.727999999999</v>
      </c>
    </row>
    <row r="27" spans="1:12">
      <c r="E27" s="2755">
        <v>0.6</v>
      </c>
      <c r="F27" s="2755" t="s">
        <v>519</v>
      </c>
      <c r="G27" s="3168">
        <f>ROUND((G17+G18+G19)/2,2)</f>
        <v>5885.67</v>
      </c>
      <c r="H27" s="2755">
        <f>H26*E27</f>
        <v>15600</v>
      </c>
      <c r="I27" s="2756">
        <f>G27*H27/10000</f>
        <v>9181.6452000000008</v>
      </c>
    </row>
    <row r="28" spans="1:12">
      <c r="C28" s="2756">
        <f>D23+F23</f>
        <v>368334.83999999997</v>
      </c>
      <c r="E28" s="2755">
        <v>0.5</v>
      </c>
      <c r="F28" s="2757" t="s">
        <v>520</v>
      </c>
      <c r="G28" s="2755">
        <f>G20/2</f>
        <v>6261.91</v>
      </c>
      <c r="H28" s="2755">
        <f>H26*E28</f>
        <v>13000</v>
      </c>
      <c r="I28" s="2756">
        <f>G28*H28/10000</f>
        <v>8140.4830000000002</v>
      </c>
    </row>
    <row r="29" spans="1:12">
      <c r="E29" s="2755">
        <v>0.4</v>
      </c>
      <c r="F29" s="2757" t="s">
        <v>521</v>
      </c>
      <c r="G29" s="2755">
        <f>G28</f>
        <v>6261.91</v>
      </c>
      <c r="H29" s="2755">
        <f>H26*E29</f>
        <v>10400</v>
      </c>
      <c r="I29" s="2756">
        <f>G29*H29/10000</f>
        <v>6512.3864000000003</v>
      </c>
    </row>
    <row r="30" spans="1:12">
      <c r="F30" s="2755" t="s">
        <v>488</v>
      </c>
      <c r="G30" s="2755">
        <f>SUM(G26:G29)</f>
        <v>30674.77</v>
      </c>
      <c r="I30" s="2756">
        <f>SUM(I26:I29)</f>
        <v>55724.242600000005</v>
      </c>
      <c r="J30" s="2755">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topLeftCell="B1" zoomScale="90" zoomScaleNormal="90" workbookViewId="0">
      <selection activeCell="L39" sqref="L39"/>
    </sheetView>
  </sheetViews>
  <sheetFormatPr defaultColWidth="9.25" defaultRowHeight="14.25"/>
  <cols>
    <col min="1" max="1" width="8.25" style="2667" customWidth="1"/>
    <col min="2" max="2" width="10.25" style="2667" customWidth="1"/>
    <col min="3" max="3" width="18.5" style="2667" customWidth="1"/>
    <col min="4" max="4" width="11.125" style="2667" customWidth="1"/>
    <col min="5" max="5" width="13.375" style="2667" customWidth="1"/>
    <col min="6" max="8" width="11.5" style="2667" customWidth="1"/>
    <col min="9" max="9" width="10.375" style="2667" customWidth="1"/>
    <col min="10" max="10" width="3.125" style="2667" customWidth="1"/>
    <col min="11" max="16" width="11.625" style="2667" customWidth="1"/>
    <col min="17" max="17" width="3.375" style="2667" customWidth="1"/>
    <col min="18" max="18" width="9.25" style="2667"/>
    <col min="19" max="19" width="10.5" style="2667" customWidth="1"/>
    <col min="20" max="16384" width="9.25" style="2667"/>
  </cols>
  <sheetData>
    <row r="1" spans="1:16" ht="18.75">
      <c r="A1" s="2148" t="s">
        <v>522</v>
      </c>
      <c r="B1" s="2668"/>
      <c r="C1" s="2668"/>
      <c r="D1" s="2668"/>
      <c r="E1" s="2668"/>
      <c r="F1" s="2668"/>
      <c r="G1" s="2668"/>
      <c r="H1" s="2668"/>
      <c r="I1" s="2668"/>
      <c r="J1" s="2668"/>
      <c r="K1" s="2668"/>
      <c r="L1" s="2668"/>
    </row>
    <row r="2" spans="1:16" ht="15">
      <c r="A2" s="3273" t="s">
        <v>523</v>
      </c>
      <c r="B2" s="3273"/>
      <c r="C2" s="3273"/>
      <c r="D2" s="1967" t="s">
        <v>524</v>
      </c>
      <c r="E2" s="2669" t="s">
        <v>525</v>
      </c>
      <c r="F2" s="2668"/>
      <c r="G2" s="2670"/>
      <c r="H2" s="2671"/>
      <c r="I2" s="2729" t="s">
        <v>526</v>
      </c>
      <c r="J2" s="2668"/>
      <c r="K2" s="2668"/>
      <c r="L2" s="2668"/>
    </row>
    <row r="3" spans="1:16" ht="15">
      <c r="A3" s="3274" t="s">
        <v>527</v>
      </c>
      <c r="B3" s="3274"/>
      <c r="C3" s="3274"/>
      <c r="D3" s="2672">
        <f>'数据-基础表'!AY6</f>
        <v>110836.2</v>
      </c>
      <c r="E3" s="2672">
        <f>'数据-基础表'!AZ5</f>
        <v>524902.89999999991</v>
      </c>
      <c r="F3" s="2668"/>
      <c r="G3" s="2096" t="s">
        <v>528</v>
      </c>
      <c r="H3" s="2092" t="s">
        <v>529</v>
      </c>
      <c r="I3" s="728">
        <f>ROUND('数据-基础表'!B3/'数据-基础表'!A3,2)</f>
        <v>4.74</v>
      </c>
      <c r="J3" s="2668"/>
      <c r="K3" s="2668"/>
      <c r="L3" s="2668"/>
    </row>
    <row r="4" spans="1:16" ht="15">
      <c r="A4" s="3275"/>
      <c r="B4" s="3276"/>
      <c r="C4" s="3277"/>
      <c r="D4" s="2673" t="s">
        <v>524</v>
      </c>
      <c r="E4" s="2674" t="s">
        <v>525</v>
      </c>
      <c r="F4" s="2668"/>
      <c r="G4" s="2675"/>
      <c r="H4" s="2092" t="s">
        <v>530</v>
      </c>
      <c r="I4" s="728">
        <f>ROUND(SUMIF('数据-基础表'!I9:AS9,"地上",'数据-基础表'!I5:AS5)/'数据-基础表'!A3,2)</f>
        <v>3.6</v>
      </c>
      <c r="J4" s="2668"/>
      <c r="K4" s="2668"/>
      <c r="L4" s="2668"/>
    </row>
    <row r="5" spans="1:16">
      <c r="A5" s="2676" t="s">
        <v>531</v>
      </c>
      <c r="B5" s="3278" t="s">
        <v>243</v>
      </c>
      <c r="C5" s="3278"/>
      <c r="D5" s="2677">
        <f>ROUND($D$3*E5/$E$3,2)</f>
        <v>0</v>
      </c>
      <c r="E5" s="2678">
        <f>SUMIF('数据-基础表'!$11:$11,"住宅",'数据-基础表'!$5:$5)</f>
        <v>0</v>
      </c>
      <c r="F5" s="2668"/>
      <c r="G5" s="2096" t="s">
        <v>532</v>
      </c>
      <c r="H5" s="2092" t="s">
        <v>529</v>
      </c>
      <c r="I5" s="728">
        <f>ROUND(E31/D31,2)</f>
        <v>4.74</v>
      </c>
      <c r="J5" s="2668"/>
      <c r="K5" s="2668"/>
      <c r="L5" s="2668"/>
    </row>
    <row r="6" spans="1:16">
      <c r="A6" s="2679"/>
      <c r="B6" s="3278" t="s">
        <v>533</v>
      </c>
      <c r="C6" s="3278"/>
      <c r="D6" s="2677">
        <f>ROUND($D$3*E6/$E$3,2)</f>
        <v>110836.2</v>
      </c>
      <c r="E6" s="2678">
        <f>E3-E5</f>
        <v>524902.89999999991</v>
      </c>
      <c r="F6" s="2668"/>
      <c r="G6" s="2675"/>
      <c r="H6" s="2092" t="s">
        <v>530</v>
      </c>
      <c r="I6" s="728">
        <f>ROUND(F31/D31,2)</f>
        <v>3.6</v>
      </c>
      <c r="J6" s="2668"/>
      <c r="K6" s="2668"/>
      <c r="L6" s="2668"/>
    </row>
    <row r="7" spans="1:16" ht="15">
      <c r="A7" s="3264"/>
      <c r="B7" s="3265"/>
      <c r="C7" s="3266"/>
      <c r="D7" s="2673" t="s">
        <v>524</v>
      </c>
      <c r="E7" s="2680" t="s">
        <v>534</v>
      </c>
      <c r="F7" s="2668"/>
      <c r="G7" s="2681" t="s">
        <v>535</v>
      </c>
      <c r="H7" s="2682"/>
      <c r="I7" s="2730">
        <f>ROUND(('数据-基础表'!I13+'数据-基础表'!K13+'数据-基础表'!M13+'数据-基础表'!Q13+面积表!H23)/'数据-基础表'!A3,2)</f>
        <v>3.6</v>
      </c>
      <c r="J7" s="2668"/>
      <c r="K7" s="2668"/>
      <c r="L7" s="2668"/>
    </row>
    <row r="8" spans="1:16">
      <c r="A8" s="2676" t="s">
        <v>536</v>
      </c>
      <c r="B8" s="2683" t="s">
        <v>537</v>
      </c>
      <c r="C8" s="2677" t="s">
        <v>538</v>
      </c>
      <c r="D8" s="2677">
        <f t="shared" ref="D8:D15" si="0">ROUND($D$3*E8/$E$3,2)</f>
        <v>84253.119999999995</v>
      </c>
      <c r="E8" s="2684">
        <f>SUMIF('数据-基础表'!BB10:BK10,"地上",'数据-基础表'!BB5:BK5)</f>
        <v>399009.6</v>
      </c>
      <c r="F8" s="2668"/>
      <c r="G8" s="2685"/>
      <c r="H8" s="2685"/>
      <c r="I8" s="2668"/>
      <c r="J8" s="2668"/>
      <c r="K8" s="2668"/>
      <c r="L8" s="2668"/>
    </row>
    <row r="9" spans="1:16">
      <c r="A9" s="2686"/>
      <c r="B9" s="2687"/>
      <c r="C9" s="2677" t="s">
        <v>539</v>
      </c>
      <c r="D9" s="2677">
        <f t="shared" si="0"/>
        <v>0</v>
      </c>
      <c r="E9" s="2688">
        <v>0</v>
      </c>
      <c r="F9" s="2668"/>
      <c r="G9" s="2685"/>
      <c r="H9" s="2685"/>
      <c r="I9" s="2668"/>
      <c r="J9" s="2668"/>
      <c r="K9" s="2668"/>
      <c r="L9" s="2668"/>
    </row>
    <row r="10" spans="1:16">
      <c r="A10" s="2686"/>
      <c r="B10" s="2687"/>
      <c r="C10" s="2677" t="s">
        <v>540</v>
      </c>
      <c r="D10" s="2677">
        <f t="shared" si="0"/>
        <v>0</v>
      </c>
      <c r="E10" s="2684">
        <f>SUMPRODUCT(('数据-基础表'!BB10:BK10="地下")*('数据-基础表'!BB11:BK11="商业")*('数据-基础表'!BB5:BK5))</f>
        <v>0</v>
      </c>
      <c r="F10" s="2668"/>
      <c r="G10" s="2685"/>
      <c r="H10" s="2685"/>
      <c r="I10" s="2668"/>
      <c r="J10" s="2668"/>
      <c r="K10" s="2668"/>
      <c r="L10" s="2668"/>
    </row>
    <row r="11" spans="1:16">
      <c r="A11" s="2686"/>
      <c r="B11" s="2687"/>
      <c r="C11" s="2689" t="s">
        <v>541</v>
      </c>
      <c r="D11" s="2677">
        <f t="shared" si="0"/>
        <v>0</v>
      </c>
      <c r="E11" s="2684">
        <f>SUMPRODUCT(('数据-基础表'!BB10:BK10="地下")*('数据-基础表'!BB11:BK11="办公")*('数据-基础表'!BB5:BK5))+'数据-基础表'!AJ5</f>
        <v>0</v>
      </c>
      <c r="F11" s="2668"/>
      <c r="G11" s="2685"/>
      <c r="H11" s="2685"/>
      <c r="I11" s="2668"/>
      <c r="J11" s="2668"/>
      <c r="K11" s="2668"/>
      <c r="L11" s="2668"/>
    </row>
    <row r="12" spans="1:16">
      <c r="A12" s="2686"/>
      <c r="B12" s="2687"/>
      <c r="C12" s="2677" t="s">
        <v>542</v>
      </c>
      <c r="D12" s="2677">
        <f t="shared" si="0"/>
        <v>0</v>
      </c>
      <c r="E12" s="2684">
        <f>SUMPRODUCT(('数据-基础表'!BB10:BK10="地下")*('数据-基础表'!BB11:BK11="仓储")*('数据-基础表'!BB5:BK5))</f>
        <v>0</v>
      </c>
      <c r="F12" s="2668"/>
      <c r="G12" s="2685"/>
      <c r="H12" s="2685"/>
      <c r="I12" s="2668"/>
      <c r="J12" s="2668"/>
      <c r="K12" s="2668"/>
      <c r="L12" s="2668"/>
    </row>
    <row r="13" spans="1:16">
      <c r="A13" s="2686"/>
      <c r="B13" s="2687"/>
      <c r="C13" s="2689" t="s">
        <v>543</v>
      </c>
      <c r="D13" s="2677">
        <f t="shared" si="0"/>
        <v>26472.5</v>
      </c>
      <c r="E13" s="2684">
        <f>SUMPRODUCT(('数据-基础表'!BB10:BK10="地下")*('数据-基础表'!BB11:BK11="车库")*('数据-基础表'!BB5:BK5))</f>
        <v>125369.60000000001</v>
      </c>
      <c r="F13" s="2668"/>
      <c r="G13" s="2685"/>
      <c r="H13" s="2685"/>
      <c r="I13" s="2668"/>
      <c r="J13" s="2668"/>
      <c r="K13" s="2668"/>
      <c r="L13" s="2668"/>
    </row>
    <row r="14" spans="1:16">
      <c r="A14" s="2686"/>
      <c r="B14" s="2687"/>
      <c r="C14" s="2677" t="s">
        <v>544</v>
      </c>
      <c r="D14" s="2677">
        <f t="shared" si="0"/>
        <v>0</v>
      </c>
      <c r="E14" s="2684">
        <f>SUMPRODUCT(('数据-基础表'!BB10:BK10="地下")*('数据-基础表'!BB11:BK11="车库—商业")*('数据-基础表'!BB5:BK5))</f>
        <v>0</v>
      </c>
      <c r="F14" s="2668"/>
      <c r="G14" s="2685"/>
      <c r="H14" s="2685"/>
      <c r="I14" s="2668"/>
      <c r="J14" s="2668"/>
      <c r="K14" s="2668"/>
      <c r="L14" s="2668"/>
    </row>
    <row r="15" spans="1:16">
      <c r="A15" s="2686"/>
      <c r="B15" s="2687"/>
      <c r="C15" s="2677" t="s">
        <v>545</v>
      </c>
      <c r="D15" s="2677">
        <f t="shared" si="0"/>
        <v>0</v>
      </c>
      <c r="E15" s="2684">
        <f>SUMPRODUCT(('数据-基础表'!BB10:BK10="地下")*('数据-基础表'!BB11:BK11="车库—办公")*('数据-基础表'!BB5:BK5))</f>
        <v>0</v>
      </c>
      <c r="F15" s="2668"/>
      <c r="G15" s="2685"/>
      <c r="H15" s="2685"/>
      <c r="I15" s="2668"/>
      <c r="J15" s="2668"/>
      <c r="K15" s="2668"/>
      <c r="L15" s="2668"/>
    </row>
    <row r="16" spans="1:16" ht="15">
      <c r="A16" s="2679"/>
      <c r="B16" s="2687"/>
      <c r="C16" s="2683" t="s">
        <v>546</v>
      </c>
      <c r="D16" s="2683">
        <f>SUM(D8:D15)</f>
        <v>110725.62</v>
      </c>
      <c r="E16" s="2690">
        <f>SUM(E8:E15)</f>
        <v>524379.19999999995</v>
      </c>
      <c r="F16" s="2668"/>
      <c r="G16" s="2685"/>
      <c r="H16" s="2691" t="s">
        <v>547</v>
      </c>
      <c r="I16" s="2731"/>
      <c r="J16" s="2668"/>
      <c r="K16" s="3267" t="s">
        <v>548</v>
      </c>
      <c r="L16" s="3268"/>
      <c r="M16" s="3268"/>
      <c r="N16" s="3268"/>
      <c r="O16" s="3268"/>
      <c r="P16" s="3269"/>
    </row>
    <row r="17" spans="1:19" ht="15">
      <c r="A17" s="2634" t="s">
        <v>549</v>
      </c>
      <c r="B17" s="2692" t="s">
        <v>224</v>
      </c>
      <c r="C17" s="2693" t="s">
        <v>403</v>
      </c>
      <c r="D17" s="2673" t="s">
        <v>524</v>
      </c>
      <c r="E17" s="2694" t="s">
        <v>525</v>
      </c>
      <c r="F17" s="2695"/>
      <c r="G17" s="2696"/>
      <c r="H17" s="2697" t="s">
        <v>550</v>
      </c>
      <c r="I17" s="2732" t="s">
        <v>551</v>
      </c>
      <c r="J17" s="2668"/>
      <c r="K17" s="3270" t="s">
        <v>552</v>
      </c>
      <c r="L17" s="3271"/>
      <c r="M17" s="3272"/>
      <c r="N17" s="3270" t="s">
        <v>553</v>
      </c>
      <c r="O17" s="3271"/>
      <c r="P17" s="3272"/>
      <c r="R17" s="2751" t="s">
        <v>554</v>
      </c>
      <c r="S17" s="2080"/>
    </row>
    <row r="18" spans="1:19" ht="15">
      <c r="A18" s="2686"/>
      <c r="B18" s="2698"/>
      <c r="C18" s="2699"/>
      <c r="D18" s="1967"/>
      <c r="E18" s="2700" t="s">
        <v>555</v>
      </c>
      <c r="F18" s="2701" t="s">
        <v>242</v>
      </c>
      <c r="G18" s="2702" t="s">
        <v>266</v>
      </c>
      <c r="H18" s="2641" t="s">
        <v>556</v>
      </c>
      <c r="I18" s="2733" t="s">
        <v>557</v>
      </c>
      <c r="J18" s="2668"/>
      <c r="K18" s="2734" t="s">
        <v>558</v>
      </c>
      <c r="L18" s="2735" t="s">
        <v>559</v>
      </c>
      <c r="M18" s="2736" t="s">
        <v>560</v>
      </c>
      <c r="N18" s="2734" t="s">
        <v>558</v>
      </c>
      <c r="O18" s="2735" t="s">
        <v>559</v>
      </c>
      <c r="P18" s="2736" t="s">
        <v>560</v>
      </c>
      <c r="R18" s="2752" t="s">
        <v>386</v>
      </c>
      <c r="S18" s="2752" t="s">
        <v>383</v>
      </c>
    </row>
    <row r="19" spans="1:19">
      <c r="A19" s="2703"/>
      <c r="B19" s="2683" t="s">
        <v>245</v>
      </c>
      <c r="C19" s="2704" t="s">
        <v>561</v>
      </c>
      <c r="D19" s="3186">
        <f>ROUND($D$3*E19/$D$34,2)</f>
        <v>42079.21</v>
      </c>
      <c r="E19" s="2705">
        <f t="shared" ref="E19:E26" si="1">SUM(F19:G19)</f>
        <v>151484.87</v>
      </c>
      <c r="F19" s="2706">
        <f>'数据-基础表'!K13</f>
        <v>151484.87</v>
      </c>
      <c r="G19" s="2707"/>
      <c r="H19" s="3187">
        <v>0</v>
      </c>
      <c r="I19" s="2684">
        <f>IF($I$17="自定义",P19,M19)</f>
        <v>151.29</v>
      </c>
      <c r="J19" s="2668"/>
      <c r="K19" s="2737">
        <f t="shared" ref="K19:K26" si="2">ROUND(E$28*E19/E$27,2)</f>
        <v>151.29</v>
      </c>
      <c r="L19" s="2092">
        <f t="shared" ref="L19:L26" si="3">ROUND(IF(COUNTIF(C19,"*住宅*")&gt;0,E$29*E19/E$32,0),2)</f>
        <v>0</v>
      </c>
      <c r="M19" s="2738">
        <f>K19+L19</f>
        <v>151.29</v>
      </c>
      <c r="N19" s="2739"/>
      <c r="O19" s="2740"/>
      <c r="P19" s="2741">
        <f>N19+O19</f>
        <v>0</v>
      </c>
      <c r="R19" s="2092">
        <f t="shared" ref="R19:S26" si="4">D19+H19</f>
        <v>42079.21</v>
      </c>
      <c r="S19" s="2753">
        <f t="shared" si="4"/>
        <v>151636.16</v>
      </c>
    </row>
    <row r="20" spans="1:19">
      <c r="A20" s="2708"/>
      <c r="B20" s="2683" t="s">
        <v>245</v>
      </c>
      <c r="C20" s="2704" t="s">
        <v>511</v>
      </c>
      <c r="D20" s="3186">
        <f t="shared" ref="D20:D23" si="5">ROUND($D$3*E20/$D$34,2)</f>
        <v>30028.69</v>
      </c>
      <c r="E20" s="2705">
        <f t="shared" si="1"/>
        <v>108103.09</v>
      </c>
      <c r="F20" s="2706">
        <f>'数据-基础表'!M13</f>
        <v>108103.09</v>
      </c>
      <c r="G20" s="2707"/>
      <c r="H20" s="3187">
        <v>0</v>
      </c>
      <c r="I20" s="2684">
        <f t="shared" ref="I20:I26" si="6">IF($I$17="自定义",P20,M20)</f>
        <v>107.96</v>
      </c>
      <c r="J20" s="2668"/>
      <c r="K20" s="2737">
        <f t="shared" si="2"/>
        <v>107.96</v>
      </c>
      <c r="L20" s="2092">
        <f t="shared" si="3"/>
        <v>0</v>
      </c>
      <c r="M20" s="2738">
        <f t="shared" ref="M20:M26" si="7">K20+L20</f>
        <v>107.96</v>
      </c>
      <c r="N20" s="2739"/>
      <c r="O20" s="2740"/>
      <c r="P20" s="2741">
        <f t="shared" ref="P20:P26" si="8">N20+O20</f>
        <v>0</v>
      </c>
      <c r="R20" s="2092">
        <f t="shared" si="4"/>
        <v>30028.69</v>
      </c>
      <c r="S20" s="2753">
        <f t="shared" si="4"/>
        <v>108211.05</v>
      </c>
    </row>
    <row r="21" spans="1:19">
      <c r="A21" s="2708"/>
      <c r="B21" s="2683" t="s">
        <v>245</v>
      </c>
      <c r="C21" s="2704" t="s">
        <v>371</v>
      </c>
      <c r="D21" s="3186">
        <f t="shared" si="5"/>
        <v>8520.7800000000007</v>
      </c>
      <c r="E21" s="2705">
        <f t="shared" si="1"/>
        <v>30674.760000000002</v>
      </c>
      <c r="F21" s="2706">
        <f>'数据-基础表'!I13</f>
        <v>30674.760000000002</v>
      </c>
      <c r="G21" s="2707"/>
      <c r="H21" s="3187">
        <v>0</v>
      </c>
      <c r="I21" s="2684">
        <f t="shared" si="6"/>
        <v>30.64</v>
      </c>
      <c r="J21" s="2668"/>
      <c r="K21" s="2737">
        <f t="shared" si="2"/>
        <v>30.64</v>
      </c>
      <c r="L21" s="2092">
        <f t="shared" si="3"/>
        <v>0</v>
      </c>
      <c r="M21" s="2738">
        <f t="shared" si="7"/>
        <v>30.64</v>
      </c>
      <c r="N21" s="2739"/>
      <c r="O21" s="2740"/>
      <c r="P21" s="2741">
        <f t="shared" si="8"/>
        <v>0</v>
      </c>
      <c r="R21" s="2092">
        <f t="shared" si="4"/>
        <v>8520.7800000000007</v>
      </c>
      <c r="S21" s="2753">
        <f t="shared" si="4"/>
        <v>30705.4</v>
      </c>
    </row>
    <row r="22" spans="1:19">
      <c r="A22" s="2708"/>
      <c r="B22" s="2683" t="s">
        <v>245</v>
      </c>
      <c r="C22" s="2709" t="s">
        <v>373</v>
      </c>
      <c r="D22" s="3186"/>
      <c r="E22" s="2705">
        <f t="shared" si="1"/>
        <v>125369.60000000001</v>
      </c>
      <c r="F22" s="2710"/>
      <c r="G22" s="2711">
        <f>'数据-基础表'!O13</f>
        <v>125369.60000000001</v>
      </c>
      <c r="H22" s="3187">
        <v>0</v>
      </c>
      <c r="I22" s="2684">
        <f t="shared" si="6"/>
        <v>125.21</v>
      </c>
      <c r="J22" s="2668"/>
      <c r="K22" s="2737">
        <f t="shared" si="2"/>
        <v>125.21</v>
      </c>
      <c r="L22" s="2092">
        <f t="shared" si="3"/>
        <v>0</v>
      </c>
      <c r="M22" s="2738">
        <f t="shared" si="7"/>
        <v>125.21</v>
      </c>
      <c r="N22" s="2739"/>
      <c r="O22" s="2740"/>
      <c r="P22" s="2741">
        <f t="shared" si="8"/>
        <v>0</v>
      </c>
      <c r="R22" s="2092">
        <f t="shared" si="4"/>
        <v>0</v>
      </c>
      <c r="S22" s="2753">
        <f t="shared" si="4"/>
        <v>125494.81000000001</v>
      </c>
    </row>
    <row r="23" spans="1:19">
      <c r="A23" s="2708"/>
      <c r="B23" s="2683" t="s">
        <v>245</v>
      </c>
      <c r="C23" s="2709" t="s">
        <v>562</v>
      </c>
      <c r="D23" s="3186">
        <f t="shared" si="5"/>
        <v>30207.52</v>
      </c>
      <c r="E23" s="2705">
        <f t="shared" si="1"/>
        <v>108746.88</v>
      </c>
      <c r="F23" s="2710">
        <f>'数据-基础表'!Q13</f>
        <v>108746.88</v>
      </c>
      <c r="G23" s="2711"/>
      <c r="H23" s="3187">
        <v>0</v>
      </c>
      <c r="I23" s="2684">
        <f t="shared" si="6"/>
        <v>108.61</v>
      </c>
      <c r="J23" s="2668"/>
      <c r="K23" s="2737">
        <f t="shared" si="2"/>
        <v>108.61</v>
      </c>
      <c r="L23" s="2092">
        <f t="shared" si="3"/>
        <v>0</v>
      </c>
      <c r="M23" s="2738">
        <f t="shared" si="7"/>
        <v>108.61</v>
      </c>
      <c r="N23" s="2739"/>
      <c r="O23" s="2740"/>
      <c r="P23" s="2741">
        <f t="shared" si="8"/>
        <v>0</v>
      </c>
      <c r="R23" s="2092">
        <f t="shared" si="4"/>
        <v>30207.52</v>
      </c>
      <c r="S23" s="2753">
        <f t="shared" si="4"/>
        <v>108855.49</v>
      </c>
    </row>
    <row r="24" spans="1:19">
      <c r="A24" s="2708"/>
      <c r="B24" s="2683" t="s">
        <v>245</v>
      </c>
      <c r="C24" s="2712"/>
      <c r="D24" s="2677">
        <f t="shared" ref="D24:D26" si="9">ROUND($D$3*E24/$E$3,2)</f>
        <v>0</v>
      </c>
      <c r="E24" s="2705">
        <f t="shared" si="1"/>
        <v>0</v>
      </c>
      <c r="F24" s="2710"/>
      <c r="G24" s="2711"/>
      <c r="H24" s="2624">
        <f t="shared" ref="H24:H26" si="10">ROUND($D$3*I24/$E$3,2)</f>
        <v>0</v>
      </c>
      <c r="I24" s="2684">
        <f t="shared" si="6"/>
        <v>0</v>
      </c>
      <c r="J24" s="2668"/>
      <c r="K24" s="2737">
        <f t="shared" si="2"/>
        <v>0</v>
      </c>
      <c r="L24" s="2092">
        <f t="shared" si="3"/>
        <v>0</v>
      </c>
      <c r="M24" s="2738">
        <f t="shared" si="7"/>
        <v>0</v>
      </c>
      <c r="N24" s="2739"/>
      <c r="O24" s="2740"/>
      <c r="P24" s="2741">
        <f t="shared" si="8"/>
        <v>0</v>
      </c>
      <c r="R24" s="2092">
        <f t="shared" si="4"/>
        <v>0</v>
      </c>
      <c r="S24" s="2753">
        <f t="shared" si="4"/>
        <v>0</v>
      </c>
    </row>
    <row r="25" spans="1:19">
      <c r="A25" s="2708"/>
      <c r="B25" s="2683" t="s">
        <v>245</v>
      </c>
      <c r="C25" s="2712"/>
      <c r="D25" s="2677">
        <f t="shared" si="9"/>
        <v>0</v>
      </c>
      <c r="E25" s="2705">
        <f t="shared" si="1"/>
        <v>0</v>
      </c>
      <c r="F25" s="2710"/>
      <c r="G25" s="2711"/>
      <c r="H25" s="2676">
        <f t="shared" si="10"/>
        <v>0</v>
      </c>
      <c r="I25" s="2684">
        <f t="shared" si="6"/>
        <v>0</v>
      </c>
      <c r="J25" s="2668"/>
      <c r="K25" s="2737">
        <f t="shared" si="2"/>
        <v>0</v>
      </c>
      <c r="L25" s="2092">
        <f t="shared" si="3"/>
        <v>0</v>
      </c>
      <c r="M25" s="2738">
        <f t="shared" si="7"/>
        <v>0</v>
      </c>
      <c r="N25" s="2739"/>
      <c r="O25" s="2740"/>
      <c r="P25" s="2741">
        <f t="shared" si="8"/>
        <v>0</v>
      </c>
      <c r="R25" s="2092">
        <f t="shared" si="4"/>
        <v>0</v>
      </c>
      <c r="S25" s="2753">
        <f t="shared" si="4"/>
        <v>0</v>
      </c>
    </row>
    <row r="26" spans="1:19">
      <c r="A26" s="2708"/>
      <c r="B26" s="2683" t="s">
        <v>245</v>
      </c>
      <c r="C26" s="2713"/>
      <c r="D26" s="2677">
        <f t="shared" si="9"/>
        <v>0</v>
      </c>
      <c r="E26" s="2705">
        <f t="shared" si="1"/>
        <v>0</v>
      </c>
      <c r="F26" s="2710"/>
      <c r="G26" s="2711"/>
      <c r="H26" s="2676">
        <f t="shared" si="10"/>
        <v>0</v>
      </c>
      <c r="I26" s="2684">
        <f t="shared" si="6"/>
        <v>0</v>
      </c>
      <c r="J26" s="2668"/>
      <c r="K26" s="2742">
        <f t="shared" si="2"/>
        <v>0</v>
      </c>
      <c r="L26" s="2096">
        <f t="shared" si="3"/>
        <v>0</v>
      </c>
      <c r="M26" s="2718">
        <f t="shared" si="7"/>
        <v>0</v>
      </c>
      <c r="N26" s="2743"/>
      <c r="O26" s="2744"/>
      <c r="P26" s="2745">
        <f t="shared" si="8"/>
        <v>0</v>
      </c>
      <c r="R26" s="2092">
        <f t="shared" si="4"/>
        <v>0</v>
      </c>
      <c r="S26" s="2753">
        <f t="shared" si="4"/>
        <v>0</v>
      </c>
    </row>
    <row r="27" spans="1:19" ht="15">
      <c r="A27" s="2708"/>
      <c r="B27" s="2677"/>
      <c r="C27" s="2132" t="s">
        <v>546</v>
      </c>
      <c r="D27" s="2705">
        <f>SUM(D19:D26)</f>
        <v>110836.2</v>
      </c>
      <c r="E27" s="2714">
        <f>IF(SUM(E19:E26)='数据-基础表'!BA5,SUM(E19:E26),IF(F27="地上面积有误","面积有误","地下面积有误"))</f>
        <v>524379.19999999995</v>
      </c>
      <c r="F27" s="2705">
        <f>IF(SUM(F19:F26)=E8,SUM(F19:F26),"地上面积有误")</f>
        <v>399009.6</v>
      </c>
      <c r="G27" s="2678">
        <f>SUM(G19:G26)</f>
        <v>125369.60000000001</v>
      </c>
      <c r="H27" s="2715">
        <f>SUM(H19:H26)</f>
        <v>0</v>
      </c>
      <c r="I27" s="2746">
        <f>SUM(I19:I26)</f>
        <v>523.70999999999992</v>
      </c>
      <c r="J27" s="2668"/>
      <c r="K27" s="2747">
        <f>SUM(K19:K26)</f>
        <v>523.70999999999992</v>
      </c>
      <c r="L27" s="2748">
        <f>SUM(L19:L26)</f>
        <v>0</v>
      </c>
      <c r="M27" s="2749">
        <f>SUM(M19:M26)</f>
        <v>523.70999999999992</v>
      </c>
      <c r="N27" s="2747">
        <f t="shared" ref="N27:P27" si="11">SUM(N19:N26)</f>
        <v>0</v>
      </c>
      <c r="O27" s="2748">
        <f t="shared" si="11"/>
        <v>0</v>
      </c>
      <c r="P27" s="2750">
        <f t="shared" si="11"/>
        <v>0</v>
      </c>
      <c r="R27" s="2754">
        <f>IF(SUM(R19:R26)=$D$3,SUM(R19:R26),SUM(R19:R26)&amp;"误差"&amp;ROUND(SUM(R19:R26)-$D$3,2))</f>
        <v>110836.2</v>
      </c>
      <c r="S27" s="2092" t="str">
        <f>IF(SUM(S19:S26)=$E$3,SUM(S19:S26),SUM(S19:S26)&amp;"误差"&amp;ROUND(SUM(S19:S26)-E3,2))</f>
        <v>524902.91误差0.01</v>
      </c>
    </row>
    <row r="28" spans="1:19">
      <c r="A28" s="2708"/>
      <c r="B28" s="2683" t="s">
        <v>257</v>
      </c>
      <c r="C28" s="2644" t="s">
        <v>563</v>
      </c>
      <c r="D28" s="3186">
        <v>0</v>
      </c>
      <c r="E28" s="2705">
        <f>SUM(F28:G28)</f>
        <v>523.70000000000005</v>
      </c>
      <c r="F28" s="2080">
        <f>'数据-基础表'!BQ5+'数据-基础表'!BS5</f>
        <v>523.70000000000005</v>
      </c>
      <c r="G28" s="2716">
        <f>'数据-基础表'!BR5+'数据-基础表'!BT5</f>
        <v>0</v>
      </c>
      <c r="H28" s="2668"/>
      <c r="I28" s="2668"/>
      <c r="J28" s="2668"/>
      <c r="K28" s="2668"/>
      <c r="L28" s="2668"/>
    </row>
    <row r="29" spans="1:19">
      <c r="A29" s="2708"/>
      <c r="B29" s="2683" t="s">
        <v>257</v>
      </c>
      <c r="C29" s="2717" t="s">
        <v>564</v>
      </c>
      <c r="D29" s="2677">
        <f>ROUND($D$3*E29/$E$3,2)</f>
        <v>0</v>
      </c>
      <c r="E29" s="2705">
        <f>SUM(F29:G29)</f>
        <v>0</v>
      </c>
      <c r="F29" s="2080">
        <f>'数据-基础表'!BM5+'数据-基础表'!BO5</f>
        <v>0</v>
      </c>
      <c r="G29" s="2718">
        <f>'数据-基础表'!BN5+'数据-基础表'!BP5</f>
        <v>0</v>
      </c>
      <c r="H29" s="2668"/>
      <c r="I29" s="2668"/>
      <c r="J29" s="2668"/>
      <c r="K29" s="2668"/>
      <c r="L29" s="2668"/>
    </row>
    <row r="30" spans="1:19">
      <c r="A30" s="2708"/>
      <c r="B30" s="2677"/>
      <c r="C30" s="2719" t="s">
        <v>546</v>
      </c>
      <c r="D30" s="2705">
        <v>0</v>
      </c>
      <c r="E30" s="2705">
        <f>SUM(E28:E29)</f>
        <v>523.70000000000005</v>
      </c>
      <c r="F30" s="2705">
        <f>SUM(F28:F29)</f>
        <v>523.70000000000005</v>
      </c>
      <c r="G30" s="2678">
        <f>SUM(G28:G29)</f>
        <v>0</v>
      </c>
      <c r="H30" s="2668"/>
      <c r="I30" s="2668"/>
      <c r="J30" s="2668"/>
      <c r="K30" s="2668"/>
      <c r="L30" s="2668"/>
    </row>
    <row r="31" spans="1:19" ht="32.25" customHeight="1">
      <c r="A31" s="2720"/>
      <c r="B31" s="2721" t="s">
        <v>565</v>
      </c>
      <c r="C31" s="2722" t="s">
        <v>566</v>
      </c>
      <c r="D31" s="2723">
        <f>D27+D30</f>
        <v>110836.2</v>
      </c>
      <c r="E31" s="2723">
        <f>E27+E30</f>
        <v>524902.89999999991</v>
      </c>
      <c r="F31" s="2724">
        <f>F27+F30</f>
        <v>399533.3</v>
      </c>
      <c r="G31" s="2725">
        <f>G27+G30</f>
        <v>125369.60000000001</v>
      </c>
      <c r="H31" s="2668"/>
      <c r="I31" s="2668"/>
      <c r="J31" s="2668"/>
      <c r="K31" s="2668"/>
      <c r="L31" s="2668"/>
    </row>
    <row r="32" spans="1:19">
      <c r="A32" s="2668"/>
      <c r="B32" s="2726" t="s">
        <v>567</v>
      </c>
      <c r="C32" s="2727"/>
      <c r="D32" s="2675"/>
      <c r="E32" s="2675">
        <f>SUMIF(C19:C26,"*住宅*",E19:E26)</f>
        <v>0</v>
      </c>
      <c r="F32" s="2675"/>
      <c r="G32" s="2675"/>
    </row>
    <row r="33" spans="4:4">
      <c r="D33" s="2728"/>
    </row>
    <row r="34" spans="4:4">
      <c r="D34" s="2728">
        <f>F27</f>
        <v>399009.6</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AE6" activePane="bottomRight" state="frozen"/>
      <selection pane="topRight"/>
      <selection pane="bottomLeft"/>
      <selection pane="bottomRight" activeCell="B34" sqref="B34"/>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2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5">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8"/>
      <c r="AO2" s="2648"/>
      <c r="AP2" s="2648"/>
      <c r="AQ2" s="2648"/>
      <c r="AR2" s="2648"/>
      <c r="AS2" s="2648"/>
      <c r="AT2" s="2648"/>
      <c r="AU2" s="2648"/>
      <c r="AV2" s="2648"/>
      <c r="AW2" s="2648"/>
      <c r="AX2" s="2648"/>
      <c r="AY2" s="2648"/>
      <c r="AZ2" s="2648"/>
      <c r="BA2" s="2648"/>
      <c r="BB2" s="2648"/>
      <c r="BC2" s="2648"/>
      <c r="BD2" s="2648"/>
      <c r="BE2" s="2648"/>
      <c r="BF2" s="2648"/>
      <c r="BG2" s="2648"/>
      <c r="BH2" s="2648"/>
      <c r="BI2" s="2648"/>
      <c r="BJ2" s="2648"/>
      <c r="BK2" s="2648"/>
      <c r="BL2" s="2648"/>
      <c r="BM2" s="2648"/>
      <c r="BN2" s="2648"/>
      <c r="BO2" s="2648"/>
      <c r="BP2" s="2648"/>
      <c r="BQ2" s="2648"/>
      <c r="BR2" s="2648"/>
      <c r="BS2" s="2648"/>
      <c r="BT2" s="2648"/>
      <c r="BU2" s="2648"/>
      <c r="BV2" s="2648"/>
      <c r="BW2" s="2648"/>
      <c r="BX2" s="2648"/>
      <c r="BY2" s="2648"/>
      <c r="BZ2" s="2648"/>
      <c r="CA2" s="2648"/>
      <c r="CB2" s="2648"/>
      <c r="CC2" s="2648"/>
      <c r="CD2" s="2648"/>
      <c r="CE2" s="2648"/>
    </row>
    <row r="3" spans="1:83" s="2478" customFormat="1" ht="14.25">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8"/>
      <c r="AO3" s="2648"/>
      <c r="AP3" s="2648"/>
      <c r="AQ3" s="2648"/>
      <c r="AR3" s="2648"/>
      <c r="AS3" s="2648"/>
      <c r="AT3" s="2648"/>
      <c r="AU3" s="2648"/>
      <c r="AV3" s="2648"/>
      <c r="AW3" s="2648"/>
      <c r="AX3" s="2648"/>
      <c r="AY3" s="2648"/>
      <c r="AZ3" s="2648"/>
      <c r="BA3" s="2648"/>
      <c r="BB3" s="2648"/>
      <c r="BC3" s="2648"/>
      <c r="BD3" s="2648"/>
      <c r="BE3" s="2648"/>
      <c r="BF3" s="2648"/>
      <c r="BG3" s="2648"/>
      <c r="BH3" s="2648"/>
      <c r="BI3" s="2648"/>
      <c r="BJ3" s="2648"/>
      <c r="BK3" s="2648"/>
      <c r="BL3" s="2648"/>
      <c r="BM3" s="2648"/>
      <c r="BN3" s="2648"/>
      <c r="BO3" s="2648"/>
      <c r="BP3" s="2648"/>
      <c r="BQ3" s="2648"/>
      <c r="BR3" s="2648"/>
      <c r="BS3" s="2648"/>
      <c r="BT3" s="2648"/>
      <c r="BU3" s="2648"/>
      <c r="BV3" s="2648"/>
      <c r="BW3" s="2648"/>
      <c r="BX3" s="2648"/>
      <c r="BY3" s="2648"/>
      <c r="BZ3" s="2648"/>
      <c r="CA3" s="2648"/>
      <c r="CB3" s="2648"/>
      <c r="CC3" s="2648"/>
      <c r="CD3" s="2648"/>
      <c r="CE3" s="2648"/>
    </row>
    <row r="4" spans="1:83" s="2478" customFormat="1" ht="14.25">
      <c r="A4" s="2494" t="s">
        <v>570</v>
      </c>
      <c r="B4" s="2495"/>
      <c r="C4" s="2496"/>
      <c r="D4" s="2497"/>
      <c r="E4" s="2498" t="s">
        <v>571</v>
      </c>
      <c r="F4" s="2496"/>
      <c r="G4" s="2496"/>
      <c r="H4" s="2496"/>
      <c r="I4" s="2496"/>
      <c r="J4" s="2585"/>
      <c r="K4" s="2586"/>
      <c r="L4" s="2587"/>
      <c r="M4" s="2496"/>
      <c r="N4" s="2498" t="s">
        <v>572</v>
      </c>
      <c r="O4" s="2496"/>
      <c r="P4" s="2496"/>
      <c r="Q4" s="2496"/>
      <c r="R4" s="2496"/>
      <c r="S4" s="2585"/>
      <c r="T4" s="2607" t="str">
        <f>'数据-汇总表'!I17</f>
        <v>按面积比例</v>
      </c>
      <c r="U4" s="2495" t="s">
        <v>573</v>
      </c>
      <c r="V4" s="2496"/>
      <c r="W4" s="2496"/>
      <c r="X4" s="2496"/>
      <c r="Y4" s="2585"/>
      <c r="Z4" s="2633" t="s">
        <v>574</v>
      </c>
      <c r="AA4" s="2633"/>
      <c r="AB4" s="2633"/>
      <c r="AC4" s="2633"/>
      <c r="AD4" s="2633"/>
      <c r="AE4" s="2634" t="s">
        <v>575</v>
      </c>
      <c r="AF4" s="2633"/>
      <c r="AG4" s="2649"/>
      <c r="AH4" s="2495"/>
      <c r="AI4" s="2496"/>
      <c r="AJ4" s="2496"/>
      <c r="AK4" s="2496"/>
      <c r="AL4" s="2496"/>
      <c r="AM4" s="2585"/>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c r="BU4" s="2648"/>
      <c r="BV4" s="2648"/>
      <c r="BW4" s="2648"/>
      <c r="BX4" s="2648"/>
      <c r="BY4" s="2648"/>
      <c r="BZ4" s="2648"/>
      <c r="CA4" s="2648"/>
      <c r="CB4" s="2648"/>
      <c r="CC4" s="2648"/>
      <c r="CD4" s="2648"/>
      <c r="CE4" s="2648"/>
    </row>
    <row r="5" spans="1:83" s="2479" customFormat="1" ht="54">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8" t="s">
        <v>592</v>
      </c>
      <c r="S5" s="2609" t="s">
        <v>593</v>
      </c>
      <c r="T5" s="2610" t="s">
        <v>594</v>
      </c>
      <c r="U5" s="2611" t="s">
        <v>595</v>
      </c>
      <c r="V5" s="2503" t="s">
        <v>596</v>
      </c>
      <c r="W5" s="2503" t="s">
        <v>597</v>
      </c>
      <c r="X5" s="2612"/>
      <c r="Y5" s="771" t="s">
        <v>598</v>
      </c>
      <c r="Z5" s="2635" t="s">
        <v>595</v>
      </c>
      <c r="AA5" s="2503" t="s">
        <v>596</v>
      </c>
      <c r="AB5" s="2503" t="s">
        <v>597</v>
      </c>
      <c r="AC5" s="2636"/>
      <c r="AD5" s="548" t="s">
        <v>598</v>
      </c>
      <c r="AE5" s="2637" t="s">
        <v>599</v>
      </c>
      <c r="AF5" s="2503" t="s">
        <v>600</v>
      </c>
      <c r="AG5" s="771" t="s">
        <v>601</v>
      </c>
      <c r="AH5" s="2636" t="s">
        <v>602</v>
      </c>
      <c r="AI5" s="2635" t="s">
        <v>603</v>
      </c>
      <c r="AJ5" s="2635" t="s">
        <v>604</v>
      </c>
      <c r="AK5" s="2503" t="s">
        <v>605</v>
      </c>
      <c r="AL5" s="2503" t="s">
        <v>606</v>
      </c>
      <c r="AM5" s="548" t="s">
        <v>607</v>
      </c>
      <c r="AN5" s="2650" t="s">
        <v>608</v>
      </c>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BT5" s="2666"/>
      <c r="BU5" s="2666"/>
      <c r="BV5" s="2666"/>
      <c r="BW5" s="2666"/>
      <c r="BX5" s="2666"/>
      <c r="BY5" s="2666"/>
      <c r="BZ5" s="2666"/>
      <c r="CA5" s="2666"/>
      <c r="CB5" s="2666"/>
      <c r="CC5" s="2666"/>
      <c r="CD5" s="2666"/>
      <c r="CE5" s="2666"/>
    </row>
    <row r="6" spans="1:83" s="2478" customFormat="1" ht="14.25">
      <c r="A6" s="2505" t="str">
        <f>'数据-汇总表'!C19</f>
        <v>办公公寓</v>
      </c>
      <c r="B6" s="2506" t="str">
        <f>IF(A6=0,"","经营性")</f>
        <v>经营性</v>
      </c>
      <c r="C6" s="3177"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3188">
        <v>2600</v>
      </c>
      <c r="M6" s="2595">
        <f t="shared" ref="M6:M14" si="0">ROUND(K6*L6/10000,0)</f>
        <v>39386</v>
      </c>
      <c r="N6" s="2596">
        <v>0</v>
      </c>
      <c r="O6" s="2595">
        <f>IF($N$5="成新度","——",ROUND(M6*N6,0))</f>
        <v>0</v>
      </c>
      <c r="P6" s="2597">
        <f>IF($N$5="成新度","——",M6-O6)</f>
        <v>39386</v>
      </c>
      <c r="Q6" s="2613">
        <v>0.15</v>
      </c>
      <c r="R6" s="2594">
        <f>SUMIF('数据-汇总表'!C$19:C$33,A6,'数据-汇总表'!R$19:R$33)</f>
        <v>42079.21</v>
      </c>
      <c r="S6" s="2614">
        <f>IF('数据-汇总表'!$I$17="按面积比例",SUMIF('数据-汇总表'!C$19:C$33,A6,'数据-汇总表'!K$19:K$33),SUMIF('数据-汇总表'!C$19:C$33,A6,'数据-汇总表'!N$19:N$33))</f>
        <v>151.29</v>
      </c>
      <c r="T6" s="2615">
        <f>IF($T$4="按面积比例",IF(ISERROR(ROUND($M$14*S6/S$16,0)),"0",ROUND($M$14*S6/S$16,0)),"需自行计算录入")</f>
        <v>39</v>
      </c>
      <c r="U6" s="2616">
        <v>2</v>
      </c>
      <c r="V6" s="2617">
        <v>0.02</v>
      </c>
      <c r="W6" s="2617">
        <v>0.15</v>
      </c>
      <c r="X6" s="2618"/>
      <c r="Y6" s="2638">
        <v>1</v>
      </c>
      <c r="Z6" s="2639"/>
      <c r="AA6" s="2513"/>
      <c r="AB6" s="2513"/>
      <c r="AC6" s="2621"/>
      <c r="AD6" s="2640"/>
      <c r="AE6" s="2641">
        <f ca="1">IF(AN6="",0,SUMIF(INDIRECT("'"&amp;AN6&amp;"'"&amp;"!E:E"),$AE$5,INDIRECT("'"&amp;AN6&amp;"'"&amp;"!F:F")))</f>
        <v>34.44</v>
      </c>
      <c r="AF6" s="2077"/>
      <c r="AG6" s="2651">
        <f>IF(AF6="",0,AE6-AF6)</f>
        <v>0</v>
      </c>
      <c r="AH6" s="2077"/>
      <c r="AI6" s="2652">
        <v>365</v>
      </c>
      <c r="AJ6" s="2653"/>
      <c r="AK6" s="2654">
        <v>1.4999999999999999E-2</v>
      </c>
      <c r="AL6" s="2655">
        <v>1.5E-3</v>
      </c>
      <c r="AM6" s="2656">
        <v>1.4999999999999999E-2</v>
      </c>
      <c r="AN6" s="2657" t="s">
        <v>2442</v>
      </c>
      <c r="AO6" s="2648"/>
      <c r="AP6" s="2493">
        <f>ROUND(1-1/(1+H6)^F6,3)</f>
        <v>0.83899999999999997</v>
      </c>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row>
    <row r="7" spans="1:83" s="2478" customFormat="1" ht="14.25">
      <c r="A7" s="2505" t="str">
        <f>'数据-汇总表'!C20</f>
        <v>LOFT公寓</v>
      </c>
      <c r="B7" s="2506" t="str">
        <f t="shared" ref="B7:B13" si="1">IF(A7=0,"","经营性")</f>
        <v>经营性</v>
      </c>
      <c r="C7" s="3177"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3188">
        <v>3200</v>
      </c>
      <c r="M7" s="2595">
        <f t="shared" si="0"/>
        <v>34593</v>
      </c>
      <c r="N7" s="2596">
        <v>0</v>
      </c>
      <c r="O7" s="2595">
        <f t="shared" ref="O7:O14" si="3">IF($N$5="成新度","——",ROUND(M7*N7,0))</f>
        <v>0</v>
      </c>
      <c r="P7" s="2597">
        <f t="shared" ref="P7:P14" si="4">IF($N$5="成新度","——",M7-O7)</f>
        <v>34593</v>
      </c>
      <c r="Q7" s="2613">
        <v>0.2</v>
      </c>
      <c r="R7" s="2594">
        <f>SUMIF('数据-汇总表'!C$19:C$33,A7,'数据-汇总表'!R$19:R$33)</f>
        <v>30028.69</v>
      </c>
      <c r="S7" s="2614">
        <f>IF('数据-汇总表'!$I$17="按面积比例",SUMIF('数据-汇总表'!C$19:C$33,A7,'数据-汇总表'!K$19:K$33),SUMIF('数据-汇总表'!C$19:C$33,A7,'数据-汇总表'!N$19:N$33))</f>
        <v>107.96</v>
      </c>
      <c r="T7" s="2615">
        <f t="shared" ref="T7:T13" si="5">IF($T$4="按面积比例",IF(ISERROR(ROUND($M$14*S7/S$16,0)),"0",ROUND($M$14*S7/S$16,0)),"需自行计算录入")</f>
        <v>28</v>
      </c>
      <c r="U7" s="2616"/>
      <c r="V7" s="2617"/>
      <c r="W7" s="2617"/>
      <c r="X7" s="2618"/>
      <c r="Y7" s="2638"/>
      <c r="Z7" s="2639"/>
      <c r="AA7" s="2513"/>
      <c r="AB7" s="2513"/>
      <c r="AC7" s="2621"/>
      <c r="AD7" s="2640"/>
      <c r="AE7" s="2641">
        <f t="shared" ref="AE7:AE13" ca="1" si="6">IF(AN7="",0,SUMIF(INDIRECT("'"&amp;AN7&amp;"'"&amp;"!E:E"),$AE$5,INDIRECT("'"&amp;AN7&amp;"'"&amp;"!F:F")))</f>
        <v>0</v>
      </c>
      <c r="AF7" s="2077"/>
      <c r="AG7" s="2651">
        <f t="shared" ref="AG7:AG13" si="7">IF(AF7="",0,AE7-AF7)</f>
        <v>0</v>
      </c>
      <c r="AH7" s="2077"/>
      <c r="AI7" s="2652"/>
      <c r="AJ7" s="2653"/>
      <c r="AK7" s="2654">
        <v>1.4999999999999999E-2</v>
      </c>
      <c r="AL7" s="2655">
        <v>1.5E-3</v>
      </c>
      <c r="AM7" s="2658">
        <v>1.4999999999999999E-2</v>
      </c>
      <c r="AN7" s="2657"/>
      <c r="AO7" s="2648"/>
      <c r="AP7" s="2493">
        <f t="shared" ref="AP7:AP13" si="8">ROUND(1-1/(1+H7)^F7,3)</f>
        <v>0.83899999999999997</v>
      </c>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row>
    <row r="8" spans="1:83" s="2478" customFormat="1" ht="14.25">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3188">
        <f>L6</f>
        <v>2600</v>
      </c>
      <c r="M8" s="2595">
        <f t="shared" si="0"/>
        <v>7975</v>
      </c>
      <c r="N8" s="2596">
        <v>0</v>
      </c>
      <c r="O8" s="2595">
        <f t="shared" si="3"/>
        <v>0</v>
      </c>
      <c r="P8" s="2597">
        <f t="shared" si="4"/>
        <v>7975</v>
      </c>
      <c r="Q8" s="2613">
        <v>0.25</v>
      </c>
      <c r="R8" s="2594">
        <f>SUMIF('数据-汇总表'!C$19:C$33,A8,'数据-汇总表'!R$19:R$33)</f>
        <v>8520.7800000000007</v>
      </c>
      <c r="S8" s="2614">
        <f>IF('数据-汇总表'!$I$17="按面积比例",SUMIF('数据-汇总表'!C$19:C$33,A8,'数据-汇总表'!K$19:K$33),SUMIF('数据-汇总表'!C$19:C$33,A8,'数据-汇总表'!N$19:N$33))</f>
        <v>30.64</v>
      </c>
      <c r="T8" s="2615">
        <f t="shared" si="5"/>
        <v>8</v>
      </c>
      <c r="U8" s="2616"/>
      <c r="V8" s="2617"/>
      <c r="W8" s="2617"/>
      <c r="X8" s="2618"/>
      <c r="Y8" s="2638"/>
      <c r="Z8" s="2639"/>
      <c r="AA8" s="2513"/>
      <c r="AB8" s="2513"/>
      <c r="AC8" s="2621"/>
      <c r="AD8" s="2640"/>
      <c r="AE8" s="2641">
        <f t="shared" ca="1" si="6"/>
        <v>0</v>
      </c>
      <c r="AF8" s="2077"/>
      <c r="AG8" s="2651">
        <f t="shared" si="7"/>
        <v>0</v>
      </c>
      <c r="AH8" s="2077"/>
      <c r="AI8" s="2652"/>
      <c r="AJ8" s="2653"/>
      <c r="AK8" s="2654">
        <v>1.4999999999999999E-2</v>
      </c>
      <c r="AL8" s="2655">
        <v>1.5E-3</v>
      </c>
      <c r="AM8" s="2658">
        <v>1.4999999999999999E-2</v>
      </c>
      <c r="AN8" s="2657"/>
      <c r="AO8" s="2648"/>
      <c r="AP8" s="2493">
        <f t="shared" si="8"/>
        <v>0.77</v>
      </c>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row>
    <row r="9" spans="1:83" s="2478" customFormat="1" ht="14.25">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v>
      </c>
      <c r="H9" s="3189"/>
      <c r="I9" s="2513">
        <v>4.4999999999999998E-2</v>
      </c>
      <c r="J9" s="2513">
        <v>0.08</v>
      </c>
      <c r="K9" s="2594">
        <f>SUMIF('数据-汇总表'!C$19:C$33,'数据-取费表'!A9,'数据-汇总表'!E$19:E$33)</f>
        <v>125369.60000000001</v>
      </c>
      <c r="L9" s="3183">
        <f>L6</f>
        <v>2600</v>
      </c>
      <c r="M9" s="2595">
        <f t="shared" si="0"/>
        <v>32596</v>
      </c>
      <c r="N9" s="2599">
        <v>0</v>
      </c>
      <c r="O9" s="2595">
        <f t="shared" si="3"/>
        <v>0</v>
      </c>
      <c r="P9" s="2597">
        <f t="shared" si="4"/>
        <v>32596</v>
      </c>
      <c r="Q9" s="2619">
        <v>0.03</v>
      </c>
      <c r="R9" s="2594">
        <f>SUMIF('数据-汇总表'!C$19:C$33,A9,'数据-汇总表'!R$19:R$33)</f>
        <v>0</v>
      </c>
      <c r="S9" s="2614">
        <f>IF('数据-汇总表'!$I$17="按面积比例",SUMIF('数据-汇总表'!C$19:C$33,A9,'数据-汇总表'!K$19:K$33),SUMIF('数据-汇总表'!C$19:C$33,A9,'数据-汇总表'!N$19:N$33))</f>
        <v>125.21</v>
      </c>
      <c r="T9" s="2615">
        <f t="shared" si="5"/>
        <v>33</v>
      </c>
      <c r="U9" s="2616">
        <v>400</v>
      </c>
      <c r="V9" s="2617">
        <v>0.02</v>
      </c>
      <c r="W9" s="2617">
        <v>0.15</v>
      </c>
      <c r="X9" s="2618"/>
      <c r="Y9" s="2638">
        <v>1</v>
      </c>
      <c r="Z9" s="2639"/>
      <c r="AA9" s="2513"/>
      <c r="AB9" s="2513"/>
      <c r="AC9" s="2621"/>
      <c r="AD9" s="2640"/>
      <c r="AE9" s="2641">
        <f t="shared" ca="1" si="6"/>
        <v>34.44</v>
      </c>
      <c r="AF9" s="2077"/>
      <c r="AG9" s="2651">
        <f t="shared" si="7"/>
        <v>0</v>
      </c>
      <c r="AH9" s="2077">
        <v>4430</v>
      </c>
      <c r="AI9" s="2652">
        <v>12</v>
      </c>
      <c r="AJ9" s="2653"/>
      <c r="AK9" s="2654">
        <v>5.0000000000000001E-3</v>
      </c>
      <c r="AL9" s="2655">
        <v>1.5E-3</v>
      </c>
      <c r="AM9" s="3176">
        <v>0.05</v>
      </c>
      <c r="AN9" s="2657" t="s">
        <v>2441</v>
      </c>
      <c r="AO9" s="2648"/>
      <c r="AP9" s="2493">
        <f t="shared" si="8"/>
        <v>0</v>
      </c>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row>
    <row r="10" spans="1:83" s="2478" customFormat="1" ht="14.25">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3183">
        <f>L6</f>
        <v>2600</v>
      </c>
      <c r="M10" s="2595">
        <f t="shared" si="0"/>
        <v>28274</v>
      </c>
      <c r="N10" s="2599">
        <v>0</v>
      </c>
      <c r="O10" s="2595">
        <f t="shared" si="3"/>
        <v>0</v>
      </c>
      <c r="P10" s="2597">
        <f t="shared" si="4"/>
        <v>28274</v>
      </c>
      <c r="Q10" s="2619">
        <v>0.2</v>
      </c>
      <c r="R10" s="2594">
        <f>SUMIF('数据-汇总表'!C$19:C$33,A10,'数据-汇总表'!R$19:R$33)</f>
        <v>30207.52</v>
      </c>
      <c r="S10" s="2614">
        <f>IF('数据-汇总表'!$I$17="按面积比例",SUMIF('数据-汇总表'!C$19:C$33,A10,'数据-汇总表'!K$19:K$33),SUMIF('数据-汇总表'!C$19:C$33,A10,'数据-汇总表'!N$19:N$33))</f>
        <v>108.61</v>
      </c>
      <c r="T10" s="2615">
        <f t="shared" si="5"/>
        <v>28</v>
      </c>
      <c r="U10" s="2616"/>
      <c r="V10" s="2617"/>
      <c r="W10" s="2617"/>
      <c r="X10" s="2618"/>
      <c r="Y10" s="2638"/>
      <c r="Z10" s="2639"/>
      <c r="AA10" s="2513"/>
      <c r="AB10" s="2513"/>
      <c r="AC10" s="2621"/>
      <c r="AD10" s="2640"/>
      <c r="AE10" s="2641">
        <f t="shared" ca="1" si="6"/>
        <v>0</v>
      </c>
      <c r="AF10" s="2077"/>
      <c r="AG10" s="2651">
        <f t="shared" si="7"/>
        <v>0</v>
      </c>
      <c r="AH10" s="2077"/>
      <c r="AI10" s="2652"/>
      <c r="AJ10" s="2653"/>
      <c r="AK10" s="2654">
        <v>1.4999999999999999E-2</v>
      </c>
      <c r="AL10" s="2655">
        <v>1.5E-3</v>
      </c>
      <c r="AM10" s="2658">
        <v>1.4999999999999999E-2</v>
      </c>
      <c r="AN10" s="2657"/>
      <c r="AO10" s="2648"/>
      <c r="AP10" s="2493">
        <f t="shared" si="8"/>
        <v>0.83899999999999997</v>
      </c>
      <c r="AQ10" s="2648"/>
      <c r="AR10" s="2648"/>
      <c r="AS10" s="2648"/>
      <c r="AT10" s="2648"/>
      <c r="AU10" s="2648"/>
      <c r="AV10" s="2648"/>
      <c r="AW10" s="2648"/>
      <c r="AX10" s="2648"/>
      <c r="AY10" s="2648"/>
      <c r="AZ10" s="2648"/>
      <c r="BA10" s="2648"/>
      <c r="BB10" s="2648"/>
      <c r="BC10" s="2648"/>
      <c r="BD10" s="2648"/>
      <c r="BE10" s="2648"/>
      <c r="BF10" s="2648"/>
      <c r="BG10" s="2648"/>
      <c r="BH10" s="2648"/>
      <c r="BI10" s="2648"/>
      <c r="BJ10" s="2648"/>
      <c r="BK10" s="2648"/>
      <c r="BL10" s="2648"/>
      <c r="BM10" s="2648"/>
      <c r="BN10" s="2648"/>
      <c r="BO10" s="2648"/>
      <c r="BP10" s="2648"/>
      <c r="BQ10" s="2648"/>
      <c r="BR10" s="2648"/>
      <c r="BS10" s="2648"/>
      <c r="BT10" s="2648"/>
      <c r="BU10" s="2648"/>
      <c r="BV10" s="2648"/>
      <c r="BW10" s="2648"/>
      <c r="BX10" s="2648"/>
      <c r="BY10" s="2648"/>
      <c r="BZ10" s="2648"/>
      <c r="CA10" s="2648"/>
      <c r="CB10" s="2648"/>
      <c r="CC10" s="2648"/>
      <c r="CD10" s="2648"/>
      <c r="CE10" s="2648"/>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8"/>
      <c r="M11" s="2595">
        <f t="shared" si="0"/>
        <v>0</v>
      </c>
      <c r="N11" s="2599"/>
      <c r="O11" s="2595">
        <f t="shared" si="3"/>
        <v>0</v>
      </c>
      <c r="P11" s="2597">
        <f t="shared" si="4"/>
        <v>0</v>
      </c>
      <c r="Q11" s="2619"/>
      <c r="R11" s="2594">
        <f>SUMIF('数据-汇总表'!C$19:C$33,A11,'数据-汇总表'!R$19:R$33)</f>
        <v>0</v>
      </c>
      <c r="S11" s="2614">
        <f>IF('数据-汇总表'!$I$17="按面积比例",SUMIF('数据-汇总表'!C$19:C$33,A11,'数据-汇总表'!K$19:K$33),SUMIF('数据-汇总表'!C$19:C$33,A11,'数据-汇总表'!N$19:N$33))</f>
        <v>0</v>
      </c>
      <c r="T11" s="2615">
        <f t="shared" si="5"/>
        <v>0</v>
      </c>
      <c r="U11" s="2620"/>
      <c r="V11" s="2513"/>
      <c r="W11" s="2513"/>
      <c r="X11" s="2621"/>
      <c r="Y11" s="2638"/>
      <c r="Z11" s="2642"/>
      <c r="AA11" s="2513"/>
      <c r="AB11" s="2513"/>
      <c r="AC11" s="2621"/>
      <c r="AD11" s="2640"/>
      <c r="AE11" s="2641">
        <f t="shared" ca="1" si="6"/>
        <v>0</v>
      </c>
      <c r="AF11" s="2077"/>
      <c r="AG11" s="2651">
        <f t="shared" si="7"/>
        <v>0</v>
      </c>
      <c r="AH11" s="2077"/>
      <c r="AI11" s="2652"/>
      <c r="AJ11" s="2653"/>
      <c r="AK11" s="2659"/>
      <c r="AL11" s="2660"/>
      <c r="AM11" s="2661"/>
      <c r="AN11" s="2657"/>
      <c r="AO11" s="2648"/>
      <c r="AP11" s="2493">
        <f t="shared" si="8"/>
        <v>0</v>
      </c>
      <c r="AQ11" s="2648"/>
      <c r="AR11" s="2648"/>
      <c r="AS11" s="2648"/>
      <c r="AT11" s="2648"/>
      <c r="AU11" s="2648"/>
      <c r="AV11" s="2648"/>
      <c r="AW11" s="2648"/>
      <c r="AX11" s="2648"/>
      <c r="AY11" s="2648"/>
      <c r="AZ11" s="2648"/>
      <c r="BA11" s="2648"/>
      <c r="BB11" s="2648"/>
      <c r="BC11" s="2648"/>
      <c r="BD11" s="2648"/>
      <c r="BE11" s="2648"/>
      <c r="BF11" s="2648"/>
      <c r="BG11" s="2648"/>
      <c r="BH11" s="2648"/>
      <c r="BI11" s="2648"/>
      <c r="BJ11" s="2648"/>
      <c r="BK11" s="2648"/>
      <c r="BL11" s="2648"/>
      <c r="BM11" s="2648"/>
      <c r="BN11" s="2648"/>
      <c r="BO11" s="2648"/>
      <c r="BP11" s="2648"/>
      <c r="BQ11" s="2648"/>
      <c r="BR11" s="2648"/>
      <c r="BS11" s="2648"/>
      <c r="BT11" s="2648"/>
      <c r="BU11" s="2648"/>
      <c r="BV11" s="2648"/>
      <c r="BW11" s="2648"/>
      <c r="BX11" s="2648"/>
      <c r="BY11" s="2648"/>
      <c r="BZ11" s="2648"/>
      <c r="CA11" s="2648"/>
      <c r="CB11" s="2648"/>
      <c r="CC11" s="2648"/>
      <c r="CD11" s="2648"/>
      <c r="CE11" s="2648"/>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8"/>
      <c r="M12" s="2595">
        <f t="shared" si="0"/>
        <v>0</v>
      </c>
      <c r="N12" s="2599"/>
      <c r="O12" s="2595">
        <f t="shared" si="3"/>
        <v>0</v>
      </c>
      <c r="P12" s="2597">
        <f t="shared" si="4"/>
        <v>0</v>
      </c>
      <c r="Q12" s="2619"/>
      <c r="R12" s="2594">
        <f>SUMIF('数据-汇总表'!C$19:C$33,A12,'数据-汇总表'!R$19:R$33)</f>
        <v>0</v>
      </c>
      <c r="S12" s="2614">
        <f>IF('数据-汇总表'!$I$17="按面积比例",SUMIF('数据-汇总表'!C$19:C$33,A12,'数据-汇总表'!K$19:K$33),SUMIF('数据-汇总表'!C$19:C$33,A12,'数据-汇总表'!N$19:N$33))</f>
        <v>0</v>
      </c>
      <c r="T12" s="2615">
        <f t="shared" si="5"/>
        <v>0</v>
      </c>
      <c r="U12" s="2620"/>
      <c r="V12" s="2513"/>
      <c r="W12" s="2513"/>
      <c r="X12" s="2621"/>
      <c r="Y12" s="2638"/>
      <c r="Z12" s="2642"/>
      <c r="AA12" s="2513"/>
      <c r="AB12" s="2513"/>
      <c r="AC12" s="2621"/>
      <c r="AD12" s="2640"/>
      <c r="AE12" s="2641">
        <f t="shared" ca="1" si="6"/>
        <v>0</v>
      </c>
      <c r="AF12" s="2077"/>
      <c r="AG12" s="2651">
        <f t="shared" si="7"/>
        <v>0</v>
      </c>
      <c r="AH12" s="2077"/>
      <c r="AI12" s="2652"/>
      <c r="AJ12" s="2653"/>
      <c r="AK12" s="2659"/>
      <c r="AL12" s="2660"/>
      <c r="AM12" s="2661"/>
      <c r="AN12" s="2657"/>
      <c r="AO12" s="2648"/>
      <c r="AP12" s="2493">
        <f t="shared" si="8"/>
        <v>0</v>
      </c>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8"/>
      <c r="M13" s="2595">
        <f t="shared" si="0"/>
        <v>0</v>
      </c>
      <c r="N13" s="2599"/>
      <c r="O13" s="2595">
        <f t="shared" si="3"/>
        <v>0</v>
      </c>
      <c r="P13" s="2597">
        <f t="shared" si="4"/>
        <v>0</v>
      </c>
      <c r="Q13" s="2619"/>
      <c r="R13" s="2594">
        <f>SUMIF('数据-汇总表'!C$19:C$33,A13,'数据-汇总表'!R$19:R$33)</f>
        <v>0</v>
      </c>
      <c r="S13" s="2614">
        <f>IF('数据-汇总表'!$I$17="按面积比例",SUMIF('数据-汇总表'!C$19:C$33,A13,'数据-汇总表'!K$19:K$33),SUMIF('数据-汇总表'!C$19:C$33,A13,'数据-汇总表'!N$19:N$33))</f>
        <v>0</v>
      </c>
      <c r="T13" s="2615">
        <f t="shared" si="5"/>
        <v>0</v>
      </c>
      <c r="U13" s="2616"/>
      <c r="V13" s="2617"/>
      <c r="W13" s="2617"/>
      <c r="X13" s="2618"/>
      <c r="Y13" s="2638"/>
      <c r="Z13" s="2639"/>
      <c r="AA13" s="2513"/>
      <c r="AB13" s="2513"/>
      <c r="AC13" s="2621"/>
      <c r="AD13" s="2640"/>
      <c r="AE13" s="2641">
        <f t="shared" ca="1" si="6"/>
        <v>0</v>
      </c>
      <c r="AF13" s="2077"/>
      <c r="AG13" s="2651">
        <f t="shared" si="7"/>
        <v>0</v>
      </c>
      <c r="AH13" s="2077"/>
      <c r="AI13" s="2652"/>
      <c r="AJ13" s="2653"/>
      <c r="AK13" s="2654"/>
      <c r="AL13" s="2655"/>
      <c r="AM13" s="2658"/>
      <c r="AN13" s="2657"/>
      <c r="AO13" s="2648"/>
      <c r="AP13" s="2493">
        <f t="shared" si="8"/>
        <v>0</v>
      </c>
      <c r="AQ13" s="2648"/>
      <c r="AR13" s="2648"/>
      <c r="AS13" s="2648"/>
      <c r="AT13" s="2648"/>
      <c r="AU13" s="2648"/>
      <c r="AV13" s="2648"/>
      <c r="AW13" s="2648"/>
      <c r="AX13" s="2648"/>
      <c r="AY13" s="2648"/>
      <c r="AZ13" s="2648"/>
      <c r="BA13" s="2648"/>
      <c r="BB13" s="2648"/>
      <c r="BC13" s="2648"/>
      <c r="BD13" s="2648"/>
      <c r="BE13" s="2648"/>
      <c r="BF13" s="2648"/>
      <c r="BG13" s="2648"/>
      <c r="BH13" s="2648"/>
      <c r="BI13" s="2648"/>
      <c r="BJ13" s="2648"/>
      <c r="BK13" s="2648"/>
      <c r="BL13" s="2648"/>
      <c r="BM13" s="2648"/>
      <c r="BN13" s="2648"/>
      <c r="BO13" s="2648"/>
      <c r="BP13" s="2648"/>
      <c r="BQ13" s="2648"/>
      <c r="BR13" s="2648"/>
      <c r="BS13" s="2648"/>
      <c r="BT13" s="2648"/>
      <c r="BU13" s="2648"/>
      <c r="BV13" s="2648"/>
      <c r="BW13" s="2648"/>
      <c r="BX13" s="2648"/>
      <c r="BY13" s="2648"/>
      <c r="BZ13" s="2648"/>
      <c r="CA13" s="2648"/>
      <c r="CB13" s="2648"/>
      <c r="CC13" s="2648"/>
      <c r="CD13" s="2648"/>
      <c r="CE13" s="2648"/>
    </row>
    <row r="14" spans="1:83" s="2478" customFormat="1" ht="14.25">
      <c r="A14" s="2514" t="s">
        <v>474</v>
      </c>
      <c r="B14" s="2515" t="s">
        <v>609</v>
      </c>
      <c r="C14" s="2516" t="s">
        <v>474</v>
      </c>
      <c r="D14" s="2508"/>
      <c r="E14" s="2509"/>
      <c r="F14" s="2510"/>
      <c r="G14" s="2511"/>
      <c r="H14" s="2517"/>
      <c r="I14" s="2517"/>
      <c r="J14" s="2517"/>
      <c r="K14" s="2594">
        <f>SUMIF('数据-汇总表'!C$19:C$33,'数据-取费表'!A14,'数据-汇总表'!E$19:E$33)</f>
        <v>523.70000000000005</v>
      </c>
      <c r="L14" s="3183">
        <f>L6</f>
        <v>2600</v>
      </c>
      <c r="M14" s="2595">
        <f t="shared" si="0"/>
        <v>136</v>
      </c>
      <c r="N14" s="2599">
        <v>0</v>
      </c>
      <c r="O14" s="2595">
        <f t="shared" si="3"/>
        <v>0</v>
      </c>
      <c r="P14" s="2597">
        <f t="shared" si="4"/>
        <v>136</v>
      </c>
      <c r="Q14" s="2622"/>
      <c r="R14" s="2594"/>
      <c r="S14" s="2614"/>
      <c r="T14" s="2623"/>
      <c r="U14" s="2624"/>
      <c r="V14" s="2625"/>
      <c r="W14" s="2625"/>
      <c r="X14" s="2618"/>
      <c r="Y14" s="2643"/>
      <c r="Z14" s="2644"/>
      <c r="AA14" s="2645"/>
      <c r="AB14" s="2645"/>
      <c r="AC14" s="2621"/>
      <c r="AD14" s="2618"/>
      <c r="AE14" s="2641"/>
      <c r="AF14" s="728"/>
      <c r="AG14" s="2651"/>
      <c r="AH14" s="728"/>
      <c r="AI14" s="727"/>
      <c r="AJ14" s="727"/>
      <c r="AK14" s="2662"/>
      <c r="AL14" s="2663"/>
      <c r="AM14" s="2664"/>
      <c r="AN14" s="2648"/>
      <c r="AO14" s="2648"/>
      <c r="AQ14" s="2648"/>
      <c r="AR14" s="2648"/>
      <c r="AS14" s="2648"/>
      <c r="AT14" s="2648"/>
      <c r="AU14" s="2648"/>
      <c r="AV14" s="2648"/>
      <c r="AW14" s="2648"/>
      <c r="AX14" s="2648"/>
      <c r="AY14" s="2648"/>
      <c r="AZ14" s="2648"/>
      <c r="BA14" s="2648"/>
      <c r="BB14" s="2648"/>
      <c r="BC14" s="2648"/>
      <c r="BD14" s="2648"/>
      <c r="BE14" s="2648"/>
      <c r="BF14" s="2648"/>
      <c r="BG14" s="2648"/>
      <c r="BH14" s="2648"/>
      <c r="BI14" s="2648"/>
      <c r="BJ14" s="2648"/>
      <c r="BK14" s="2648"/>
      <c r="BL14" s="2648"/>
      <c r="BM14" s="2648"/>
      <c r="BN14" s="2648"/>
      <c r="BO14" s="2648"/>
      <c r="BP14" s="2648"/>
      <c r="BQ14" s="2648"/>
      <c r="BR14" s="2648"/>
      <c r="BS14" s="2648"/>
      <c r="BT14" s="2648"/>
      <c r="BU14" s="2648"/>
      <c r="BV14" s="2648"/>
      <c r="BW14" s="2648"/>
      <c r="BX14" s="2648"/>
      <c r="BY14" s="2648"/>
      <c r="BZ14" s="2648"/>
      <c r="CA14" s="2648"/>
      <c r="CB14" s="2648"/>
      <c r="CC14" s="2648"/>
      <c r="CD14" s="2648"/>
      <c r="CE14" s="2648"/>
    </row>
    <row r="15" spans="1:83" s="2478" customFormat="1" ht="27">
      <c r="A15" s="2518" t="s">
        <v>564</v>
      </c>
      <c r="B15" s="2515" t="s">
        <v>609</v>
      </c>
      <c r="C15" s="2516" t="s">
        <v>610</v>
      </c>
      <c r="D15" s="2508"/>
      <c r="E15" s="2509"/>
      <c r="F15" s="2510"/>
      <c r="G15" s="2511"/>
      <c r="H15" s="2517"/>
      <c r="I15" s="2517"/>
      <c r="J15" s="2517"/>
      <c r="K15" s="2594">
        <f>SUMIF('数据-汇总表'!C$19:C$33,'数据-取费表'!A15,'数据-汇总表'!E$19:E$33)</f>
        <v>0</v>
      </c>
      <c r="L15" s="2600"/>
      <c r="M15" s="2595"/>
      <c r="N15" s="2601"/>
      <c r="O15" s="2595"/>
      <c r="P15" s="2597"/>
      <c r="Q15" s="2622"/>
      <c r="R15" s="2594"/>
      <c r="S15" s="2614"/>
      <c r="T15" s="2623"/>
      <c r="U15" s="2624"/>
      <c r="V15" s="2625"/>
      <c r="W15" s="2625"/>
      <c r="X15" s="2618"/>
      <c r="Y15" s="2643"/>
      <c r="Z15" s="2644"/>
      <c r="AA15" s="2645"/>
      <c r="AB15" s="2645"/>
      <c r="AC15" s="2621"/>
      <c r="AD15" s="2618"/>
      <c r="AE15" s="2641"/>
      <c r="AF15" s="728"/>
      <c r="AG15" s="2651"/>
      <c r="AH15" s="728"/>
      <c r="AI15" s="727"/>
      <c r="AJ15" s="727"/>
      <c r="AK15" s="2662"/>
      <c r="AL15" s="2663"/>
      <c r="AM15" s="2664"/>
      <c r="AN15" s="2648"/>
      <c r="AO15" s="2648"/>
      <c r="AQ15" s="2648"/>
      <c r="AR15" s="2648"/>
      <c r="AS15" s="2648"/>
      <c r="AT15" s="2648"/>
      <c r="AU15" s="2648"/>
      <c r="AV15" s="2648"/>
      <c r="AW15" s="2648"/>
      <c r="AX15" s="2648"/>
      <c r="AY15" s="2648"/>
      <c r="AZ15" s="2648"/>
      <c r="BA15" s="2648"/>
      <c r="BB15" s="2648"/>
      <c r="BC15" s="2648"/>
      <c r="BD15" s="2648"/>
      <c r="BE15" s="2648"/>
      <c r="BF15" s="2648"/>
      <c r="BG15" s="2648"/>
      <c r="BH15" s="2648"/>
      <c r="BI15" s="2648"/>
      <c r="BJ15" s="2648"/>
      <c r="BK15" s="2648"/>
      <c r="BL15" s="2648"/>
      <c r="BM15" s="2648"/>
      <c r="BN15" s="2648"/>
      <c r="BO15" s="2648"/>
      <c r="BP15" s="2648"/>
      <c r="BQ15" s="2648"/>
      <c r="BR15" s="2648"/>
      <c r="BS15" s="2648"/>
      <c r="BT15" s="2648"/>
      <c r="BU15" s="2648"/>
      <c r="BV15" s="2648"/>
      <c r="BW15" s="2648"/>
      <c r="BX15" s="2648"/>
      <c r="BY15" s="2648"/>
      <c r="BZ15" s="2648"/>
      <c r="CA15" s="2648"/>
      <c r="CB15" s="2648"/>
      <c r="CC15" s="2648"/>
      <c r="CD15" s="2648"/>
      <c r="CE15" s="2648"/>
    </row>
    <row r="16" spans="1:83" s="2478" customFormat="1" ht="15">
      <c r="A16" s="2519" t="s">
        <v>611</v>
      </c>
      <c r="B16" s="2520"/>
      <c r="C16" s="2521"/>
      <c r="D16" s="2522"/>
      <c r="E16" s="2520"/>
      <c r="F16" s="2520"/>
      <c r="G16" s="2523">
        <f>ROUND(SUMPRODUCT(G6:G13,K6:K13)/SUMPRODUCT((G6:G13&gt;0)*(K6:K13)),3)</f>
        <v>0.91500000000000004</v>
      </c>
      <c r="H16" s="2524">
        <f>ROUND(SUMPRODUCT(H6:H13,K6:K13)/SUMPRODUCT((H6:H13&gt;0)*(K6:K13)),3)</f>
        <v>0.05</v>
      </c>
      <c r="I16" s="2602"/>
      <c r="J16" s="2602"/>
      <c r="K16" s="2603">
        <f>SUM(K6:K15)</f>
        <v>524902.89999999991</v>
      </c>
      <c r="L16" s="2604">
        <f>ROUND(M16*10000/SUM(K6:K14),0)</f>
        <v>2724</v>
      </c>
      <c r="M16" s="2604">
        <f>SUM(M6:M14)</f>
        <v>142960</v>
      </c>
      <c r="N16" s="2605">
        <f>ROUND(SUMPRODUCT(M6:M14,N6:N14)/M16,3)</f>
        <v>0</v>
      </c>
      <c r="O16" s="2604">
        <f>SUM(O6:O14)</f>
        <v>0</v>
      </c>
      <c r="P16" s="2604">
        <f>SUM(P6:P14)</f>
        <v>142960</v>
      </c>
      <c r="Q16" s="2626">
        <f>ROUND(SUMPRODUCT(Q6:Q13,K6:K13)/SUMPRODUCT((Q6:Q13&gt;0)*(K6:K13)),2)</f>
        <v>0.15</v>
      </c>
      <c r="R16" s="2627">
        <f>SUM(R6:R13)</f>
        <v>110836.2</v>
      </c>
      <c r="S16" s="2628">
        <f>SUM(S6:S13)</f>
        <v>523.70999999999992</v>
      </c>
      <c r="T16" s="2629">
        <f>IF(SUMIF(T6:T13,"&lt;9E307")=M14,SUMIF(T6:T13,"&lt;9E307"),"有误，请检查")</f>
        <v>136</v>
      </c>
      <c r="U16" s="2630"/>
      <c r="V16" s="2631"/>
      <c r="W16" s="2631"/>
      <c r="X16" s="2632"/>
      <c r="Y16" s="2646"/>
      <c r="Z16" s="2647"/>
      <c r="AA16" s="2631"/>
      <c r="AB16" s="2631"/>
      <c r="AC16" s="2632"/>
      <c r="AD16" s="2632"/>
      <c r="AE16" s="2630"/>
      <c r="AF16" s="2631"/>
      <c r="AG16" s="2646"/>
      <c r="AH16" s="2631"/>
      <c r="AI16" s="2647"/>
      <c r="AJ16" s="2647"/>
      <c r="AK16" s="2631"/>
      <c r="AL16" s="2631"/>
      <c r="AM16" s="2646"/>
      <c r="AN16" s="2648"/>
      <c r="AO16" s="2648"/>
      <c r="AP16" s="2493">
        <f>ROUND(SUMPRODUCT(AP6:AP13,K6:K13)/SUMPRODUCT((AP6:AP13&gt;0)*(K6:K13)),3)</f>
        <v>0.83399999999999996</v>
      </c>
      <c r="AQ16" s="2648"/>
      <c r="AR16" s="2648"/>
      <c r="AS16" s="2648"/>
      <c r="AT16" s="2648"/>
      <c r="AU16" s="2648"/>
      <c r="AV16" s="2648"/>
      <c r="AW16" s="2648"/>
      <c r="AX16" s="2648"/>
      <c r="AY16" s="2648"/>
      <c r="AZ16" s="2648"/>
      <c r="BA16" s="2648"/>
      <c r="BB16" s="2648"/>
      <c r="BC16" s="2648"/>
      <c r="BD16" s="2648"/>
      <c r="BE16" s="2648"/>
      <c r="BF16" s="2648"/>
      <c r="BG16" s="2648"/>
      <c r="BH16" s="2648"/>
      <c r="BI16" s="2648"/>
      <c r="BJ16" s="2648"/>
      <c r="BK16" s="2648"/>
      <c r="BL16" s="2648"/>
      <c r="BM16" s="2648"/>
      <c r="BN16" s="2648"/>
      <c r="BO16" s="2648"/>
      <c r="BP16" s="2648"/>
      <c r="BQ16" s="2648"/>
      <c r="BR16" s="2648"/>
      <c r="BS16" s="2648"/>
      <c r="BT16" s="2648"/>
      <c r="BU16" s="2648"/>
      <c r="BV16" s="2648"/>
      <c r="BW16" s="2648"/>
      <c r="BX16" s="2648"/>
      <c r="BY16" s="2648"/>
      <c r="BZ16" s="2648"/>
      <c r="CA16" s="2648"/>
      <c r="CB16" s="2648"/>
      <c r="CC16" s="2648"/>
      <c r="CD16" s="2648"/>
      <c r="CE16" s="2648"/>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25">
      <c r="A18" s="2494" t="s">
        <v>612</v>
      </c>
      <c r="B18" s="2493"/>
      <c r="C18" s="2490"/>
      <c r="D18" s="2491"/>
      <c r="E18" s="2490"/>
      <c r="F18" s="2490"/>
      <c r="G18" s="2490"/>
      <c r="H18" s="2490"/>
      <c r="I18" s="2490"/>
      <c r="J18" s="2490"/>
      <c r="K18" s="318"/>
      <c r="L18" s="318"/>
      <c r="M18" s="130"/>
      <c r="N18" s="130"/>
      <c r="O18" s="130"/>
      <c r="P18" s="130"/>
      <c r="Q18" s="130">
        <f>Q16/B20</f>
        <v>4.9999999999999996E-2</v>
      </c>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25">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25">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25">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25">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25">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25">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4.25">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25">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7.75">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5"/>
      <c r="AO27" s="2665"/>
      <c r="AP27" s="2665"/>
      <c r="AQ27" s="2665"/>
      <c r="AR27" s="2665"/>
      <c r="AS27" s="2665"/>
      <c r="AT27" s="2665"/>
      <c r="AU27" s="2665"/>
      <c r="AV27" s="2665"/>
      <c r="AW27" s="2665"/>
      <c r="AX27" s="2665"/>
      <c r="AY27" s="2665"/>
      <c r="AZ27" s="2665"/>
      <c r="BA27" s="2665"/>
      <c r="BB27" s="2665"/>
      <c r="BC27" s="2665"/>
      <c r="BD27" s="2665"/>
      <c r="BE27" s="2665"/>
      <c r="BF27" s="2665"/>
      <c r="BG27" s="2665"/>
      <c r="BH27" s="2665"/>
      <c r="BI27" s="2665"/>
      <c r="BJ27" s="2665"/>
      <c r="BK27" s="2665"/>
      <c r="BL27" s="2665"/>
      <c r="BM27" s="2665"/>
      <c r="BN27" s="2665"/>
      <c r="BO27" s="2665"/>
      <c r="BP27" s="2665"/>
      <c r="BQ27" s="2665"/>
      <c r="BR27" s="2665"/>
      <c r="BS27" s="2665"/>
      <c r="BT27" s="2665"/>
      <c r="BU27" s="2665"/>
      <c r="BV27" s="2665"/>
      <c r="BW27" s="2665"/>
      <c r="BX27" s="2665"/>
      <c r="BY27" s="2665"/>
      <c r="BZ27" s="2665"/>
      <c r="CA27" s="2665"/>
      <c r="CB27" s="2665"/>
      <c r="CC27" s="2665"/>
      <c r="CD27" s="2665"/>
      <c r="CE27" s="2665"/>
    </row>
    <row r="28" spans="1:83" s="2480" customFormat="1" ht="27.75">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5"/>
      <c r="AO28" s="2665"/>
      <c r="AP28" s="2665"/>
      <c r="AQ28" s="2665"/>
      <c r="AR28" s="2665"/>
      <c r="AS28" s="2665"/>
      <c r="AT28" s="2665"/>
      <c r="AU28" s="2665"/>
      <c r="AV28" s="2665"/>
      <c r="AW28" s="2665"/>
      <c r="AX28" s="2665"/>
      <c r="AY28" s="2665"/>
      <c r="AZ28" s="2665"/>
      <c r="BA28" s="2665"/>
      <c r="BB28" s="2665"/>
      <c r="BC28" s="2665"/>
      <c r="BD28" s="2665"/>
      <c r="BE28" s="2665"/>
      <c r="BF28" s="2665"/>
      <c r="BG28" s="2665"/>
      <c r="BH28" s="2665"/>
      <c r="BI28" s="2665"/>
      <c r="BJ28" s="2665"/>
      <c r="BK28" s="2665"/>
      <c r="BL28" s="2665"/>
      <c r="BM28" s="2665"/>
      <c r="BN28" s="2665"/>
      <c r="BO28" s="2665"/>
      <c r="BP28" s="2665"/>
      <c r="BQ28" s="2665"/>
      <c r="BR28" s="2665"/>
      <c r="BS28" s="2665"/>
      <c r="BT28" s="2665"/>
      <c r="BU28" s="2665"/>
      <c r="BV28" s="2665"/>
      <c r="BW28" s="2665"/>
      <c r="BX28" s="2665"/>
      <c r="BY28" s="2665"/>
      <c r="BZ28" s="2665"/>
      <c r="CA28" s="2665"/>
      <c r="CB28" s="2665"/>
      <c r="CC28" s="2665"/>
      <c r="CD28" s="2665"/>
      <c r="CE28" s="2665"/>
    </row>
    <row r="29" spans="1:83" s="2480" customFormat="1" ht="27.75">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5"/>
      <c r="AO29" s="2665"/>
      <c r="AP29" s="2665"/>
      <c r="AQ29" s="2665"/>
      <c r="AR29" s="2665"/>
      <c r="AS29" s="2665"/>
      <c r="AT29" s="2665"/>
      <c r="AU29" s="2665"/>
      <c r="AV29" s="2665"/>
      <c r="AW29" s="2665"/>
      <c r="AX29" s="2665"/>
      <c r="AY29" s="2665"/>
      <c r="AZ29" s="2665"/>
      <c r="BA29" s="2665"/>
      <c r="BB29" s="2665"/>
      <c r="BC29" s="2665"/>
      <c r="BD29" s="2665"/>
      <c r="BE29" s="2665"/>
      <c r="BF29" s="2665"/>
      <c r="BG29" s="2665"/>
      <c r="BH29" s="2665"/>
      <c r="BI29" s="2665"/>
      <c r="BJ29" s="2665"/>
      <c r="BK29" s="2665"/>
      <c r="BL29" s="2665"/>
      <c r="BM29" s="2665"/>
      <c r="BN29" s="2665"/>
      <c r="BO29" s="2665"/>
      <c r="BP29" s="2665"/>
      <c r="BQ29" s="2665"/>
      <c r="BR29" s="2665"/>
      <c r="BS29" s="2665"/>
      <c r="BT29" s="2665"/>
      <c r="BU29" s="2665"/>
      <c r="BV29" s="2665"/>
      <c r="BW29" s="2665"/>
      <c r="BX29" s="2665"/>
      <c r="BY29" s="2665"/>
      <c r="BZ29" s="2665"/>
      <c r="CA29" s="2665"/>
      <c r="CB29" s="2665"/>
      <c r="CC29" s="2665"/>
      <c r="CD29" s="2665"/>
      <c r="CE29" s="2665"/>
    </row>
    <row r="30" spans="1:83" s="2480" customFormat="1" ht="27">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5"/>
      <c r="AO30" s="2665"/>
      <c r="AP30" s="2665"/>
      <c r="AQ30" s="2665"/>
      <c r="AR30" s="2665"/>
      <c r="AS30" s="2665"/>
      <c r="AT30" s="2665"/>
      <c r="AU30" s="2665"/>
      <c r="AV30" s="2665"/>
      <c r="AW30" s="2665"/>
      <c r="AX30" s="2665"/>
      <c r="AY30" s="2665"/>
      <c r="AZ30" s="2665"/>
      <c r="BA30" s="2665"/>
      <c r="BB30" s="2665"/>
      <c r="BC30" s="2665"/>
      <c r="BD30" s="2665"/>
      <c r="BE30" s="2665"/>
      <c r="BF30" s="2665"/>
      <c r="BG30" s="2665"/>
      <c r="BH30" s="2665"/>
      <c r="BI30" s="2665"/>
      <c r="BJ30" s="2665"/>
      <c r="BK30" s="2665"/>
      <c r="BL30" s="2665"/>
      <c r="BM30" s="2665"/>
      <c r="BN30" s="2665"/>
      <c r="BO30" s="2665"/>
      <c r="BP30" s="2665"/>
      <c r="BQ30" s="2665"/>
      <c r="BR30" s="2665"/>
      <c r="BS30" s="2665"/>
      <c r="BT30" s="2665"/>
      <c r="BU30" s="2665"/>
      <c r="BV30" s="2665"/>
      <c r="BW30" s="2665"/>
      <c r="BX30" s="2665"/>
      <c r="BY30" s="2665"/>
      <c r="BZ30" s="2665"/>
      <c r="CA30" s="2665"/>
      <c r="CB30" s="2665"/>
      <c r="CC30" s="2665"/>
      <c r="CD30" s="2665"/>
      <c r="CE30" s="2665"/>
    </row>
    <row r="31" spans="1:83" s="2480" customFormat="1" ht="27">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5"/>
      <c r="AO31" s="2665"/>
      <c r="AP31" s="2665"/>
      <c r="AQ31" s="2665"/>
      <c r="AR31" s="2665"/>
      <c r="AS31" s="2665"/>
      <c r="AT31" s="2665"/>
      <c r="AU31" s="2665"/>
      <c r="AV31" s="2665"/>
      <c r="AW31" s="2665"/>
      <c r="AX31" s="2665"/>
      <c r="AY31" s="2665"/>
      <c r="AZ31" s="2665"/>
      <c r="BA31" s="2665"/>
      <c r="BB31" s="2665"/>
      <c r="BC31" s="2665"/>
      <c r="BD31" s="2665"/>
      <c r="BE31" s="2665"/>
      <c r="BF31" s="2665"/>
      <c r="BG31" s="2665"/>
      <c r="BH31" s="2665"/>
      <c r="BI31" s="2665"/>
      <c r="BJ31" s="2665"/>
      <c r="BK31" s="2665"/>
      <c r="BL31" s="2665"/>
      <c r="BM31" s="2665"/>
      <c r="BN31" s="2665"/>
      <c r="BO31" s="2665"/>
      <c r="BP31" s="2665"/>
      <c r="BQ31" s="2665"/>
      <c r="BR31" s="2665"/>
      <c r="BS31" s="2665"/>
      <c r="BT31" s="2665"/>
      <c r="BU31" s="2665"/>
      <c r="BV31" s="2665"/>
      <c r="BW31" s="2665"/>
      <c r="BX31" s="2665"/>
      <c r="BY31" s="2665"/>
      <c r="BZ31" s="2665"/>
      <c r="CA31" s="2665"/>
      <c r="CB31" s="2665"/>
      <c r="CC31" s="2665"/>
      <c r="CD31" s="2665"/>
      <c r="CE31" s="2665"/>
    </row>
    <row r="32" spans="1:83" s="2480" customFormat="1" ht="27">
      <c r="A32" s="2550" t="s">
        <v>631</v>
      </c>
      <c r="B32" s="2551">
        <v>0</v>
      </c>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5"/>
      <c r="AO32" s="2665"/>
      <c r="AP32" s="2665"/>
      <c r="AQ32" s="2665"/>
      <c r="AR32" s="2665"/>
      <c r="AS32" s="2665"/>
      <c r="AT32" s="2665"/>
      <c r="AU32" s="2665"/>
      <c r="AV32" s="2665"/>
      <c r="AW32" s="2665"/>
      <c r="AX32" s="2665"/>
      <c r="AY32" s="2665"/>
      <c r="AZ32" s="2665"/>
      <c r="BA32" s="2665"/>
      <c r="BB32" s="2665"/>
      <c r="BC32" s="2665"/>
      <c r="BD32" s="2665"/>
      <c r="BE32" s="2665"/>
      <c r="BF32" s="2665"/>
      <c r="BG32" s="2665"/>
      <c r="BH32" s="2665"/>
      <c r="BI32" s="2665"/>
      <c r="BJ32" s="2665"/>
      <c r="BK32" s="2665"/>
      <c r="BL32" s="2665"/>
      <c r="BM32" s="2665"/>
      <c r="BN32" s="2665"/>
      <c r="BO32" s="2665"/>
      <c r="BP32" s="2665"/>
      <c r="BQ32" s="2665"/>
      <c r="BR32" s="2665"/>
      <c r="BS32" s="2665"/>
      <c r="BT32" s="2665"/>
      <c r="BU32" s="2665"/>
      <c r="BV32" s="2665"/>
      <c r="BW32" s="2665"/>
      <c r="BX32" s="2665"/>
      <c r="BY32" s="2665"/>
      <c r="BZ32" s="2665"/>
      <c r="CA32" s="2665"/>
      <c r="CB32" s="2665"/>
      <c r="CC32" s="2665"/>
      <c r="CD32" s="2665"/>
      <c r="CE32" s="2665"/>
    </row>
    <row r="33" spans="1:83" s="2480" customFormat="1" ht="14.25">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5"/>
      <c r="AO33" s="2665"/>
      <c r="AP33" s="2665"/>
      <c r="AQ33" s="2665"/>
      <c r="AR33" s="2665"/>
      <c r="AS33" s="2665"/>
      <c r="AT33" s="2665"/>
      <c r="AU33" s="2665"/>
      <c r="AV33" s="2665"/>
      <c r="AW33" s="2665"/>
      <c r="AX33" s="2665"/>
      <c r="AY33" s="2665"/>
      <c r="AZ33" s="2665"/>
      <c r="BA33" s="2665"/>
      <c r="BB33" s="2665"/>
      <c r="BC33" s="2665"/>
      <c r="BD33" s="2665"/>
      <c r="BE33" s="2665"/>
      <c r="BF33" s="2665"/>
      <c r="BG33" s="2665"/>
      <c r="BH33" s="2665"/>
      <c r="BI33" s="2665"/>
      <c r="BJ33" s="2665"/>
      <c r="BK33" s="2665"/>
      <c r="BL33" s="2665"/>
      <c r="BM33" s="2665"/>
      <c r="BN33" s="2665"/>
      <c r="BO33" s="2665"/>
      <c r="BP33" s="2665"/>
      <c r="BQ33" s="2665"/>
      <c r="BR33" s="2665"/>
      <c r="BS33" s="2665"/>
      <c r="BT33" s="2665"/>
      <c r="BU33" s="2665"/>
      <c r="BV33" s="2665"/>
      <c r="BW33" s="2665"/>
      <c r="BX33" s="2665"/>
      <c r="BY33" s="2665"/>
      <c r="BZ33" s="2665"/>
      <c r="CA33" s="2665"/>
      <c r="CB33" s="2665"/>
      <c r="CC33" s="2665"/>
      <c r="CD33" s="2665"/>
      <c r="CE33" s="2665"/>
    </row>
    <row r="34" spans="1:83" ht="14.25">
      <c r="A34" s="2541" t="s">
        <v>634</v>
      </c>
      <c r="B34" s="2554">
        <v>0</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25">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25">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25">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25">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25">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25">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25">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25">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25">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25">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25">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25">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25">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25">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25">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25">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25">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25">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7">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25">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25">
      <c r="A55" s="2579" t="s">
        <v>253</v>
      </c>
      <c r="B55" s="2580"/>
      <c r="C55" s="720">
        <v>24</v>
      </c>
      <c r="D55" s="2581"/>
      <c r="E55" s="2490"/>
      <c r="F55" s="2490"/>
      <c r="G55" s="2490"/>
      <c r="H55" s="2490"/>
      <c r="I55" s="2606"/>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25">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25">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25">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25">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25">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25">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25">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25">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79" t="s">
        <v>668</v>
      </c>
      <c r="B1" s="3280"/>
      <c r="C1" s="3280"/>
      <c r="D1" s="3280"/>
      <c r="E1" s="3280"/>
      <c r="F1" s="3280"/>
      <c r="G1" s="3280"/>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4">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1.25">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1.25">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4">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0.5">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7">
      <c r="A8" s="2422"/>
      <c r="B8" s="2425" t="s">
        <v>232</v>
      </c>
      <c r="C8" s="2429" t="s">
        <v>682</v>
      </c>
      <c r="D8" s="2430"/>
      <c r="E8" s="2430"/>
      <c r="F8" s="2434"/>
      <c r="G8" s="2434"/>
      <c r="H8" s="2406"/>
      <c r="I8" s="2406"/>
      <c r="J8" s="2406"/>
      <c r="K8" s="2406"/>
      <c r="L8" s="2406"/>
      <c r="M8" s="2406"/>
      <c r="N8" s="2406"/>
      <c r="O8" s="2406"/>
      <c r="P8" s="2406"/>
      <c r="Q8" s="2406"/>
      <c r="R8" s="2406"/>
    </row>
    <row r="9" spans="1:18" ht="40.5">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ht="14.25">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688</v>
      </c>
      <c r="B13" s="2441"/>
      <c r="C13" s="2441"/>
      <c r="D13" s="2415"/>
      <c r="E13" s="2441"/>
      <c r="F13" s="2441"/>
      <c r="G13" s="2441"/>
    </row>
    <row r="14" spans="1:18">
      <c r="A14" s="2444"/>
      <c r="B14" s="2445"/>
      <c r="C14" s="2446" t="s">
        <v>669</v>
      </c>
      <c r="D14" s="2421"/>
      <c r="E14" s="2447"/>
      <c r="F14" s="2447"/>
      <c r="G14" s="2414" t="s">
        <v>164</v>
      </c>
    </row>
    <row r="15" spans="1:18" ht="54">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0.5">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0.5">
      <c r="A17" s="2453"/>
      <c r="B17" s="2454" t="s">
        <v>679</v>
      </c>
      <c r="C17" s="2455" t="str">
        <f>C5</f>
        <v>估价对象位于XX商圈，周边办公楼项目较多，入驻率高，办公集聚程度较好</v>
      </c>
      <c r="D17" s="2430"/>
      <c r="E17" s="2456"/>
      <c r="F17" s="2457" t="s">
        <v>689</v>
      </c>
      <c r="G17" s="1828"/>
    </row>
    <row r="18" spans="1:7" ht="54">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7">
      <c r="A19" s="2453"/>
      <c r="B19" s="2457" t="s">
        <v>689</v>
      </c>
      <c r="C19" s="1828"/>
      <c r="D19" s="2421"/>
      <c r="E19" s="2456"/>
      <c r="F19" s="2425" t="s">
        <v>231</v>
      </c>
      <c r="G19" s="2458" t="str">
        <f>G5</f>
        <v>估价对象所在区域公共配套设施齐备情况</v>
      </c>
    </row>
    <row r="20" spans="1:7" ht="40.5">
      <c r="A20" s="2453"/>
      <c r="B20" s="2457" t="s">
        <v>690</v>
      </c>
      <c r="C20" s="2455" t="str">
        <f>C9</f>
        <v>区域自然环境：；人文环境；综合评价环境状况一般</v>
      </c>
      <c r="D20" s="2430"/>
      <c r="E20" s="2456"/>
      <c r="F20" s="2425" t="s">
        <v>232</v>
      </c>
      <c r="G20" s="2458" t="str">
        <f>G6</f>
        <v>估价对象所在区域基础设施水平</v>
      </c>
    </row>
    <row r="21" spans="1:7" ht="27">
      <c r="A21" s="2453"/>
      <c r="B21" s="2425" t="s">
        <v>231</v>
      </c>
      <c r="C21" s="2458" t="str">
        <f>C7</f>
        <v>估价对象所在区域公共配套设施齐备情况</v>
      </c>
      <c r="D21" s="2421"/>
      <c r="E21" s="2456"/>
      <c r="F21" s="2457" t="s">
        <v>691</v>
      </c>
      <c r="G21" s="2459"/>
    </row>
    <row r="22" spans="1:7" ht="27">
      <c r="A22" s="2453"/>
      <c r="B22" s="2425" t="s">
        <v>232</v>
      </c>
      <c r="C22" s="2458" t="str">
        <f>C8</f>
        <v>估价对象所在区域基础设施水平</v>
      </c>
      <c r="D22" s="2421"/>
      <c r="E22" s="2456"/>
      <c r="F22" s="2457" t="s">
        <v>687</v>
      </c>
      <c r="G22" s="1828"/>
    </row>
    <row r="23" spans="1:7" ht="14.25">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95" t="s">
        <v>692</v>
      </c>
      <c r="B1" s="2395">
        <f>SUM(B14:B23)</f>
        <v>524902.89999999991</v>
      </c>
      <c r="C1" s="2396"/>
      <c r="D1" s="2396"/>
      <c r="E1" s="2396"/>
      <c r="F1" s="2396"/>
    </row>
    <row r="2" spans="1:9" ht="16.5">
      <c r="A2" s="2395" t="s">
        <v>693</v>
      </c>
      <c r="B2" s="2395">
        <f>SUM(C14:C23)</f>
        <v>110836.2</v>
      </c>
      <c r="C2" s="2396"/>
      <c r="D2" s="2396"/>
      <c r="E2" s="2396"/>
      <c r="F2" s="2396"/>
    </row>
    <row r="3" spans="1:9" ht="16.5">
      <c r="A3" s="2395" t="s">
        <v>694</v>
      </c>
      <c r="B3" s="2397">
        <f>项目基本情况!D3</f>
        <v>43871</v>
      </c>
      <c r="C3" s="2396"/>
      <c r="D3" s="2396"/>
      <c r="E3" s="2396"/>
      <c r="F3" s="2396"/>
    </row>
    <row r="4" spans="1:9" ht="33">
      <c r="A4" s="2395" t="s">
        <v>357</v>
      </c>
      <c r="B4" s="2395" t="s">
        <v>695</v>
      </c>
      <c r="C4" s="2395" t="s">
        <v>696</v>
      </c>
      <c r="D4" s="2395" t="s">
        <v>697</v>
      </c>
      <c r="E4" s="2396"/>
      <c r="F4" s="2396"/>
    </row>
    <row r="5" spans="1:9" ht="16.5">
      <c r="A5" s="2395" t="s">
        <v>698</v>
      </c>
      <c r="B5" s="2395">
        <f ca="1">SUM(D14:D23)</f>
        <v>112664</v>
      </c>
      <c r="C5" s="2395">
        <f ca="1">ROUND(B5*10000/$B$1,0)</f>
        <v>2146</v>
      </c>
      <c r="D5" s="2395">
        <f ca="1">ROUND(B5*10000/$B$2,0)</f>
        <v>10165</v>
      </c>
      <c r="E5" s="2396"/>
      <c r="F5" s="2396"/>
    </row>
    <row r="6" spans="1:9" ht="16.5">
      <c r="A6" s="2395" t="s">
        <v>699</v>
      </c>
      <c r="B6" s="2395">
        <f ca="1">SUM(G14:G23)</f>
        <v>112664</v>
      </c>
      <c r="C6" s="2395">
        <f t="shared" ref="C6:C8" ca="1" si="0">ROUND(B6*10000/$B$1,0)</f>
        <v>2146</v>
      </c>
      <c r="D6" s="2395">
        <f t="shared" ref="D6:D8" ca="1" si="1">ROUND(B6*10000/$B$2,0)</f>
        <v>10165</v>
      </c>
      <c r="E6" s="2396"/>
      <c r="F6" s="2396"/>
    </row>
    <row r="7" spans="1:9" ht="16.5">
      <c r="A7" s="2395" t="s">
        <v>700</v>
      </c>
      <c r="B7" s="2395">
        <f>SUM(H14:H23)</f>
        <v>0</v>
      </c>
      <c r="C7" s="2395">
        <f t="shared" si="0"/>
        <v>0</v>
      </c>
      <c r="D7" s="2395">
        <f t="shared" si="1"/>
        <v>0</v>
      </c>
      <c r="E7" s="2396"/>
      <c r="F7" s="2396"/>
    </row>
    <row r="8" spans="1:9" ht="16.5">
      <c r="A8" s="2395" t="s">
        <v>343</v>
      </c>
      <c r="B8" s="2395">
        <f ca="1">SUM(I14:I23)</f>
        <v>90966</v>
      </c>
      <c r="C8" s="2395">
        <f t="shared" ca="1" si="0"/>
        <v>1733</v>
      </c>
      <c r="D8" s="2395">
        <f t="shared" ca="1" si="1"/>
        <v>8207</v>
      </c>
      <c r="E8" s="2396"/>
      <c r="F8" s="2396"/>
    </row>
    <row r="9" spans="1:9" ht="16.5">
      <c r="A9" s="2395" t="s">
        <v>701</v>
      </c>
      <c r="B9" s="2398"/>
      <c r="C9" s="2396"/>
      <c r="D9" s="2396"/>
      <c r="E9" s="2396"/>
      <c r="F9" s="2396"/>
    </row>
    <row r="10" spans="1:9" ht="16.5">
      <c r="A10" s="2395" t="s">
        <v>702</v>
      </c>
      <c r="B10" s="2398"/>
      <c r="C10" s="2396"/>
      <c r="D10" s="2396"/>
      <c r="E10" s="2396"/>
      <c r="F10" s="2396"/>
    </row>
    <row r="11" spans="1:9" ht="16.5">
      <c r="A11" s="2395" t="s">
        <v>703</v>
      </c>
      <c r="B11" s="2398"/>
      <c r="C11" s="2396"/>
      <c r="D11" s="2396"/>
      <c r="E11" s="2396"/>
      <c r="F11" s="2396"/>
    </row>
    <row r="12" spans="1:9" ht="16.5">
      <c r="A12" s="2396"/>
      <c r="B12" s="2396"/>
      <c r="C12" s="2396"/>
      <c r="D12" s="2396"/>
      <c r="E12" s="2396"/>
      <c r="F12" s="2396"/>
    </row>
    <row r="13" spans="1:9" ht="33">
      <c r="A13" s="2399" t="s">
        <v>704</v>
      </c>
      <c r="B13" s="2400" t="s">
        <v>692</v>
      </c>
      <c r="C13" s="2400" t="s">
        <v>693</v>
      </c>
      <c r="D13" s="2400" t="s">
        <v>705</v>
      </c>
      <c r="E13" s="2395" t="s">
        <v>696</v>
      </c>
      <c r="F13" s="2395" t="s">
        <v>697</v>
      </c>
      <c r="G13" s="2400" t="s">
        <v>706</v>
      </c>
      <c r="H13" s="2400" t="s">
        <v>707</v>
      </c>
      <c r="I13" s="2400" t="s">
        <v>708</v>
      </c>
    </row>
    <row r="14" spans="1:9" ht="16.5">
      <c r="A14" s="2401" t="s">
        <v>709</v>
      </c>
      <c r="B14" s="2400">
        <f>结果表!L38</f>
        <v>524902.89999999991</v>
      </c>
      <c r="C14" s="2400">
        <f>结果表!K38</f>
        <v>110836.2</v>
      </c>
      <c r="D14" s="2400">
        <f ca="1">结果表!C42</f>
        <v>112664</v>
      </c>
      <c r="E14" s="2400">
        <f ca="1">ROUND(D14*10000/B14,0)</f>
        <v>2146</v>
      </c>
      <c r="F14" s="2400">
        <f ca="1">ROUND(D14*10000/C14,0)</f>
        <v>10165</v>
      </c>
      <c r="G14" s="2400">
        <f ca="1">结果表!C44</f>
        <v>112664</v>
      </c>
      <c r="H14" s="2400" t="str">
        <f>结果表!C45</f>
        <v>——</v>
      </c>
      <c r="I14" s="2400">
        <f ca="1">结果表!C46</f>
        <v>90966</v>
      </c>
    </row>
    <row r="15" spans="1:9" ht="16.5">
      <c r="A15" s="2401" t="s">
        <v>710</v>
      </c>
      <c r="B15" s="2402"/>
      <c r="C15" s="2402"/>
      <c r="D15" s="2402"/>
      <c r="E15" s="2400" t="e">
        <f t="shared" ref="E15:E23" si="2">ROUND(D15*10000/B15,0)</f>
        <v>#DIV/0!</v>
      </c>
      <c r="F15" s="2400" t="e">
        <f t="shared" ref="F15:F23" si="3">ROUND(D15*10000/C15,0)</f>
        <v>#DIV/0!</v>
      </c>
      <c r="G15" s="2403"/>
      <c r="H15" s="2403"/>
      <c r="I15" s="2402"/>
    </row>
    <row r="16" spans="1:9" ht="16.5">
      <c r="A16" s="2401" t="s">
        <v>711</v>
      </c>
      <c r="B16" s="2402"/>
      <c r="C16" s="2402"/>
      <c r="D16" s="2402"/>
      <c r="E16" s="2400" t="e">
        <f t="shared" si="2"/>
        <v>#DIV/0!</v>
      </c>
      <c r="F16" s="2400" t="e">
        <f t="shared" si="3"/>
        <v>#DIV/0!</v>
      </c>
      <c r="G16" s="2403"/>
      <c r="H16" s="2403"/>
      <c r="I16" s="2402"/>
    </row>
    <row r="17" spans="1:9" ht="16.5">
      <c r="A17" s="2401" t="s">
        <v>712</v>
      </c>
      <c r="B17" s="2402"/>
      <c r="C17" s="2402"/>
      <c r="D17" s="2402"/>
      <c r="E17" s="2400" t="e">
        <f t="shared" si="2"/>
        <v>#DIV/0!</v>
      </c>
      <c r="F17" s="2400" t="e">
        <f t="shared" si="3"/>
        <v>#DIV/0!</v>
      </c>
      <c r="G17" s="2403"/>
      <c r="H17" s="2403"/>
      <c r="I17" s="2402"/>
    </row>
    <row r="18" spans="1:9" ht="16.5">
      <c r="A18" s="2401" t="s">
        <v>713</v>
      </c>
      <c r="B18" s="2402"/>
      <c r="C18" s="2402"/>
      <c r="D18" s="2402"/>
      <c r="E18" s="2400" t="e">
        <f t="shared" si="2"/>
        <v>#DIV/0!</v>
      </c>
      <c r="F18" s="2400" t="e">
        <f t="shared" si="3"/>
        <v>#DIV/0!</v>
      </c>
      <c r="G18" s="2402"/>
      <c r="H18" s="2402"/>
      <c r="I18" s="2402"/>
    </row>
    <row r="19" spans="1:9" ht="16.5">
      <c r="A19" s="2401" t="s">
        <v>714</v>
      </c>
      <c r="B19" s="2402"/>
      <c r="C19" s="2402"/>
      <c r="D19" s="2402"/>
      <c r="E19" s="2400" t="e">
        <f t="shared" si="2"/>
        <v>#DIV/0!</v>
      </c>
      <c r="F19" s="2400" t="e">
        <f t="shared" si="3"/>
        <v>#DIV/0!</v>
      </c>
      <c r="G19" s="2402"/>
      <c r="H19" s="2402"/>
      <c r="I19" s="2402"/>
    </row>
    <row r="20" spans="1:9" ht="16.5">
      <c r="A20" s="2401" t="s">
        <v>715</v>
      </c>
      <c r="B20" s="2402"/>
      <c r="C20" s="2402"/>
      <c r="D20" s="2402"/>
      <c r="E20" s="2400" t="e">
        <f t="shared" si="2"/>
        <v>#DIV/0!</v>
      </c>
      <c r="F20" s="2400" t="e">
        <f t="shared" si="3"/>
        <v>#DIV/0!</v>
      </c>
      <c r="G20" s="2402"/>
      <c r="H20" s="2402"/>
      <c r="I20" s="2402"/>
    </row>
    <row r="21" spans="1:9" ht="16.5">
      <c r="A21" s="2401" t="s">
        <v>716</v>
      </c>
      <c r="B21" s="2402"/>
      <c r="C21" s="2402"/>
      <c r="D21" s="2402"/>
      <c r="E21" s="2400" t="e">
        <f t="shared" si="2"/>
        <v>#DIV/0!</v>
      </c>
      <c r="F21" s="2400" t="e">
        <f t="shared" si="3"/>
        <v>#DIV/0!</v>
      </c>
      <c r="G21" s="2402"/>
      <c r="H21" s="2402"/>
      <c r="I21" s="2402"/>
    </row>
    <row r="22" spans="1:9" ht="16.5">
      <c r="A22" s="2401" t="s">
        <v>717</v>
      </c>
      <c r="B22" s="2402"/>
      <c r="C22" s="2402"/>
      <c r="D22" s="2402"/>
      <c r="E22" s="2400" t="e">
        <f t="shared" si="2"/>
        <v>#DIV/0!</v>
      </c>
      <c r="F22" s="2400" t="e">
        <f t="shared" si="3"/>
        <v>#DIV/0!</v>
      </c>
      <c r="G22" s="2402"/>
      <c r="H22" s="2402"/>
      <c r="I22" s="2402"/>
    </row>
    <row r="23" spans="1:9" ht="16.5">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workbookViewId="0">
      <selection activeCell="D17" sqref="D17"/>
    </sheetView>
  </sheetViews>
  <sheetFormatPr defaultColWidth="12.625" defaultRowHeight="21.75" customHeight="1"/>
  <cols>
    <col min="1" max="2" width="12.75" style="275" customWidth="1"/>
    <col min="3" max="4" width="12.625" style="275" customWidth="1"/>
    <col min="5" max="9" width="12.75" style="275" customWidth="1"/>
    <col min="10" max="10" width="2.25" style="269" customWidth="1"/>
    <col min="11" max="12" width="12.625" style="269" customWidth="1"/>
    <col min="13" max="13" width="12.625" style="269"/>
    <col min="14" max="14" width="17.375" style="269" customWidth="1"/>
    <col min="15" max="19" width="12.75" style="269" customWidth="1"/>
    <col min="20" max="26" width="12.625" style="269"/>
    <col min="27" max="16384" width="12.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281" t="str">
        <f>项目基本情况!K2</f>
        <v>出让国有建设用地使用权</v>
      </c>
      <c r="B2" s="3282"/>
      <c r="C2" s="3283"/>
      <c r="D2" s="3283"/>
      <c r="E2" s="3283"/>
      <c r="F2" s="3283"/>
      <c r="G2" s="3282"/>
      <c r="H2" s="3282"/>
      <c r="I2" s="3284"/>
      <c r="J2" s="2186"/>
      <c r="K2" s="377"/>
      <c r="L2" s="377"/>
      <c r="M2" s="377"/>
      <c r="N2" s="377"/>
      <c r="O2" s="377"/>
      <c r="P2" s="377"/>
      <c r="Q2" s="377"/>
      <c r="R2" s="377"/>
      <c r="S2" s="377"/>
      <c r="T2" s="377"/>
      <c r="U2" s="377"/>
      <c r="V2" s="377"/>
    </row>
    <row r="3" spans="1:22" ht="14.25">
      <c r="A3" s="3285" t="s">
        <v>722</v>
      </c>
      <c r="B3" s="3286"/>
      <c r="C3" s="3286"/>
      <c r="D3" s="3286"/>
      <c r="E3" s="3286"/>
      <c r="F3" s="3286"/>
      <c r="G3" s="3286"/>
      <c r="H3" s="3286"/>
      <c r="I3" s="3286"/>
      <c r="J3" s="2186"/>
      <c r="K3" s="377"/>
      <c r="L3" s="377"/>
      <c r="M3" s="377"/>
      <c r="N3" s="377"/>
      <c r="O3" s="377"/>
      <c r="P3" s="377"/>
      <c r="Q3" s="377"/>
      <c r="R3" s="377"/>
      <c r="S3" s="377"/>
      <c r="T3" s="377"/>
      <c r="U3" s="377"/>
      <c r="V3" s="377"/>
    </row>
    <row r="4" spans="1:22" ht="14.25">
      <c r="A4" s="2075" t="s">
        <v>723</v>
      </c>
      <c r="B4" s="2038" t="s">
        <v>724</v>
      </c>
      <c r="C4" s="1120" t="s">
        <v>725</v>
      </c>
      <c r="D4" s="1120" t="s">
        <v>726</v>
      </c>
      <c r="E4" s="3287" t="s">
        <v>727</v>
      </c>
      <c r="F4" s="3288"/>
      <c r="G4" s="3288"/>
      <c r="H4" s="3288"/>
      <c r="I4" s="3289"/>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4.25">
      <c r="A5" s="3355" t="s">
        <v>728</v>
      </c>
      <c r="B5" s="3357">
        <v>25</v>
      </c>
      <c r="C5" s="3293">
        <v>24</v>
      </c>
      <c r="D5" s="3296">
        <v>18</v>
      </c>
      <c r="E5" s="85" t="s">
        <v>729</v>
      </c>
      <c r="F5" s="2078"/>
      <c r="G5" s="2078"/>
      <c r="H5" s="2078"/>
      <c r="I5" s="2188"/>
      <c r="J5" s="2186"/>
      <c r="K5" s="377"/>
      <c r="L5" s="377"/>
      <c r="M5" s="377"/>
      <c r="N5" s="377"/>
      <c r="O5" s="377"/>
      <c r="P5" s="377"/>
      <c r="Q5" s="377"/>
      <c r="R5" s="377"/>
      <c r="S5" s="377"/>
      <c r="T5" s="377"/>
      <c r="U5" s="377"/>
      <c r="V5" s="377"/>
    </row>
    <row r="6" spans="1:22" ht="14.25">
      <c r="A6" s="3355"/>
      <c r="B6" s="3357"/>
      <c r="C6" s="3295"/>
      <c r="D6" s="3296"/>
      <c r="E6" s="85" t="s">
        <v>730</v>
      </c>
      <c r="F6" s="2078"/>
      <c r="G6" s="2078"/>
      <c r="H6" s="2078"/>
      <c r="I6" s="2188"/>
      <c r="J6" s="2186"/>
      <c r="K6" s="377"/>
      <c r="L6" s="377"/>
      <c r="M6" s="377"/>
      <c r="N6" s="377"/>
      <c r="O6" s="377"/>
      <c r="P6" s="377"/>
      <c r="Q6" s="377"/>
      <c r="R6" s="377"/>
      <c r="S6" s="377"/>
      <c r="T6" s="377"/>
      <c r="U6" s="377"/>
      <c r="V6" s="377"/>
    </row>
    <row r="7" spans="1:22" ht="14.25">
      <c r="A7" s="3355"/>
      <c r="B7" s="3357"/>
      <c r="C7" s="3294"/>
      <c r="D7" s="3296"/>
      <c r="E7" s="85" t="s">
        <v>731</v>
      </c>
      <c r="F7" s="2078"/>
      <c r="G7" s="2078"/>
      <c r="H7" s="2078"/>
      <c r="I7" s="2188"/>
      <c r="J7" s="2186"/>
      <c r="K7" s="377"/>
      <c r="L7" s="377"/>
      <c r="M7" s="377"/>
      <c r="N7" s="377"/>
      <c r="O7" s="377"/>
      <c r="P7" s="377"/>
      <c r="Q7" s="377"/>
      <c r="R7" s="377"/>
      <c r="S7" s="377"/>
      <c r="T7" s="377"/>
      <c r="U7" s="377"/>
      <c r="V7" s="377"/>
    </row>
    <row r="8" spans="1:22" ht="14.25">
      <c r="A8" s="3355" t="s">
        <v>732</v>
      </c>
      <c r="B8" s="3357">
        <v>15</v>
      </c>
      <c r="C8" s="3293">
        <v>14</v>
      </c>
      <c r="D8" s="3296">
        <v>10</v>
      </c>
      <c r="E8" s="85" t="s">
        <v>733</v>
      </c>
      <c r="F8" s="2078"/>
      <c r="G8" s="2078"/>
      <c r="H8" s="2078"/>
      <c r="I8" s="2188"/>
      <c r="J8" s="2186"/>
      <c r="K8" s="377"/>
      <c r="L8" s="377"/>
      <c r="M8" s="377"/>
      <c r="N8" s="377"/>
      <c r="O8" s="377"/>
      <c r="P8" s="377"/>
      <c r="Q8" s="377"/>
      <c r="R8" s="377"/>
      <c r="S8" s="377"/>
      <c r="T8" s="377"/>
      <c r="U8" s="377"/>
      <c r="V8" s="377"/>
    </row>
    <row r="9" spans="1:22" ht="14.25">
      <c r="A9" s="3355"/>
      <c r="B9" s="3357"/>
      <c r="C9" s="3294"/>
      <c r="D9" s="3296"/>
      <c r="E9" s="85" t="s">
        <v>734</v>
      </c>
      <c r="F9" s="2078"/>
      <c r="G9" s="2078"/>
      <c r="H9" s="2078"/>
      <c r="I9" s="2188"/>
      <c r="J9" s="2186"/>
      <c r="K9" s="377"/>
      <c r="L9" s="377"/>
      <c r="M9" s="377"/>
      <c r="N9" s="377"/>
      <c r="O9" s="377"/>
      <c r="P9" s="377"/>
      <c r="Q9" s="377"/>
      <c r="R9" s="377"/>
      <c r="S9" s="377"/>
      <c r="T9" s="377"/>
      <c r="U9" s="377"/>
      <c r="V9" s="377"/>
    </row>
    <row r="10" spans="1:22" ht="14.25">
      <c r="A10" s="3355" t="s">
        <v>735</v>
      </c>
      <c r="B10" s="3357">
        <v>15</v>
      </c>
      <c r="C10" s="3293">
        <v>14</v>
      </c>
      <c r="D10" s="3296">
        <v>9</v>
      </c>
      <c r="E10" s="85" t="s">
        <v>736</v>
      </c>
      <c r="F10" s="2078"/>
      <c r="G10" s="2078"/>
      <c r="H10" s="2078"/>
      <c r="I10" s="2188"/>
      <c r="J10" s="2186"/>
      <c r="K10" s="377"/>
      <c r="L10" s="377"/>
      <c r="M10" s="377"/>
      <c r="N10" s="377"/>
      <c r="O10" s="377"/>
      <c r="P10" s="377"/>
      <c r="Q10" s="377"/>
      <c r="R10" s="377"/>
      <c r="S10" s="377"/>
      <c r="T10" s="377"/>
      <c r="U10" s="377"/>
      <c r="V10" s="377"/>
    </row>
    <row r="11" spans="1:22" ht="14.25">
      <c r="A11" s="3355"/>
      <c r="B11" s="3357"/>
      <c r="C11" s="3294"/>
      <c r="D11" s="3296"/>
      <c r="E11" s="85" t="s">
        <v>737</v>
      </c>
      <c r="F11" s="2078"/>
      <c r="G11" s="2078"/>
      <c r="H11" s="2078"/>
      <c r="I11" s="2188"/>
      <c r="J11" s="2186"/>
      <c r="K11" s="377"/>
      <c r="L11" s="377"/>
      <c r="M11" s="377"/>
      <c r="N11" s="377"/>
      <c r="O11" s="377"/>
      <c r="P11" s="377"/>
      <c r="Q11" s="377"/>
      <c r="R11" s="377"/>
      <c r="S11" s="377"/>
      <c r="T11" s="377"/>
      <c r="U11" s="377"/>
      <c r="V11" s="377"/>
    </row>
    <row r="12" spans="1:22" ht="14.25">
      <c r="A12" s="3355" t="s">
        <v>738</v>
      </c>
      <c r="B12" s="3357">
        <v>15</v>
      </c>
      <c r="C12" s="3293">
        <v>14</v>
      </c>
      <c r="D12" s="3296">
        <v>10</v>
      </c>
      <c r="E12" s="85" t="s">
        <v>739</v>
      </c>
      <c r="F12" s="2078"/>
      <c r="G12" s="2078"/>
      <c r="H12" s="2078"/>
      <c r="I12" s="2188"/>
      <c r="J12" s="2186"/>
      <c r="K12" s="377"/>
      <c r="L12" s="377"/>
      <c r="M12" s="377"/>
      <c r="N12" s="377"/>
      <c r="O12" s="377"/>
      <c r="P12" s="377"/>
      <c r="Q12" s="377"/>
      <c r="R12" s="377"/>
      <c r="S12" s="377"/>
      <c r="T12" s="377"/>
      <c r="U12" s="377"/>
      <c r="V12" s="377"/>
    </row>
    <row r="13" spans="1:22" ht="14.25">
      <c r="A13" s="3355"/>
      <c r="B13" s="3357"/>
      <c r="C13" s="3294"/>
      <c r="D13" s="3296"/>
      <c r="E13" s="85" t="s">
        <v>740</v>
      </c>
      <c r="F13" s="2078"/>
      <c r="G13" s="2078"/>
      <c r="H13" s="2078"/>
      <c r="I13" s="2188"/>
      <c r="J13" s="2186"/>
      <c r="K13" s="377"/>
      <c r="L13" s="377"/>
      <c r="M13" s="377"/>
      <c r="N13" s="377"/>
      <c r="O13" s="377"/>
      <c r="P13" s="377"/>
      <c r="Q13" s="377"/>
      <c r="R13" s="377"/>
      <c r="S13" s="377"/>
      <c r="T13" s="377"/>
      <c r="U13" s="377"/>
      <c r="V13" s="377"/>
    </row>
    <row r="14" spans="1:22" ht="14.25">
      <c r="A14" s="3355" t="s">
        <v>741</v>
      </c>
      <c r="B14" s="3357">
        <v>30</v>
      </c>
      <c r="C14" s="3293">
        <v>24</v>
      </c>
      <c r="D14" s="3296">
        <v>14</v>
      </c>
      <c r="E14" s="85" t="s">
        <v>742</v>
      </c>
      <c r="F14" s="2078"/>
      <c r="G14" s="2078"/>
      <c r="H14" s="2078"/>
      <c r="I14" s="2188"/>
      <c r="J14" s="2186"/>
      <c r="K14" s="377"/>
      <c r="L14" s="377"/>
      <c r="M14" s="377"/>
      <c r="N14" s="377"/>
      <c r="O14" s="377"/>
      <c r="P14" s="377"/>
      <c r="Q14" s="377"/>
      <c r="R14" s="377"/>
      <c r="S14" s="377"/>
      <c r="T14" s="377"/>
      <c r="U14" s="377"/>
      <c r="V14" s="377"/>
    </row>
    <row r="15" spans="1:22" ht="14.25">
      <c r="A15" s="3355"/>
      <c r="B15" s="3357"/>
      <c r="C15" s="3295"/>
      <c r="D15" s="3296"/>
      <c r="E15" s="85" t="s">
        <v>743</v>
      </c>
      <c r="F15" s="2078"/>
      <c r="G15" s="2078"/>
      <c r="H15" s="2078"/>
      <c r="I15" s="2188"/>
      <c r="J15" s="2186"/>
      <c r="K15" s="377"/>
      <c r="L15" s="377"/>
      <c r="M15" s="377"/>
      <c r="N15" s="377"/>
      <c r="O15" s="377"/>
      <c r="P15" s="377"/>
      <c r="Q15" s="377"/>
      <c r="R15" s="377"/>
      <c r="S15" s="377"/>
      <c r="T15" s="377"/>
      <c r="U15" s="377"/>
      <c r="V15" s="377"/>
    </row>
    <row r="16" spans="1:22" ht="14.25">
      <c r="A16" s="3355"/>
      <c r="B16" s="3357"/>
      <c r="C16" s="3294"/>
      <c r="D16" s="3296"/>
      <c r="E16" s="85" t="s">
        <v>744</v>
      </c>
      <c r="F16" s="2078"/>
      <c r="G16" s="2078"/>
      <c r="H16" s="2078"/>
      <c r="I16" s="2188"/>
      <c r="J16" s="2186"/>
      <c r="K16" s="377"/>
      <c r="L16" s="377"/>
      <c r="M16" s="377"/>
      <c r="N16" s="377"/>
      <c r="O16" s="377"/>
      <c r="P16" s="377"/>
      <c r="Q16" s="377"/>
      <c r="R16" s="377"/>
      <c r="S16" s="377"/>
      <c r="T16" s="377"/>
      <c r="U16" s="377"/>
      <c r="V16" s="377"/>
    </row>
    <row r="17" spans="1:26" ht="15">
      <c r="A17" s="2079" t="s">
        <v>745</v>
      </c>
      <c r="B17" s="2080"/>
      <c r="C17" s="2081">
        <f>SUM(C5:C16)</f>
        <v>90</v>
      </c>
      <c r="D17" s="2081">
        <f>SUM(D5:D16)</f>
        <v>61</v>
      </c>
      <c r="E17" s="316"/>
      <c r="F17" s="316"/>
      <c r="G17" s="316"/>
      <c r="H17" s="316"/>
      <c r="I17" s="316"/>
      <c r="J17" s="2186"/>
      <c r="K17" s="377"/>
      <c r="L17" s="377"/>
      <c r="M17" s="377"/>
      <c r="N17" s="377"/>
      <c r="O17" s="377"/>
      <c r="P17" s="377"/>
      <c r="Q17" s="377"/>
      <c r="R17" s="377"/>
      <c r="S17" s="377"/>
      <c r="T17" s="377"/>
      <c r="U17" s="377"/>
      <c r="V17" s="377"/>
    </row>
    <row r="18" spans="1:26" ht="15">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5">
      <c r="A19" s="2085" t="s">
        <v>747</v>
      </c>
      <c r="B19" s="2086" t="s">
        <v>748</v>
      </c>
      <c r="C19" s="2087">
        <f ca="1">SUMIF(INDIRECT("'"&amp;C4&amp;"'"&amp;"!A:A"),结果表!B19,INDIRECT("'"&amp;C4&amp;"'"&amp;"!B:B"))</f>
        <v>92570</v>
      </c>
      <c r="D19" s="2088">
        <f ca="1">SUMIF(INDIRECT("'"&amp;D4&amp;"'"&amp;"!A:A"),结果表!B19,INDIRECT("'"&amp;D4&amp;"'"&amp;"!B:B"))</f>
        <v>142805</v>
      </c>
      <c r="E19" s="2085" t="s">
        <v>749</v>
      </c>
      <c r="F19" s="2086" t="s">
        <v>748</v>
      </c>
      <c r="G19" s="2089">
        <f ca="1">ROUND(C19*$C$18+D19*$D$18,0)</f>
        <v>112664</v>
      </c>
      <c r="H19" s="2090" t="s">
        <v>750</v>
      </c>
      <c r="I19" s="316"/>
      <c r="J19" s="377"/>
      <c r="K19" s="377"/>
      <c r="L19" s="377"/>
      <c r="M19" s="377"/>
      <c r="N19" s="377"/>
      <c r="O19" s="377"/>
      <c r="P19" s="377"/>
      <c r="Q19" s="377"/>
      <c r="R19" s="377"/>
      <c r="S19" s="377"/>
      <c r="T19" s="377"/>
      <c r="U19" s="377"/>
      <c r="V19" s="377"/>
    </row>
    <row r="20" spans="1:26" ht="15">
      <c r="A20" s="2091"/>
      <c r="B20" s="2092" t="s">
        <v>261</v>
      </c>
      <c r="C20" s="2093">
        <f ca="1">SUMIF(INDIRECT("'"&amp;C4&amp;"'"&amp;"!A:A"),结果表!B20,INDIRECT("'"&amp;C4&amp;"'"&amp;"!B:B"))</f>
        <v>1764</v>
      </c>
      <c r="D20" s="2094">
        <f ca="1">SUMIF(INDIRECT("'"&amp;D4&amp;"'"&amp;"!A:A"),结果表!B20,INDIRECT("'"&amp;D4&amp;"'"&amp;"!B:B"))</f>
        <v>2721</v>
      </c>
      <c r="E20" s="2091"/>
      <c r="F20" s="2092" t="s">
        <v>261</v>
      </c>
      <c r="G20" s="2095">
        <f ca="1">ROUND(C20*$C$18+D20*$D$18,0)</f>
        <v>2147</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8352</v>
      </c>
      <c r="D21" s="2098">
        <f ca="1">SUMIF(INDIRECT("'"&amp;D4&amp;"'"&amp;"!A:A"),结果表!B21,INDIRECT("'"&amp;D4&amp;"'"&amp;"!B:B"))</f>
        <v>12884</v>
      </c>
      <c r="E21" s="2091"/>
      <c r="F21" s="2096" t="s">
        <v>249</v>
      </c>
      <c r="G21" s="2099">
        <f ca="1">ROUND(C21*$C$18+D21*$D$18,0)</f>
        <v>10165</v>
      </c>
      <c r="H21" s="2100" t="s">
        <v>751</v>
      </c>
      <c r="I21" s="316"/>
      <c r="J21" s="377"/>
      <c r="K21" s="377"/>
      <c r="L21" s="377"/>
      <c r="M21" s="377"/>
      <c r="N21" s="377"/>
      <c r="O21" s="377"/>
      <c r="P21" s="377"/>
      <c r="Q21" s="377"/>
      <c r="R21" s="377"/>
      <c r="S21" s="377"/>
      <c r="T21" s="377"/>
      <c r="U21" s="377"/>
      <c r="V21" s="377"/>
    </row>
    <row r="22" spans="1:26" ht="15">
      <c r="A22" s="2101" t="s">
        <v>752</v>
      </c>
      <c r="B22" s="2102"/>
      <c r="C22" s="2103"/>
      <c r="D22" s="2104">
        <f ca="1">IF(C19&lt;D19,D19/C19-1,C19/D19-1)</f>
        <v>0.54267041158042573</v>
      </c>
      <c r="E22" s="2014"/>
      <c r="F22" s="2105"/>
      <c r="G22" s="2106">
        <f ca="1">ROUND(G19/('数据-汇总表'!D3/666.67),0)</f>
        <v>678</v>
      </c>
      <c r="H22" s="2107" t="s">
        <v>753</v>
      </c>
      <c r="I22" s="316"/>
      <c r="J22" s="377"/>
      <c r="K22" s="377"/>
      <c r="L22" s="377"/>
      <c r="M22" s="377"/>
      <c r="N22" s="377"/>
      <c r="O22" s="377"/>
      <c r="P22" s="377"/>
      <c r="Q22" s="377"/>
      <c r="R22" s="377"/>
      <c r="S22" s="377"/>
      <c r="T22" s="377"/>
      <c r="U22" s="377"/>
      <c r="V22" s="377"/>
    </row>
    <row r="23" spans="1:26" ht="12.75">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25">
      <c r="A24" s="3297"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8">
      <c r="A25" s="3356"/>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出让国有建设用地使用权价格：112664万元</v>
      </c>
      <c r="L25" s="2190"/>
      <c r="M25" s="2190"/>
      <c r="N25" s="2190"/>
      <c r="O25" s="2191"/>
      <c r="P25" s="377"/>
      <c r="Q25" s="377"/>
      <c r="R25" s="377"/>
      <c r="S25" s="377"/>
      <c r="T25" s="377"/>
      <c r="U25" s="377"/>
      <c r="V25" s="377"/>
    </row>
    <row r="26" spans="1:26" s="2068" customFormat="1" ht="18">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大写金额：人民币壹拾壹亿贰仟陆佰陆拾肆万元整</v>
      </c>
      <c r="L26" s="2102"/>
      <c r="M26" s="2102"/>
      <c r="N26" s="2102"/>
      <c r="O26" s="2100"/>
      <c r="P26" s="377"/>
      <c r="Q26" s="377"/>
      <c r="R26" s="377"/>
      <c r="S26" s="377"/>
      <c r="T26" s="377"/>
      <c r="U26" s="377"/>
      <c r="V26" s="377"/>
      <c r="W26" s="2235"/>
      <c r="X26" s="2235"/>
      <c r="Y26" s="2235"/>
      <c r="Z26" s="2235"/>
    </row>
    <row r="27" spans="1:26" ht="18">
      <c r="A27" s="2113"/>
      <c r="B27" s="2114"/>
      <c r="C27" s="2114"/>
      <c r="D27" s="2115"/>
      <c r="E27" s="316"/>
      <c r="F27" s="316"/>
      <c r="G27" s="316"/>
      <c r="H27" s="316"/>
      <c r="I27" s="316"/>
      <c r="J27" s="377"/>
      <c r="K27" s="2192" t="str">
        <f ca="1">"单位面积地价："&amp;M38&amp;"元/平方米"</f>
        <v>单位面积地价：10165元/平方米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楼面地价：2146元/平方米</v>
      </c>
      <c r="L28" s="2102"/>
      <c r="M28" s="2102"/>
      <c r="N28" s="2102"/>
      <c r="O28" s="2100"/>
      <c r="P28" s="377"/>
      <c r="V28" s="377"/>
    </row>
    <row r="29" spans="1:26" ht="18">
      <c r="A29" s="2113"/>
      <c r="B29" s="2114"/>
      <c r="C29" s="2114"/>
      <c r="D29" s="2115"/>
      <c r="E29" s="316"/>
      <c r="F29" s="316"/>
      <c r="G29" s="316"/>
      <c r="H29" s="316"/>
      <c r="I29" s="316"/>
      <c r="J29" s="377"/>
      <c r="K29" s="2192" t="str">
        <f ca="1">IF(OR(项目基本情况!E8="抵押价格",项目基本情况!E8="已注销及未注销"),"抵押价格："&amp;O39&amp;"万元","——")</f>
        <v>抵押价格：112664万元</v>
      </c>
      <c r="L29" s="2102"/>
      <c r="M29" s="2102"/>
      <c r="N29" s="2102"/>
      <c r="O29" s="2100"/>
      <c r="P29" s="377"/>
      <c r="V29" s="377"/>
    </row>
    <row r="30" spans="1:26" ht="18">
      <c r="A30" s="2116" t="s">
        <v>759</v>
      </c>
      <c r="B30" s="2117"/>
      <c r="C30" s="2117"/>
      <c r="D30" s="2118"/>
      <c r="E30" s="2119" t="s">
        <v>760</v>
      </c>
      <c r="F30" s="316"/>
      <c r="G30" s="316"/>
      <c r="H30" s="316"/>
      <c r="I30" s="316"/>
      <c r="J30" s="377"/>
      <c r="K30" s="2192" t="str">
        <f ca="1">IF(K29="——","——","大写金额：人民币"&amp;NUMBERSTRING(INT(O39*10000),2)&amp;"元整")</f>
        <v>大写金额：人民币壹拾壹亿贰仟陆佰陆拾肆万元整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8">
      <c r="A32" s="2085" t="s">
        <v>761</v>
      </c>
      <c r="B32" s="2120" t="s">
        <v>762</v>
      </c>
      <c r="C32" s="2121">
        <f ca="1">G19-C24</f>
        <v>112664</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8">
      <c r="A33" s="2123" t="s">
        <v>764</v>
      </c>
      <c r="B33" s="2124" t="s">
        <v>765</v>
      </c>
      <c r="C33" s="2079">
        <f ca="1">ROUND(C32*10000/'数据-汇总表'!E3,0)</f>
        <v>2146</v>
      </c>
      <c r="D33" s="2125" t="s">
        <v>766</v>
      </c>
      <c r="E33" s="3297" t="s">
        <v>767</v>
      </c>
      <c r="F33" s="2126" t="s">
        <v>768</v>
      </c>
      <c r="G33" s="2127"/>
      <c r="H33" s="2128"/>
      <c r="I33" s="2199"/>
      <c r="J33" s="377"/>
      <c r="K33" s="2192" t="str">
        <f ca="1">IF(项目基本情况!E9="——","——","抵押净值："&amp;C46&amp;"万元")</f>
        <v>抵押净值：90966万元</v>
      </c>
      <c r="L33" s="2102"/>
      <c r="M33" s="2102"/>
      <c r="N33" s="2102"/>
      <c r="O33" s="2100"/>
      <c r="P33" s="377"/>
      <c r="V33" s="377"/>
    </row>
    <row r="34" spans="1:26" s="2068" customFormat="1" ht="18">
      <c r="A34" s="2129"/>
      <c r="B34" s="2130" t="s">
        <v>769</v>
      </c>
      <c r="C34" s="2079">
        <f ca="1">ROUND(C32*10000/'数据-汇总表'!D3,0)</f>
        <v>10165</v>
      </c>
      <c r="D34" s="2131" t="s">
        <v>766</v>
      </c>
      <c r="E34" s="3298"/>
      <c r="F34" s="2132" t="s">
        <v>770</v>
      </c>
      <c r="G34" s="2133"/>
      <c r="H34" s="2083"/>
      <c r="I34" s="316"/>
      <c r="J34" s="377"/>
      <c r="K34" s="2200" t="str">
        <f ca="1">IF(K33="——","——","大写金额：人民币"&amp;NUMBERSTRING(INT(O41*10000),2)&amp;"元整")</f>
        <v>大写金额：人民币玖亿零玖佰陆拾陆万元整</v>
      </c>
      <c r="L34" s="2201"/>
      <c r="M34" s="2201"/>
      <c r="N34" s="2201"/>
      <c r="O34" s="2202"/>
      <c r="P34" s="377"/>
      <c r="Q34" s="2235"/>
      <c r="R34" s="2235"/>
      <c r="S34" s="2235"/>
      <c r="T34" s="2235"/>
      <c r="U34" s="2235"/>
      <c r="V34" s="377"/>
      <c r="W34" s="2235"/>
      <c r="X34" s="2235"/>
      <c r="Y34" s="2235"/>
      <c r="Z34" s="2235"/>
    </row>
    <row r="35" spans="1:26" ht="15">
      <c r="A35" s="2014"/>
      <c r="B35" s="2134"/>
      <c r="C35" s="2135">
        <f ca="1">ROUND(C32/('数据-汇总表'!D3/666.67),0)</f>
        <v>678</v>
      </c>
      <c r="D35" s="2136" t="s">
        <v>771</v>
      </c>
      <c r="E35" s="3299"/>
      <c r="F35" s="2137" t="s">
        <v>772</v>
      </c>
      <c r="G35" s="2138"/>
      <c r="H35" s="2139" t="s">
        <v>773</v>
      </c>
      <c r="I35" s="316"/>
      <c r="J35" s="377"/>
      <c r="K35" s="3300" t="s">
        <v>774</v>
      </c>
      <c r="L35" s="3300" t="s">
        <v>775</v>
      </c>
      <c r="M35" s="2203" t="s">
        <v>776</v>
      </c>
      <c r="N35" s="3300" t="s">
        <v>777</v>
      </c>
      <c r="O35" s="3300" t="s">
        <v>778</v>
      </c>
      <c r="P35" s="377"/>
      <c r="V35" s="377"/>
    </row>
    <row r="36" spans="1:26" ht="16.5" customHeight="1">
      <c r="A36" s="2140" t="s">
        <v>779</v>
      </c>
      <c r="B36" s="2141" t="s">
        <v>756</v>
      </c>
      <c r="C36" s="2142" t="s">
        <v>757</v>
      </c>
      <c r="D36" s="2142" t="s">
        <v>780</v>
      </c>
      <c r="E36" s="2143" t="s">
        <v>758</v>
      </c>
      <c r="F36" s="316"/>
      <c r="G36" s="316"/>
      <c r="H36" s="316"/>
      <c r="I36" s="316"/>
      <c r="J36" s="2204"/>
      <c r="K36" s="3301"/>
      <c r="L36" s="3301"/>
      <c r="M36" s="2205" t="s">
        <v>781</v>
      </c>
      <c r="N36" s="3301"/>
      <c r="O36" s="3301"/>
      <c r="P36" s="377"/>
      <c r="V36" s="377"/>
    </row>
    <row r="37" spans="1:26" ht="16.5" customHeight="1">
      <c r="A37" s="2144" t="s">
        <v>782</v>
      </c>
      <c r="B37" s="2145"/>
      <c r="C37" s="2114"/>
      <c r="D37" s="2114"/>
      <c r="E37" s="2115"/>
      <c r="F37" s="316"/>
      <c r="G37" s="316"/>
      <c r="H37" s="316"/>
      <c r="I37" s="316"/>
      <c r="J37" s="2204"/>
      <c r="K37" s="3302"/>
      <c r="L37" s="3302"/>
      <c r="M37" s="2206"/>
      <c r="N37" s="3302"/>
      <c r="O37" s="3302"/>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10165</v>
      </c>
      <c r="N38" s="2208">
        <f ca="1">C33</f>
        <v>2146</v>
      </c>
      <c r="O38" s="2209">
        <f ca="1">C32</f>
        <v>112664</v>
      </c>
      <c r="P38" s="377"/>
      <c r="V38" s="377"/>
    </row>
    <row r="39" spans="1:26" ht="16.5" customHeight="1">
      <c r="A39" s="2146"/>
      <c r="B39" s="2147"/>
      <c r="C39" s="2117"/>
      <c r="D39" s="2117"/>
      <c r="E39" s="2118"/>
      <c r="F39" s="316"/>
      <c r="G39" s="316"/>
      <c r="H39" s="316"/>
      <c r="I39" s="316"/>
      <c r="J39" s="2204"/>
      <c r="K39" s="3290" t="str">
        <f>MID(A44,3,LEN(A44)-2)</f>
        <v>抵押价格</v>
      </c>
      <c r="L39" s="3291"/>
      <c r="M39" s="3291"/>
      <c r="N39" s="3292"/>
      <c r="O39" s="2210">
        <f ca="1">C44</f>
        <v>112664</v>
      </c>
      <c r="P39" s="377"/>
      <c r="V39" s="377"/>
    </row>
    <row r="40" spans="1:26" ht="18.75">
      <c r="A40" s="2148" t="s">
        <v>784</v>
      </c>
      <c r="B40" s="316"/>
      <c r="C40" s="316"/>
      <c r="D40" s="316"/>
      <c r="E40" s="316"/>
      <c r="F40" s="316"/>
      <c r="G40" s="316"/>
      <c r="H40" s="316"/>
      <c r="I40" s="316"/>
      <c r="J40" s="2204"/>
      <c r="K40" s="3290" t="str">
        <f t="shared" ref="K40:K41" si="0">MID(A45,3,LEN(A45)-2)</f>
        <v/>
      </c>
      <c r="L40" s="3291"/>
      <c r="M40" s="3291"/>
      <c r="N40" s="3292"/>
      <c r="O40" s="2210" t="str">
        <f>C45</f>
        <v>——</v>
      </c>
      <c r="P40" s="377"/>
      <c r="V40" s="377"/>
    </row>
    <row r="41" spans="1:26" ht="15.75">
      <c r="A41" s="2149" t="s">
        <v>785</v>
      </c>
      <c r="B41" s="2150"/>
      <c r="C41" s="2151" t="s">
        <v>786</v>
      </c>
      <c r="D41" s="2152" t="s">
        <v>787</v>
      </c>
      <c r="E41" s="2152" t="s">
        <v>788</v>
      </c>
      <c r="F41" s="2153" t="s">
        <v>789</v>
      </c>
      <c r="G41" s="316"/>
      <c r="H41" s="316"/>
      <c r="I41" s="316"/>
      <c r="J41" s="2204"/>
      <c r="K41" s="3290" t="str">
        <f t="shared" si="0"/>
        <v>抵押净值</v>
      </c>
      <c r="L41" s="3291"/>
      <c r="M41" s="3291"/>
      <c r="N41" s="3292"/>
      <c r="O41" s="2210">
        <f ca="1">C46</f>
        <v>90966</v>
      </c>
      <c r="P41" s="377"/>
      <c r="V41" s="377"/>
    </row>
    <row r="42" spans="1:26" ht="29.25">
      <c r="A42" s="3305" t="s">
        <v>790</v>
      </c>
      <c r="B42" s="3306"/>
      <c r="C42" s="2079">
        <f ca="1">C32</f>
        <v>112664</v>
      </c>
      <c r="D42" s="2154">
        <f ca="1">C33</f>
        <v>2146</v>
      </c>
      <c r="E42" s="2154">
        <f ca="1">C34</f>
        <v>10165</v>
      </c>
      <c r="F42" s="2155">
        <f ca="1">C35</f>
        <v>678</v>
      </c>
      <c r="G42" s="316"/>
      <c r="H42" s="316"/>
      <c r="I42" s="2211"/>
      <c r="J42" s="2204"/>
      <c r="K42" s="2212" t="s">
        <v>791</v>
      </c>
      <c r="L42" s="2213" t="s">
        <v>792</v>
      </c>
      <c r="M42" s="2214" t="s">
        <v>793</v>
      </c>
      <c r="N42" s="2215" t="s">
        <v>794</v>
      </c>
      <c r="O42" s="2216" t="s">
        <v>795</v>
      </c>
      <c r="P42" s="377"/>
      <c r="V42" s="377"/>
    </row>
    <row r="43" spans="1:26" ht="30">
      <c r="A43" s="3307" t="s">
        <v>796</v>
      </c>
      <c r="B43" s="3308"/>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92570</v>
      </c>
      <c r="M43" s="2219">
        <f>C18</f>
        <v>0.6</v>
      </c>
      <c r="N43" s="2220">
        <f ca="1">IF(N42="测算结果/万元",G19,G20)</f>
        <v>112664</v>
      </c>
      <c r="O43" s="2221">
        <f ca="1">IF(O42="最终结果/万元",C32,C33)</f>
        <v>112664</v>
      </c>
      <c r="P43" s="377"/>
      <c r="V43" s="377"/>
    </row>
    <row r="44" spans="1:26" ht="30">
      <c r="A44" s="3305" t="str">
        <f>IF(OR(项目基本情况!E8="抵押价格",项目基本情况!E8="已注销及未注销"),"3.抵押价格","——")</f>
        <v>3.抵押价格</v>
      </c>
      <c r="B44" s="3306"/>
      <c r="C44" s="2079">
        <f ca="1">IF(A44="——","——",C42-C43)</f>
        <v>112664</v>
      </c>
      <c r="D44" s="2154">
        <f ca="1">ROUND(C44*10000/'数据-汇总表'!E3,0)</f>
        <v>2146</v>
      </c>
      <c r="E44" s="2154">
        <f ca="1">ROUND(C44*10000/'数据-汇总表'!D3,0)</f>
        <v>10165</v>
      </c>
      <c r="F44" s="2155">
        <f ca="1">ROUND(C44/('数据-汇总表'!D3/666.67),0)</f>
        <v>678</v>
      </c>
      <c r="G44" s="316"/>
      <c r="H44" s="316"/>
      <c r="I44" s="2211"/>
      <c r="J44" s="2204"/>
      <c r="K44" s="2222" t="str">
        <f>D4</f>
        <v>剩余法-待开发</v>
      </c>
      <c r="L44" s="2223">
        <f ca="1">IF(L42="估价结果/万元",D19,D20)</f>
        <v>142805</v>
      </c>
      <c r="M44" s="2224">
        <f>D18</f>
        <v>0.4</v>
      </c>
      <c r="N44" s="2225"/>
      <c r="O44" s="2226"/>
      <c r="P44" s="377"/>
      <c r="V44" s="377"/>
    </row>
    <row r="45" spans="1:26" ht="15">
      <c r="A45" s="3309" t="str">
        <f>IF(项目基本情况!E8="已注销及未注销","4.抵押担保权已注销时的抵押价格",IF(项目基本情况!E8="已注销","3.抵押担保权已注销时的抵押价格","——"))</f>
        <v>——</v>
      </c>
      <c r="B45" s="3310"/>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5">
      <c r="A46" s="3346" t="str">
        <f>IF(项目基本情况!E9="抵押净值",IF(A45="——","4.抵押净值","5.抵押净值"),"——")</f>
        <v>4.抵押净值</v>
      </c>
      <c r="B46" s="3347"/>
      <c r="C46" s="2158">
        <f ca="1">IF(A46="——","——",O79)</f>
        <v>90966</v>
      </c>
      <c r="D46" s="2154">
        <f ca="1">ROUND(C46*10000/'数据-汇总表'!E3,0)</f>
        <v>1733</v>
      </c>
      <c r="E46" s="2154">
        <f ca="1">ROUND(C46*10000/'数据-汇总表'!D3,0)</f>
        <v>8207</v>
      </c>
      <c r="F46" s="2155">
        <f ca="1">ROUND(C46/('数据-汇总表'!D3/666.67),0)</f>
        <v>547</v>
      </c>
      <c r="G46" s="316"/>
      <c r="H46" s="316"/>
      <c r="I46" s="2211"/>
      <c r="J46" s="2204"/>
      <c r="K46" s="377"/>
      <c r="L46" s="377"/>
      <c r="M46" s="377"/>
      <c r="N46" s="377"/>
      <c r="O46" s="377"/>
      <c r="P46" s="377"/>
      <c r="Q46" s="377"/>
      <c r="R46" s="377"/>
      <c r="S46" s="377"/>
      <c r="T46" s="377"/>
      <c r="U46" s="377"/>
      <c r="V46" s="377"/>
    </row>
    <row r="47" spans="1:26" ht="15.75">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2.75">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2.75">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2.75">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2.75">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2.75">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2.75">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2.75">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2.75">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2.75">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2.75">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2.75">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2.75">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2.75">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2.75">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8.75">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48" t="s">
        <v>805</v>
      </c>
      <c r="B63" s="3349"/>
      <c r="C63" s="3350"/>
      <c r="D63" s="113">
        <f ca="1">ROUND(C42*F63,0)</f>
        <v>112664</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51" t="s">
        <v>808</v>
      </c>
      <c r="B64" s="3352"/>
      <c r="C64" s="3352"/>
      <c r="D64" s="3352"/>
      <c r="E64" s="3352"/>
      <c r="F64" s="3352"/>
      <c r="G64" s="3353"/>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5.5">
      <c r="A66" s="3354" t="s">
        <v>816</v>
      </c>
      <c r="B66" s="3323"/>
      <c r="C66" s="3323"/>
      <c r="D66" s="85">
        <f ca="1">IF(H66="情况1",0,IF(H66="情况2",D70,IF(H66="情况3",D71,IF(H66="情况4",D72))))</f>
        <v>6009</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303" t="s">
        <v>819</v>
      </c>
      <c r="M66" s="3304"/>
      <c r="N66" s="2346"/>
      <c r="O66" s="2347"/>
      <c r="P66" s="2348"/>
      <c r="Q66" s="377"/>
      <c r="R66" s="377"/>
      <c r="S66" s="377"/>
      <c r="T66" s="377"/>
      <c r="U66" s="377"/>
      <c r="V66" s="377"/>
    </row>
    <row r="67" spans="1:22" ht="25.5" customHeight="1">
      <c r="A67" s="2245" t="s">
        <v>820</v>
      </c>
      <c r="B67" s="3315" t="s">
        <v>821</v>
      </c>
      <c r="C67" s="3315"/>
      <c r="D67" s="2246">
        <v>0</v>
      </c>
      <c r="E67" s="2247" t="s">
        <v>822</v>
      </c>
      <c r="F67" s="2248" t="s">
        <v>138</v>
      </c>
      <c r="G67" s="3319"/>
      <c r="H67" s="316"/>
      <c r="I67" s="2349"/>
      <c r="J67" s="2350"/>
      <c r="K67" s="2351">
        <v>2</v>
      </c>
      <c r="L67" s="3316" t="s">
        <v>823</v>
      </c>
      <c r="M67" s="3316"/>
      <c r="N67" s="2352">
        <f>'数据-取费表'!B2</f>
        <v>43871</v>
      </c>
      <c r="O67" s="2352"/>
      <c r="P67" s="2352"/>
      <c r="Q67" s="377"/>
      <c r="R67" s="377"/>
      <c r="S67" s="377"/>
      <c r="T67" s="377"/>
      <c r="U67" s="377"/>
      <c r="V67" s="377"/>
    </row>
    <row r="68" spans="1:22" ht="25.5" customHeight="1">
      <c r="A68" s="2250"/>
      <c r="B68" s="3315" t="s">
        <v>824</v>
      </c>
      <c r="C68" s="3315"/>
      <c r="D68" s="2251"/>
      <c r="E68" s="2252"/>
      <c r="F68" s="2253"/>
      <c r="G68" s="3320"/>
      <c r="H68" s="316"/>
      <c r="I68" s="2349"/>
      <c r="J68" s="2350"/>
      <c r="K68" s="2351">
        <v>3</v>
      </c>
      <c r="L68" s="3316" t="s">
        <v>825</v>
      </c>
      <c r="M68" s="3316"/>
      <c r="N68" s="2353">
        <f ca="1">C42</f>
        <v>112664</v>
      </c>
      <c r="O68" s="2353"/>
      <c r="P68" s="2353"/>
      <c r="Q68" s="377"/>
      <c r="R68" s="377"/>
      <c r="S68" s="377"/>
      <c r="T68" s="377"/>
      <c r="U68" s="377"/>
      <c r="V68" s="377"/>
    </row>
    <row r="69" spans="1:22" ht="12" customHeight="1">
      <c r="A69" s="2254"/>
      <c r="B69" s="3315" t="s">
        <v>826</v>
      </c>
      <c r="C69" s="3315"/>
      <c r="D69" s="2255"/>
      <c r="E69" s="2256"/>
      <c r="F69" s="2253"/>
      <c r="G69" s="3321"/>
      <c r="H69" s="316"/>
      <c r="I69" s="2349"/>
      <c r="J69" s="2350"/>
      <c r="K69" s="2354">
        <v>4</v>
      </c>
      <c r="L69" s="3317" t="s">
        <v>827</v>
      </c>
      <c r="M69" s="3318"/>
      <c r="N69" s="2355">
        <f ca="1">C44</f>
        <v>112664</v>
      </c>
      <c r="O69" s="2355"/>
      <c r="P69" s="2355"/>
      <c r="Q69" s="377"/>
      <c r="R69" s="377"/>
      <c r="S69" s="377"/>
      <c r="T69" s="377"/>
      <c r="U69" s="377"/>
      <c r="V69" s="377"/>
    </row>
    <row r="70" spans="1:22" ht="24" customHeight="1">
      <c r="A70" s="2258" t="s">
        <v>828</v>
      </c>
      <c r="B70" s="3315" t="s">
        <v>829</v>
      </c>
      <c r="C70" s="3315"/>
      <c r="D70" s="2255">
        <f ca="1">ROUND(D63*'数据-取费表'!B41/(1+'数据-取费表'!C42),0)</f>
        <v>6009</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312" t="s">
        <v>832</v>
      </c>
      <c r="C71" s="3313"/>
      <c r="D71" s="2255">
        <f ca="1">ROUND(D63*'数据-取费表'!B41/(1+'数据-取费表'!C42),0)</f>
        <v>6009</v>
      </c>
      <c r="E71" s="321" t="s">
        <v>830</v>
      </c>
      <c r="F71" s="2259">
        <f>'数据-取费表'!B41</f>
        <v>5.6000000000000001E-2</v>
      </c>
      <c r="G71" s="2260"/>
      <c r="H71" s="316"/>
      <c r="I71" s="2349"/>
      <c r="J71" s="2350"/>
      <c r="K71" s="2360" t="s">
        <v>833</v>
      </c>
      <c r="L71" s="3311" t="s">
        <v>810</v>
      </c>
      <c r="M71" s="3311"/>
      <c r="N71" s="2360" t="s">
        <v>834</v>
      </c>
      <c r="O71" s="2360" t="s">
        <v>835</v>
      </c>
      <c r="P71" s="2360" t="s">
        <v>813</v>
      </c>
      <c r="Q71" s="377"/>
      <c r="R71" s="377"/>
      <c r="S71" s="377"/>
      <c r="T71" s="377"/>
      <c r="U71" s="377"/>
      <c r="V71" s="377"/>
    </row>
    <row r="72" spans="1:22" ht="12" customHeight="1">
      <c r="A72" s="2258" t="s">
        <v>836</v>
      </c>
      <c r="B72" s="3312" t="s">
        <v>837</v>
      </c>
      <c r="C72" s="3313"/>
      <c r="D72" s="2255">
        <f ca="1">C86</f>
        <v>5897</v>
      </c>
      <c r="E72" s="2256" t="s">
        <v>838</v>
      </c>
      <c r="F72" s="2259">
        <f>'数据-取费表'!B41</f>
        <v>5.6000000000000001E-2</v>
      </c>
      <c r="G72" s="2260"/>
      <c r="H72" s="2261"/>
      <c r="I72" s="2349"/>
      <c r="J72" s="2350"/>
      <c r="K72" s="2351">
        <v>1</v>
      </c>
      <c r="L72" s="3314" t="s">
        <v>839</v>
      </c>
      <c r="M72" s="3314"/>
      <c r="N72" s="2361">
        <f ca="1">D66</f>
        <v>6009</v>
      </c>
      <c r="O72" s="1276" t="str">
        <f>E66</f>
        <v>销售额×税（费）率</v>
      </c>
      <c r="P72" s="2362">
        <f>F66</f>
        <v>5.6000000000000001E-2</v>
      </c>
      <c r="Q72" s="377"/>
      <c r="R72" s="377"/>
      <c r="S72" s="377"/>
      <c r="T72" s="377"/>
      <c r="U72" s="377"/>
      <c r="V72" s="377"/>
    </row>
    <row r="73" spans="1:22" ht="24" customHeight="1">
      <c r="A73" s="3322" t="s">
        <v>840</v>
      </c>
      <c r="B73" s="3323"/>
      <c r="C73" s="3323"/>
      <c r="D73" s="2262">
        <f ca="1">IF(H73="个人住宅",0,ROUND(D63*I73,0))</f>
        <v>56</v>
      </c>
      <c r="E73" s="321" t="s">
        <v>841</v>
      </c>
      <c r="F73" s="2259">
        <f>IF(H73="正常",I73,"免征")</f>
        <v>5.0000000000000001E-4</v>
      </c>
      <c r="G73" s="2260"/>
      <c r="H73" s="2244" t="s">
        <v>842</v>
      </c>
      <c r="I73" s="2259">
        <f>'数据-取费表'!B49</f>
        <v>5.0000000000000001E-4</v>
      </c>
      <c r="J73" s="2350"/>
      <c r="K73" s="2351">
        <v>2</v>
      </c>
      <c r="L73" s="3314" t="s">
        <v>843</v>
      </c>
      <c r="M73" s="3314"/>
      <c r="N73" s="2361">
        <f t="shared" ref="N73:P74" ca="1" si="1">D73</f>
        <v>56</v>
      </c>
      <c r="O73" s="1276" t="str">
        <f t="shared" si="1"/>
        <v>销售额×税（费）率</v>
      </c>
      <c r="P73" s="2362">
        <f t="shared" si="1"/>
        <v>5.0000000000000001E-4</v>
      </c>
      <c r="Q73" s="377"/>
      <c r="R73" s="377"/>
      <c r="S73" s="377"/>
      <c r="T73" s="377"/>
      <c r="U73" s="377"/>
      <c r="V73" s="377"/>
    </row>
    <row r="74" spans="1:22" ht="24.75">
      <c r="A74" s="3322" t="s">
        <v>844</v>
      </c>
      <c r="B74" s="3323"/>
      <c r="C74" s="3323"/>
      <c r="D74" s="2262">
        <f ca="1">IF(H74="个人住宅",D75,D76)</f>
        <v>15633</v>
      </c>
      <c r="E74" s="321" t="s">
        <v>845</v>
      </c>
      <c r="F74" s="2259" t="str">
        <f>IF(H74="正常",F76,"免征")</f>
        <v>——</v>
      </c>
      <c r="G74" s="2263" t="s">
        <v>817</v>
      </c>
      <c r="H74" s="2264" t="s">
        <v>846</v>
      </c>
      <c r="I74" s="2266"/>
      <c r="J74" s="2350"/>
      <c r="K74" s="2351">
        <v>3</v>
      </c>
      <c r="L74" s="3314" t="s">
        <v>847</v>
      </c>
      <c r="M74" s="3314"/>
      <c r="N74" s="2361">
        <f t="shared" ca="1" si="1"/>
        <v>15633</v>
      </c>
      <c r="O74" s="1276" t="str">
        <f t="shared" si="1"/>
        <v>增值额×税（费）率</v>
      </c>
      <c r="P74" s="2363" t="str">
        <f t="shared" si="1"/>
        <v>——</v>
      </c>
      <c r="Q74" s="377"/>
      <c r="R74" s="377"/>
      <c r="S74" s="377"/>
      <c r="T74" s="377"/>
      <c r="U74" s="377"/>
      <c r="V74" s="377"/>
    </row>
    <row r="75" spans="1:22" ht="12.75">
      <c r="A75" s="2258" t="s">
        <v>820</v>
      </c>
      <c r="B75" s="3287" t="s">
        <v>848</v>
      </c>
      <c r="C75" s="3289"/>
      <c r="D75" s="2265">
        <v>0</v>
      </c>
      <c r="E75" s="2247" t="s">
        <v>822</v>
      </c>
      <c r="F75" s="278"/>
      <c r="G75" s="2260"/>
      <c r="H75" s="2266"/>
      <c r="I75" s="2266"/>
      <c r="J75" s="2350"/>
      <c r="K75" s="2351" t="str">
        <f>IF(H77="非个人房产","",4)</f>
        <v/>
      </c>
      <c r="L75" s="3314" t="str">
        <f>IF(H77="非个人房产","——","个人所得税")</f>
        <v>——</v>
      </c>
      <c r="M75" s="3314"/>
      <c r="N75" s="2364" t="str">
        <f>D77</f>
        <v>——</v>
      </c>
      <c r="O75" s="1289" t="str">
        <f>E77</f>
        <v>——</v>
      </c>
      <c r="P75" s="2365" t="str">
        <f>F77</f>
        <v>——</v>
      </c>
      <c r="Q75" s="377"/>
      <c r="R75" s="377"/>
      <c r="S75" s="377"/>
      <c r="T75" s="377"/>
      <c r="U75" s="377"/>
      <c r="V75" s="377"/>
    </row>
    <row r="76" spans="1:22" ht="24.75">
      <c r="A76" s="2258" t="s">
        <v>828</v>
      </c>
      <c r="B76" s="3287" t="s">
        <v>849</v>
      </c>
      <c r="C76" s="3288"/>
      <c r="D76" s="2262">
        <f ca="1">IF(H76="转让取得",C99,C115)</f>
        <v>15633</v>
      </c>
      <c r="E76" s="321" t="s">
        <v>845</v>
      </c>
      <c r="F76" s="79" t="s">
        <v>138</v>
      </c>
      <c r="G76" s="2260"/>
      <c r="H76" s="2264" t="s">
        <v>850</v>
      </c>
      <c r="I76" s="2266"/>
      <c r="J76" s="2350"/>
      <c r="K76" s="2351" t="str">
        <f>IF(项目基本情况!K6="上海银行",IF(K75="",4,K75+1),"")</f>
        <v/>
      </c>
      <c r="L76" s="3324" t="str">
        <f>IF(项目基本情况!K6="上海银行","其他处置费用","")</f>
        <v/>
      </c>
      <c r="M76" s="3325"/>
      <c r="N76" s="2361" t="str">
        <f>IF(项目基本情况!K6="上海银行",N89,"")</f>
        <v/>
      </c>
      <c r="O76" s="3326" t="str">
        <f>IF(项目基本情况!K6="上海银行","包含处置中涉及的律师、诉讼、拍卖、评估等费用","")</f>
        <v/>
      </c>
      <c r="P76" s="3327"/>
      <c r="Q76" s="377"/>
      <c r="R76" s="377"/>
      <c r="S76" s="377"/>
      <c r="T76" s="377"/>
      <c r="U76" s="377"/>
      <c r="V76" s="377"/>
    </row>
    <row r="77" spans="1:22" ht="24">
      <c r="A77" s="3328" t="s">
        <v>851</v>
      </c>
      <c r="B77" s="3329"/>
      <c r="C77" s="3329"/>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31">
        <f>IF(AND(K75="",K76=""),4,IF(项目基本情况!K6="上海银行",K76+1,K75+1))</f>
        <v>4</v>
      </c>
      <c r="L77" s="3314" t="s">
        <v>459</v>
      </c>
      <c r="M77" s="2368" t="s">
        <v>853</v>
      </c>
      <c r="N77" s="2369"/>
      <c r="O77" s="2370">
        <f ca="1">SUMIF(N72:N76,"&lt;9e307")</f>
        <v>21698</v>
      </c>
      <c r="P77" s="2371"/>
      <c r="Q77" s="2389">
        <f ca="1">O77/N69</f>
        <v>0.19259035716821699</v>
      </c>
      <c r="R77" s="377"/>
      <c r="S77" s="377"/>
      <c r="T77" s="377"/>
      <c r="U77" s="377"/>
      <c r="V77" s="377"/>
    </row>
    <row r="78" spans="1:22" ht="12" customHeight="1">
      <c r="A78" s="2271"/>
      <c r="B78" s="316"/>
      <c r="C78" s="316"/>
      <c r="D78" s="316"/>
      <c r="E78" s="2266"/>
      <c r="F78" s="2266"/>
      <c r="G78" s="2266"/>
      <c r="H78" s="2272"/>
      <c r="I78" s="316"/>
      <c r="J78" s="2350"/>
      <c r="K78" s="3331"/>
      <c r="L78" s="3314"/>
      <c r="M78" s="2368" t="s">
        <v>854</v>
      </c>
      <c r="N78" s="2369"/>
      <c r="O78" s="2370" t="str">
        <f ca="1">NUMBERSTRING(INT(O77*10000),2)&amp;"元整"</f>
        <v>贰亿壹仟陆佰玖拾捌万元整</v>
      </c>
      <c r="P78" s="2371"/>
      <c r="Q78" s="377"/>
      <c r="R78" s="377"/>
      <c r="S78" s="377"/>
      <c r="T78" s="377"/>
      <c r="U78" s="377"/>
      <c r="V78" s="377"/>
    </row>
    <row r="79" spans="1:22" ht="12.75">
      <c r="A79" s="3330" t="s">
        <v>855</v>
      </c>
      <c r="B79" s="3330"/>
      <c r="C79" s="3330"/>
      <c r="D79" s="3330"/>
      <c r="E79" s="3330"/>
      <c r="F79" s="2266"/>
      <c r="G79" s="2266"/>
      <c r="H79" s="2272"/>
      <c r="I79" s="316"/>
      <c r="J79" s="2350"/>
      <c r="K79" s="3342">
        <f>K77+1</f>
        <v>5</v>
      </c>
      <c r="L79" s="3314" t="s">
        <v>856</v>
      </c>
      <c r="M79" s="2368" t="s">
        <v>853</v>
      </c>
      <c r="N79" s="2369"/>
      <c r="O79" s="2370">
        <f ca="1">N69-O77</f>
        <v>90966</v>
      </c>
      <c r="P79" s="2371"/>
      <c r="Q79" s="377"/>
      <c r="R79" s="377"/>
      <c r="S79" s="377"/>
      <c r="T79" s="377"/>
      <c r="U79" s="377"/>
      <c r="V79" s="377"/>
    </row>
    <row r="80" spans="1:22" ht="25.5">
      <c r="A80" s="3335" t="s">
        <v>857</v>
      </c>
      <c r="B80" s="3336"/>
      <c r="C80" s="2273"/>
      <c r="D80" s="2273" t="s">
        <v>858</v>
      </c>
      <c r="E80" s="2274" t="s">
        <v>814</v>
      </c>
      <c r="F80" s="2266"/>
      <c r="G80" s="2266"/>
      <c r="H80" s="2272"/>
      <c r="I80" s="316"/>
      <c r="J80" s="377"/>
      <c r="K80" s="3343"/>
      <c r="L80" s="3314"/>
      <c r="M80" s="2368" t="s">
        <v>854</v>
      </c>
      <c r="N80" s="2369"/>
      <c r="O80" s="2370" t="str">
        <f ca="1">NUMBERSTRING(INT(O79*10000),2)&amp;"元整"</f>
        <v>玖亿零玖佰陆拾陆万元整</v>
      </c>
      <c r="P80" s="2371"/>
      <c r="Q80" s="377"/>
      <c r="R80" s="377"/>
      <c r="S80" s="377"/>
      <c r="T80" s="377"/>
      <c r="U80" s="377"/>
      <c r="V80" s="377"/>
    </row>
    <row r="81" spans="1:26" ht="12.75">
      <c r="A81" s="2275" t="s">
        <v>859</v>
      </c>
      <c r="B81" s="2276" t="s">
        <v>860</v>
      </c>
      <c r="C81" s="2277">
        <f ca="1">ROUND((C82+C83)/(1+'数据-取费表'!C42),0)</f>
        <v>107299</v>
      </c>
      <c r="D81" s="2278"/>
      <c r="E81" s="2279"/>
      <c r="F81" s="2266"/>
      <c r="G81" s="2266"/>
      <c r="H81" s="2272"/>
      <c r="I81" s="316"/>
      <c r="J81" s="377"/>
      <c r="K81" s="2351">
        <f>K79+1</f>
        <v>6</v>
      </c>
      <c r="L81" s="3337" t="s">
        <v>861</v>
      </c>
      <c r="M81" s="3338"/>
      <c r="N81" s="2372"/>
      <c r="O81" s="2373">
        <f ca="1">ROUND(O79*10000/'数据-汇总表'!E3,0)</f>
        <v>1733</v>
      </c>
      <c r="P81" s="2374"/>
      <c r="Q81" s="377"/>
      <c r="R81" s="377"/>
      <c r="S81" s="377"/>
      <c r="T81" s="377"/>
      <c r="U81" s="377"/>
      <c r="V81" s="377"/>
    </row>
    <row r="82" spans="1:26" ht="12.75">
      <c r="A82" s="2005" t="s">
        <v>862</v>
      </c>
      <c r="B82" s="2280" t="s">
        <v>863</v>
      </c>
      <c r="C82" s="2281">
        <f ca="1">D63</f>
        <v>112664</v>
      </c>
      <c r="D82" s="1547" t="s">
        <v>138</v>
      </c>
      <c r="E82" s="2282"/>
      <c r="F82" s="2266"/>
      <c r="G82" s="2266"/>
      <c r="H82" s="2272"/>
      <c r="I82" s="316"/>
      <c r="J82" s="377"/>
      <c r="K82" s="377"/>
      <c r="L82" s="377"/>
      <c r="M82" s="377"/>
      <c r="N82" s="377"/>
      <c r="O82" s="377"/>
      <c r="P82" s="377"/>
      <c r="Q82" s="377"/>
      <c r="R82" s="377"/>
      <c r="S82" s="377"/>
      <c r="T82" s="377"/>
      <c r="U82" s="377"/>
      <c r="V82" s="377"/>
    </row>
    <row r="83" spans="1:26" ht="12.75">
      <c r="A83" s="2005" t="s">
        <v>864</v>
      </c>
      <c r="B83" s="2280" t="s">
        <v>865</v>
      </c>
      <c r="C83" s="2283">
        <v>0</v>
      </c>
      <c r="D83" s="1547"/>
      <c r="E83" s="2282"/>
      <c r="F83" s="2266"/>
      <c r="G83" s="2266"/>
      <c r="H83" s="2272"/>
      <c r="I83" s="316"/>
      <c r="J83" s="377"/>
      <c r="K83" s="3344" t="s">
        <v>866</v>
      </c>
      <c r="L83" s="2375" t="s">
        <v>867</v>
      </c>
      <c r="M83" s="2376">
        <f ca="1">IF(N69&gt;10000,N69*0.5%,IF(AND(N69&gt;1000,N69&lt;=10000),N69*1%,IF(AND(N69&gt;100,N69&lt;=1000),N69*3%,IF(AND(N69&gt;10,N69&lt;=100),N69*5%,N69*8%))))</f>
        <v>563.32000000000005</v>
      </c>
      <c r="N83" s="79">
        <f ca="1">ROUND(M83,1)</f>
        <v>563.29999999999995</v>
      </c>
      <c r="O83" s="2377"/>
      <c r="P83" s="377"/>
      <c r="Q83" s="377"/>
      <c r="R83" s="377"/>
      <c r="S83" s="377"/>
      <c r="T83" s="377"/>
      <c r="U83" s="377"/>
      <c r="V83" s="377"/>
    </row>
    <row r="84" spans="1:26" ht="12.75">
      <c r="A84" s="2275" t="s">
        <v>868</v>
      </c>
      <c r="B84" s="2284" t="s">
        <v>869</v>
      </c>
      <c r="C84" s="2285">
        <v>2000</v>
      </c>
      <c r="D84" s="2286" t="s">
        <v>138</v>
      </c>
      <c r="E84" s="2287" t="s">
        <v>870</v>
      </c>
      <c r="F84" s="2266"/>
      <c r="G84" s="2266"/>
      <c r="H84" s="2272"/>
      <c r="I84" s="316"/>
      <c r="J84" s="377"/>
      <c r="K84" s="3344"/>
      <c r="L84" s="2375" t="s">
        <v>871</v>
      </c>
      <c r="M84" s="2376">
        <f ca="1">IF(N69&gt;2000,N69*0.5%,IF(AND(N69&gt;1000,N69&lt;=2000),N69*0.6%,IF(AND(N69&gt;500,N69&lt;=1000),N69*0.7%,IF(AND(N69&gt;200,N69&lt;=500),N69*0.8%,IF(AND(N69&gt;100,N69&lt;=200),N69*0.9%,IF(AND(N69&gt;50,N69&lt;=100),N69*1%,IF(AND(N69&gt;20,N69&lt;=50),N69*1.5%,IF(AND(N69&gt;10,N69&lt;=20),N69*2%,IF(AND(N69&gt;1,N69&lt;=10),N69*2.5%)))))))))</f>
        <v>563.32000000000005</v>
      </c>
      <c r="N84" s="79">
        <f t="shared" ref="N84:N85" ca="1" si="2">ROUND(M84,1)</f>
        <v>563.29999999999995</v>
      </c>
      <c r="O84" s="377" t="s">
        <v>872</v>
      </c>
      <c r="P84" s="377"/>
      <c r="Q84" s="377"/>
      <c r="R84" s="377"/>
      <c r="S84" s="377"/>
      <c r="T84" s="377"/>
      <c r="U84" s="377"/>
      <c r="V84" s="377"/>
    </row>
    <row r="85" spans="1:26" ht="12.75">
      <c r="A85" s="2275" t="s">
        <v>873</v>
      </c>
      <c r="B85" s="2284" t="s">
        <v>874</v>
      </c>
      <c r="C85" s="2288">
        <f ca="1">C81-C84</f>
        <v>105299</v>
      </c>
      <c r="D85" s="1547" t="s">
        <v>138</v>
      </c>
      <c r="E85" s="2282"/>
      <c r="F85" s="2266"/>
      <c r="G85" s="2266"/>
      <c r="H85" s="2272"/>
      <c r="I85" s="316"/>
      <c r="J85" s="377"/>
      <c r="K85" s="3344"/>
      <c r="L85" s="2375" t="s">
        <v>875</v>
      </c>
      <c r="M85" s="2376">
        <f ca="1">IF(N69&gt;1000,N69*0.1%,IF(AND(N69&gt;500,N69&lt;=1000),N69*0.5%,IF(AND(N69&gt;50,N69&lt;=500),N69*1%,IF(AND(N69&gt;1,N69&lt;=50),N69*1.5%))))</f>
        <v>112.664</v>
      </c>
      <c r="N85" s="79">
        <f t="shared" ca="1" si="2"/>
        <v>112.7</v>
      </c>
      <c r="O85" s="377" t="s">
        <v>872</v>
      </c>
      <c r="P85" s="377"/>
      <c r="Q85" s="377"/>
      <c r="R85" s="377"/>
      <c r="S85" s="377"/>
      <c r="T85" s="377"/>
      <c r="U85" s="377"/>
      <c r="V85" s="377"/>
    </row>
    <row r="86" spans="1:26" ht="12.75">
      <c r="A86" s="2289" t="s">
        <v>876</v>
      </c>
      <c r="B86" s="2290" t="s">
        <v>877</v>
      </c>
      <c r="C86" s="2291">
        <f ca="1">IF(C85&lt;=0,0,ROUND(C85*D86,0))</f>
        <v>5897</v>
      </c>
      <c r="D86" s="2292">
        <f>'数据-取费表'!B41</f>
        <v>5.6000000000000001E-2</v>
      </c>
      <c r="E86" s="2293"/>
      <c r="F86" s="2266"/>
      <c r="G86" s="2266"/>
      <c r="H86" s="2272"/>
      <c r="I86" s="316"/>
      <c r="J86" s="377"/>
      <c r="K86" s="3344"/>
      <c r="L86" s="2375" t="s">
        <v>878</v>
      </c>
      <c r="M86" s="2376">
        <f ca="1">N69*0.5%</f>
        <v>563.32000000000005</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44"/>
      <c r="L87" s="2375" t="s">
        <v>880</v>
      </c>
      <c r="M87" s="2376">
        <f ca="1">IF(N69&gt;=10000,(8.25+(N69-10000)*0.01%),IF(AND(N69&gt;=8000,N69&lt;10000),(7.85+(N69-8000)*0.02%),IF(AND(N69&gt;=5000,N69&lt;8000),(6.65+(N69-5000)*0.04%),IF(AND(N69&gt;=2000,N69&lt;5000),(4.25+(PN69-2000)*0.08%),IF(AND(N69&gt;=1000,N69&lt;2000),(2.75+(N69-1000)*0.15%),IF(AND(N69&gt;=100,N69&lt;1000),(0.5+(N69-100)*0.25%),IF(AND(N69&gt;0,N69&lt;100),N69*0.5%)))))))</f>
        <v>18.516400000000001</v>
      </c>
      <c r="N87" s="79">
        <f ca="1">ROUND(M87*0.9,1)</f>
        <v>16.7</v>
      </c>
      <c r="O87" s="2377"/>
      <c r="P87" s="316"/>
      <c r="Q87" s="377"/>
      <c r="R87" s="377"/>
      <c r="S87" s="377"/>
      <c r="T87" s="377"/>
      <c r="U87" s="377"/>
      <c r="V87" s="377"/>
      <c r="W87" s="2235"/>
      <c r="X87" s="2235"/>
      <c r="Y87" s="2235"/>
      <c r="Z87" s="2235"/>
    </row>
    <row r="88" spans="1:26" s="2069" customFormat="1" ht="14.25" hidden="1">
      <c r="A88" s="3339" t="s">
        <v>881</v>
      </c>
      <c r="B88" s="3340"/>
      <c r="C88" s="3340"/>
      <c r="D88" s="3340"/>
      <c r="E88" s="3340"/>
      <c r="F88" s="3340"/>
      <c r="G88" s="3340"/>
      <c r="H88" s="3340"/>
      <c r="I88" s="2378"/>
      <c r="J88" s="2379"/>
      <c r="K88" s="3344"/>
      <c r="L88" s="2375" t="s">
        <v>882</v>
      </c>
      <c r="M88" s="2376">
        <f ca="1">IF(N69&gt;10000,N69*0.5%,IF(AND(N69&gt;5000,N69&lt;=10000),N69*1%,IF(AND(N69&gt;1000,N69&lt;=5000),N69*2%,IF(AND(N69&gt;200,N69&lt;=1000),N69*3%,N69*5%))))</f>
        <v>563.32000000000005</v>
      </c>
      <c r="N88" s="79">
        <f ca="1">ROUND(M88,1)</f>
        <v>563.29999999999995</v>
      </c>
      <c r="O88" s="2377"/>
      <c r="P88" s="2234"/>
      <c r="Q88" s="2384"/>
      <c r="R88" s="2384"/>
      <c r="S88" s="2384"/>
      <c r="T88" s="2384"/>
      <c r="U88" s="2384"/>
      <c r="V88" s="2384"/>
      <c r="W88" s="2390"/>
      <c r="X88" s="2390"/>
      <c r="Y88" s="2390"/>
      <c r="Z88" s="2390"/>
    </row>
    <row r="89" spans="1:26" s="2069" customFormat="1" ht="14.25" hidden="1">
      <c r="A89" s="3335" t="s">
        <v>857</v>
      </c>
      <c r="B89" s="3336"/>
      <c r="C89" s="2273"/>
      <c r="D89" s="2273" t="s">
        <v>858</v>
      </c>
      <c r="E89" s="2299" t="s">
        <v>814</v>
      </c>
      <c r="F89" s="2300"/>
      <c r="G89" s="2300"/>
      <c r="H89" s="2301"/>
      <c r="I89" s="2380"/>
      <c r="J89" s="2381"/>
      <c r="K89" s="3344"/>
      <c r="L89" s="2375" t="s">
        <v>491</v>
      </c>
      <c r="M89" s="2382"/>
      <c r="N89" s="79">
        <f ca="1">ROUND(SUM(N83:N88),0)</f>
        <v>1820</v>
      </c>
      <c r="O89" s="2383">
        <f ca="1">N89/N69</f>
        <v>1.6154228502449762E-2</v>
      </c>
      <c r="P89" s="2384"/>
      <c r="Q89" s="2384"/>
      <c r="R89" s="2384"/>
      <c r="S89" s="2384"/>
      <c r="T89" s="2384"/>
      <c r="U89" s="2384"/>
      <c r="V89" s="2384"/>
      <c r="W89" s="2390"/>
      <c r="X89" s="2390"/>
      <c r="Y89" s="2390"/>
      <c r="Z89" s="2390"/>
    </row>
    <row r="90" spans="1:26" s="2069" customFormat="1" ht="14.25" hidden="1">
      <c r="A90" s="2275" t="s">
        <v>859</v>
      </c>
      <c r="B90" s="2284" t="s">
        <v>883</v>
      </c>
      <c r="C90" s="2288">
        <f ca="1">ROUND(D63/(1+'数据-取费表'!C42),0)</f>
        <v>107299</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4.25" hidden="1">
      <c r="A91" s="2275" t="s">
        <v>868</v>
      </c>
      <c r="B91" s="2240" t="s">
        <v>884</v>
      </c>
      <c r="C91" s="2288">
        <f ca="1">C92+C96</f>
        <v>3205</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25"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312" t="s">
        <v>893</v>
      </c>
      <c r="F94" s="3315"/>
      <c r="G94" s="3315"/>
      <c r="H94" s="3341"/>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644</v>
      </c>
      <c r="D96" s="2314">
        <f>'数据-取费表'!B43</f>
        <v>6.000000000000001E-3</v>
      </c>
      <c r="E96" s="3345" t="s">
        <v>899</v>
      </c>
      <c r="F96" s="3333"/>
      <c r="G96" s="3333"/>
      <c r="H96" s="3334"/>
      <c r="I96" s="2385"/>
      <c r="J96" s="2386"/>
      <c r="K96" s="2384"/>
      <c r="L96" s="2384"/>
      <c r="M96" s="2384"/>
      <c r="N96" s="2384"/>
      <c r="O96" s="2384"/>
      <c r="P96" s="2384"/>
      <c r="Q96" s="2384"/>
      <c r="R96" s="2384"/>
      <c r="S96" s="2384"/>
      <c r="T96" s="2384"/>
      <c r="U96" s="2384"/>
      <c r="V96" s="2384"/>
      <c r="W96" s="2390"/>
      <c r="X96" s="2390"/>
      <c r="Y96" s="2390"/>
      <c r="Z96" s="2390"/>
    </row>
    <row r="97" spans="1:26" s="2069" customFormat="1" ht="14.25" hidden="1">
      <c r="A97" s="2317" t="s">
        <v>873</v>
      </c>
      <c r="B97" s="2284" t="s">
        <v>900</v>
      </c>
      <c r="C97" s="2288">
        <f ca="1">C90-C91</f>
        <v>104094</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32.478627145085802</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61335</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4.25">
      <c r="A101" s="3339" t="s">
        <v>904</v>
      </c>
      <c r="B101" s="3340"/>
      <c r="C101" s="3340"/>
      <c r="D101" s="3340"/>
      <c r="E101" s="3340"/>
      <c r="F101" s="3340"/>
      <c r="G101" s="3340"/>
      <c r="H101" s="3340"/>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4.25">
      <c r="A102" s="3335" t="s">
        <v>857</v>
      </c>
      <c r="B102" s="3336"/>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4.25">
      <c r="A103" s="2275" t="s">
        <v>859</v>
      </c>
      <c r="B103" s="2284" t="s">
        <v>883</v>
      </c>
      <c r="C103" s="2288">
        <f ca="1">ROUND(D63/(1+'数据-取费表'!C42),0)</f>
        <v>107299</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4.25">
      <c r="A104" s="2275" t="s">
        <v>868</v>
      </c>
      <c r="B104" s="2240" t="s">
        <v>884</v>
      </c>
      <c r="C104" s="2288">
        <f ca="1">IF(H106="仅含出让金",C105+C108+C109+C110+C111+C112,C105+C109+C110+C111+C112)</f>
        <v>60636.92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4.25">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14.25">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4.25">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4.25">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332" t="s">
        <v>914</v>
      </c>
      <c r="F109" s="3333"/>
      <c r="G109" s="3333"/>
      <c r="H109" s="2337" t="s">
        <v>915</v>
      </c>
      <c r="I109" s="3167"/>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332" t="s">
        <v>918</v>
      </c>
      <c r="F110" s="3333"/>
      <c r="G110" s="3333"/>
      <c r="H110" s="3334"/>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644</v>
      </c>
      <c r="D111" s="2314">
        <f>'数据-取费表'!B43</f>
        <v>6.000000000000001E-3</v>
      </c>
      <c r="E111" s="3345" t="s">
        <v>899</v>
      </c>
      <c r="F111" s="3333"/>
      <c r="G111" s="3333"/>
      <c r="H111" s="3334"/>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332" t="s">
        <v>922</v>
      </c>
      <c r="F112" s="3333"/>
      <c r="G112" s="3333"/>
      <c r="H112" s="3334"/>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4.25">
      <c r="A113" s="2317" t="s">
        <v>873</v>
      </c>
      <c r="B113" s="2284" t="s">
        <v>900</v>
      </c>
      <c r="C113" s="2288">
        <f ca="1">ROUND(C103-C104,0)</f>
        <v>46662</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0.7695311701187989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15633</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94367</v>
      </c>
      <c r="J116" s="2387"/>
      <c r="K116" s="377"/>
      <c r="L116" s="377"/>
      <c r="M116" s="377"/>
      <c r="N116" s="377"/>
      <c r="O116" s="377"/>
    </row>
    <row r="117" spans="1:26" s="350" customFormat="1" ht="21.75" customHeight="1">
      <c r="J117" s="2387"/>
    </row>
    <row r="118" spans="1:26" s="350" customFormat="1" ht="21.75" customHeight="1">
      <c r="G118" s="3166" t="s">
        <v>2422</v>
      </c>
      <c r="J118" s="2387"/>
    </row>
    <row r="119" spans="1:26" s="350" customFormat="1" ht="21.75" customHeight="1">
      <c r="E119" s="3166" t="s">
        <v>2423</v>
      </c>
      <c r="F119" s="350">
        <v>52924.92</v>
      </c>
      <c r="J119" s="2387"/>
    </row>
    <row r="120" spans="1:26" s="350" customFormat="1" ht="21.75" customHeight="1">
      <c r="E120" s="3166" t="s">
        <v>2420</v>
      </c>
      <c r="F120" s="350">
        <v>195921</v>
      </c>
      <c r="G120" s="350">
        <v>21160</v>
      </c>
      <c r="J120" s="2387"/>
    </row>
    <row r="121" spans="1:26" s="350" customFormat="1" ht="21.75" customHeight="1">
      <c r="E121" s="3166" t="s">
        <v>2421</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D28" zoomScale="80" zoomScaleNormal="95" zoomScaleSheetLayoutView="80" workbookViewId="0">
      <selection activeCell="I62" sqref="I62"/>
    </sheetView>
  </sheetViews>
  <sheetFormatPr defaultColWidth="9" defaultRowHeight="14.25"/>
  <cols>
    <col min="1" max="1" width="15.625" style="460" customWidth="1"/>
    <col min="2" max="2" width="15.75" style="460" customWidth="1"/>
    <col min="3" max="3" width="15.25" style="460" customWidth="1"/>
    <col min="4" max="4" width="12.25" style="460" customWidth="1"/>
    <col min="5" max="5" width="16.125" style="460" customWidth="1"/>
    <col min="6" max="6" width="12.25" style="460" customWidth="1"/>
    <col min="7" max="7" width="15.625" style="460" customWidth="1"/>
    <col min="8" max="8" width="12.25" style="460" customWidth="1"/>
    <col min="9" max="9" width="15.62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92570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1764</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8352</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557</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0.25">
      <c r="A6" s="478" t="s">
        <v>930</v>
      </c>
      <c r="B6" s="479"/>
      <c r="C6" s="3358" t="s">
        <v>931</v>
      </c>
      <c r="D6" s="3359"/>
      <c r="E6" s="3358" t="s">
        <v>932</v>
      </c>
      <c r="F6" s="3359"/>
      <c r="G6" s="3358" t="s">
        <v>933</v>
      </c>
      <c r="H6" s="3359"/>
      <c r="I6" s="3358" t="s">
        <v>934</v>
      </c>
      <c r="J6" s="3359"/>
      <c r="K6" s="640" t="s">
        <v>935</v>
      </c>
      <c r="L6" s="641"/>
      <c r="M6" s="639"/>
      <c r="N6" s="639"/>
      <c r="O6" s="642"/>
      <c r="P6" s="3386" t="s">
        <v>936</v>
      </c>
      <c r="Q6" s="3387"/>
      <c r="R6" s="3392" t="s">
        <v>932</v>
      </c>
      <c r="S6" s="3393"/>
      <c r="T6" s="3392" t="s">
        <v>933</v>
      </c>
      <c r="U6" s="3393"/>
      <c r="V6" s="3378" t="s">
        <v>934</v>
      </c>
      <c r="W6" s="3378"/>
      <c r="X6" s="707"/>
      <c r="Y6" s="3392" t="s">
        <v>936</v>
      </c>
      <c r="Z6" s="3393"/>
      <c r="AA6" s="3379" t="s">
        <v>932</v>
      </c>
      <c r="AB6" s="3380" t="s">
        <v>933</v>
      </c>
      <c r="AC6" s="3379" t="s">
        <v>934</v>
      </c>
    </row>
    <row r="7" spans="1:30" ht="36" customHeight="1">
      <c r="A7" s="480"/>
      <c r="B7" s="481"/>
      <c r="C7" s="3360" t="s">
        <v>937</v>
      </c>
      <c r="D7" s="3361"/>
      <c r="E7" s="3360" t="str">
        <f>土地案例!$A$13</f>
        <v>观山湖区宾阳大道与体育路交叉口西南、西北两侧</v>
      </c>
      <c r="F7" s="3361"/>
      <c r="G7" s="3360" t="str">
        <f>土地案例!$A$14</f>
        <v>观山湖区宾阳大道与体育路交叉口西南、西北两侧</v>
      </c>
      <c r="H7" s="3361"/>
      <c r="I7" s="3360" t="str">
        <f>土地案例!$A$16</f>
        <v>观山西路南侧,云潭南路西侧</v>
      </c>
      <c r="J7" s="3361"/>
      <c r="K7" s="640"/>
      <c r="L7" s="641"/>
      <c r="M7" s="639"/>
      <c r="N7" s="639"/>
      <c r="O7" s="642"/>
      <c r="P7" s="3388"/>
      <c r="Q7" s="3389"/>
      <c r="R7" s="3394"/>
      <c r="S7" s="3395"/>
      <c r="T7" s="3394"/>
      <c r="U7" s="3395"/>
      <c r="V7" s="3378"/>
      <c r="W7" s="3378"/>
      <c r="X7" s="707"/>
      <c r="Y7" s="3394"/>
      <c r="Z7" s="3395"/>
      <c r="AA7" s="3380"/>
      <c r="AB7" s="3380"/>
      <c r="AC7" s="3380"/>
    </row>
    <row r="8" spans="1:30" ht="20.25">
      <c r="A8" s="480"/>
      <c r="B8" s="481"/>
      <c r="C8" s="3362" t="s">
        <v>938</v>
      </c>
      <c r="D8" s="3363"/>
      <c r="E8" s="3362" t="s">
        <v>938</v>
      </c>
      <c r="F8" s="3363"/>
      <c r="G8" s="3364" t="s">
        <v>938</v>
      </c>
      <c r="H8" s="3365"/>
      <c r="I8" s="3364" t="s">
        <v>938</v>
      </c>
      <c r="J8" s="3365"/>
      <c r="K8" s="640" t="s">
        <v>939</v>
      </c>
      <c r="L8" s="641"/>
      <c r="M8" s="639"/>
      <c r="N8" s="639"/>
      <c r="O8" s="642"/>
      <c r="P8" s="3390"/>
      <c r="Q8" s="3391"/>
      <c r="R8" s="3394"/>
      <c r="S8" s="3395"/>
      <c r="T8" s="3396"/>
      <c r="U8" s="3397"/>
      <c r="V8" s="3378"/>
      <c r="W8" s="3378"/>
      <c r="X8" s="707"/>
      <c r="Y8" s="3396"/>
      <c r="Z8" s="3397"/>
      <c r="AA8" s="3381"/>
      <c r="AB8" s="3381"/>
      <c r="AC8" s="3381"/>
    </row>
    <row r="9" spans="1:30" s="455" customFormat="1" ht="20.25">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66" t="s">
        <v>941</v>
      </c>
      <c r="Q9" s="3367"/>
      <c r="R9" s="708" t="s">
        <v>942</v>
      </c>
      <c r="S9" s="709">
        <f t="shared" ref="S9:S17" si="0">F9</f>
        <v>92</v>
      </c>
      <c r="T9" s="708" t="s">
        <v>942</v>
      </c>
      <c r="U9" s="709">
        <f t="shared" ref="U9:U17" si="1">H9</f>
        <v>92</v>
      </c>
      <c r="V9" s="708" t="s">
        <v>942</v>
      </c>
      <c r="W9" s="709">
        <f t="shared" ref="W9:W17" si="2">J9</f>
        <v>90</v>
      </c>
      <c r="X9" s="710"/>
      <c r="Y9" s="3366" t="s">
        <v>941</v>
      </c>
      <c r="Z9" s="3398"/>
      <c r="AA9" s="727">
        <f>D9/F9</f>
        <v>1.0869565217391304</v>
      </c>
      <c r="AB9" s="727">
        <f>D9/H9</f>
        <v>1.0869565217391304</v>
      </c>
      <c r="AC9" s="727">
        <f>D9/J9</f>
        <v>1.1111111111111112</v>
      </c>
    </row>
    <row r="10" spans="1:30" s="455" customFormat="1" ht="20.25">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66" t="s">
        <v>945</v>
      </c>
      <c r="Q10" s="3398"/>
      <c r="R10" s="708" t="s">
        <v>942</v>
      </c>
      <c r="S10" s="709">
        <f t="shared" si="0"/>
        <v>100</v>
      </c>
      <c r="T10" s="708" t="s">
        <v>942</v>
      </c>
      <c r="U10" s="709">
        <f t="shared" si="1"/>
        <v>100</v>
      </c>
      <c r="V10" s="708" t="s">
        <v>942</v>
      </c>
      <c r="W10" s="709">
        <f t="shared" si="2"/>
        <v>100</v>
      </c>
      <c r="X10" s="710"/>
      <c r="Y10" s="3366" t="s">
        <v>945</v>
      </c>
      <c r="Z10" s="3398"/>
      <c r="AA10" s="727">
        <f t="shared" ref="AA10:AA47" si="3">D10/F10</f>
        <v>1</v>
      </c>
      <c r="AB10" s="727">
        <f t="shared" ref="AB10:AB47" si="4">D10/H10</f>
        <v>1</v>
      </c>
      <c r="AC10" s="727">
        <f t="shared" ref="AC10:AC47" si="5">D10/J10</f>
        <v>1</v>
      </c>
    </row>
    <row r="11" spans="1:30" s="455" customFormat="1" ht="20.25">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69" t="s">
        <v>948</v>
      </c>
      <c r="Q11" s="711" t="str">
        <f t="shared" ref="Q11:Q17" si="6">B11</f>
        <v>用途</v>
      </c>
      <c r="R11" s="708" t="s">
        <v>942</v>
      </c>
      <c r="S11" s="709">
        <f t="shared" si="0"/>
        <v>100</v>
      </c>
      <c r="T11" s="708" t="s">
        <v>942</v>
      </c>
      <c r="U11" s="709">
        <f t="shared" si="1"/>
        <v>100</v>
      </c>
      <c r="V11" s="708" t="s">
        <v>942</v>
      </c>
      <c r="W11" s="709">
        <f t="shared" si="2"/>
        <v>100</v>
      </c>
      <c r="X11" s="710"/>
      <c r="Y11" s="3357" t="s">
        <v>949</v>
      </c>
      <c r="Z11" s="728" t="str">
        <f t="shared" ref="Z11:Z17" si="7">Q11</f>
        <v>用途</v>
      </c>
      <c r="AA11" s="727">
        <f t="shared" si="3"/>
        <v>1</v>
      </c>
      <c r="AB11" s="727">
        <f t="shared" si="4"/>
        <v>1</v>
      </c>
      <c r="AC11" s="727">
        <f t="shared" si="5"/>
        <v>1</v>
      </c>
    </row>
    <row r="12" spans="1:30" s="456" customFormat="1" ht="27">
      <c r="A12" s="499"/>
      <c r="B12" s="492" t="s">
        <v>950</v>
      </c>
      <c r="C12" s="941">
        <v>37.51</v>
      </c>
      <c r="D12" s="501">
        <v>100</v>
      </c>
      <c r="E12" s="982" t="s">
        <v>951</v>
      </c>
      <c r="F12" s="501">
        <f>ROUND(100/'数据-取费表'!G16,0)</f>
        <v>109</v>
      </c>
      <c r="G12" s="981" t="s">
        <v>951</v>
      </c>
      <c r="H12" s="501">
        <f>ROUND(100/'数据-取费表'!G16,0)</f>
        <v>109</v>
      </c>
      <c r="I12" s="981" t="s">
        <v>951</v>
      </c>
      <c r="J12" s="501">
        <f>ROUND(100/'数据-取费表'!G16,0)</f>
        <v>109</v>
      </c>
      <c r="K12" s="1800"/>
      <c r="L12" s="649"/>
      <c r="M12" s="639"/>
      <c r="N12" s="639"/>
      <c r="O12" s="651"/>
      <c r="P12" s="3369"/>
      <c r="Q12" s="711" t="str">
        <f t="shared" si="6"/>
        <v>土地使用年限（年）</v>
      </c>
      <c r="R12" s="708" t="s">
        <v>942</v>
      </c>
      <c r="S12" s="709">
        <f t="shared" si="0"/>
        <v>109</v>
      </c>
      <c r="T12" s="708" t="s">
        <v>942</v>
      </c>
      <c r="U12" s="709">
        <f t="shared" si="1"/>
        <v>109</v>
      </c>
      <c r="V12" s="708" t="s">
        <v>942</v>
      </c>
      <c r="W12" s="709">
        <f t="shared" si="2"/>
        <v>109</v>
      </c>
      <c r="X12" s="710"/>
      <c r="Y12" s="3357"/>
      <c r="Z12" s="728" t="str">
        <f t="shared" si="7"/>
        <v>土地使用年限（年）</v>
      </c>
      <c r="AA12" s="727">
        <f t="shared" si="3"/>
        <v>0.91743119266055051</v>
      </c>
      <c r="AB12" s="727">
        <f t="shared" si="4"/>
        <v>0.91743119266055051</v>
      </c>
      <c r="AC12" s="727">
        <f t="shared" si="5"/>
        <v>0.91743119266055051</v>
      </c>
    </row>
    <row r="13" spans="1:30" ht="20.25">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69"/>
      <c r="Q13" s="711" t="str">
        <f t="shared" si="6"/>
        <v>容积率</v>
      </c>
      <c r="R13" s="708" t="s">
        <v>942</v>
      </c>
      <c r="S13" s="709">
        <f t="shared" si="0"/>
        <v>102</v>
      </c>
      <c r="T13" s="708" t="s">
        <v>942</v>
      </c>
      <c r="U13" s="709">
        <f t="shared" si="1"/>
        <v>102</v>
      </c>
      <c r="V13" s="708" t="s">
        <v>942</v>
      </c>
      <c r="W13" s="709">
        <f t="shared" si="2"/>
        <v>96</v>
      </c>
      <c r="X13" s="710"/>
      <c r="Y13" s="3357"/>
      <c r="Z13" s="728" t="str">
        <f t="shared" si="7"/>
        <v>容积率</v>
      </c>
      <c r="AA13" s="727">
        <f t="shared" si="3"/>
        <v>0.98039215686274506</v>
      </c>
      <c r="AB13" s="727">
        <f t="shared" si="4"/>
        <v>0.98039215686274506</v>
      </c>
      <c r="AC13" s="727">
        <f t="shared" si="5"/>
        <v>1.0416666666666667</v>
      </c>
    </row>
    <row r="14" spans="1:30" s="455" customFormat="1" ht="20.25">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69"/>
      <c r="Q14" s="711" t="str">
        <f t="shared" si="6"/>
        <v>配建</v>
      </c>
      <c r="R14" s="708" t="s">
        <v>942</v>
      </c>
      <c r="S14" s="709">
        <f t="shared" si="0"/>
        <v>100</v>
      </c>
      <c r="T14" s="708" t="s">
        <v>942</v>
      </c>
      <c r="U14" s="709">
        <f t="shared" si="1"/>
        <v>100</v>
      </c>
      <c r="V14" s="708" t="s">
        <v>942</v>
      </c>
      <c r="W14" s="709">
        <f t="shared" si="2"/>
        <v>100</v>
      </c>
      <c r="X14" s="710"/>
      <c r="Y14" s="3357"/>
      <c r="Z14" s="728" t="str">
        <f t="shared" si="7"/>
        <v>配建</v>
      </c>
      <c r="AA14" s="727">
        <f t="shared" si="3"/>
        <v>1</v>
      </c>
      <c r="AB14" s="727">
        <f t="shared" si="4"/>
        <v>1</v>
      </c>
      <c r="AC14" s="727">
        <f t="shared" si="5"/>
        <v>1</v>
      </c>
    </row>
    <row r="15" spans="1:30" ht="20.25">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69"/>
      <c r="Q15" s="711">
        <f t="shared" si="6"/>
        <v>111</v>
      </c>
      <c r="R15" s="708" t="s">
        <v>942</v>
      </c>
      <c r="S15" s="709">
        <f t="shared" si="0"/>
        <v>100</v>
      </c>
      <c r="T15" s="708" t="s">
        <v>942</v>
      </c>
      <c r="U15" s="709">
        <f t="shared" si="1"/>
        <v>100</v>
      </c>
      <c r="V15" s="708" t="s">
        <v>942</v>
      </c>
      <c r="W15" s="709">
        <f t="shared" si="2"/>
        <v>100</v>
      </c>
      <c r="X15" s="710"/>
      <c r="Y15" s="3357"/>
      <c r="Z15" s="728">
        <f t="shared" si="7"/>
        <v>111</v>
      </c>
      <c r="AA15" s="727">
        <f t="shared" si="3"/>
        <v>1</v>
      </c>
      <c r="AB15" s="727">
        <f t="shared" si="4"/>
        <v>1</v>
      </c>
      <c r="AC15" s="727">
        <f t="shared" si="5"/>
        <v>1</v>
      </c>
    </row>
    <row r="16" spans="1:30" ht="20.25">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69"/>
      <c r="Q16" s="711">
        <f t="shared" si="6"/>
        <v>111</v>
      </c>
      <c r="R16" s="708" t="s">
        <v>942</v>
      </c>
      <c r="S16" s="709">
        <f t="shared" si="0"/>
        <v>100</v>
      </c>
      <c r="T16" s="708" t="s">
        <v>942</v>
      </c>
      <c r="U16" s="709">
        <f t="shared" si="1"/>
        <v>100</v>
      </c>
      <c r="V16" s="708" t="s">
        <v>942</v>
      </c>
      <c r="W16" s="709">
        <f t="shared" si="2"/>
        <v>100</v>
      </c>
      <c r="X16" s="710"/>
      <c r="Y16" s="3357"/>
      <c r="Z16" s="728">
        <f t="shared" si="7"/>
        <v>111</v>
      </c>
      <c r="AA16" s="727">
        <f t="shared" si="3"/>
        <v>1</v>
      </c>
      <c r="AB16" s="727">
        <f t="shared" si="4"/>
        <v>1</v>
      </c>
      <c r="AC16" s="727">
        <f t="shared" si="5"/>
        <v>1</v>
      </c>
    </row>
    <row r="17" spans="1:29" ht="99.75">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v>2</v>
      </c>
      <c r="L17" s="655"/>
      <c r="M17" s="639"/>
      <c r="N17" s="639"/>
      <c r="O17" s="654"/>
      <c r="P17" s="3370" t="s">
        <v>955</v>
      </c>
      <c r="Q17" s="647" t="str">
        <f t="shared" si="6"/>
        <v>居住社区成熟度</v>
      </c>
      <c r="R17" s="712" t="s">
        <v>942</v>
      </c>
      <c r="S17" s="713">
        <f t="shared" si="0"/>
        <v>100</v>
      </c>
      <c r="T17" s="712" t="s">
        <v>942</v>
      </c>
      <c r="U17" s="713">
        <f t="shared" si="1"/>
        <v>100</v>
      </c>
      <c r="V17" s="712" t="s">
        <v>942</v>
      </c>
      <c r="W17" s="713">
        <f t="shared" si="2"/>
        <v>100</v>
      </c>
      <c r="X17" s="707"/>
      <c r="Y17" s="3370" t="s">
        <v>955</v>
      </c>
      <c r="Z17" s="706" t="str">
        <f t="shared" si="7"/>
        <v>居住社区成熟度</v>
      </c>
      <c r="AA17" s="718">
        <f t="shared" si="3"/>
        <v>1</v>
      </c>
      <c r="AB17" s="718">
        <f t="shared" si="4"/>
        <v>1</v>
      </c>
      <c r="AC17" s="718">
        <f t="shared" si="5"/>
        <v>1</v>
      </c>
    </row>
    <row r="18" spans="1:29" ht="20.25">
      <c r="A18" s="519"/>
      <c r="B18" s="943"/>
      <c r="C18" s="944" t="s">
        <v>956</v>
      </c>
      <c r="D18" s="523"/>
      <c r="E18" s="944" t="s">
        <v>956</v>
      </c>
      <c r="F18" s="522"/>
      <c r="G18" s="944" t="s">
        <v>956</v>
      </c>
      <c r="H18" s="524"/>
      <c r="I18" s="944" t="s">
        <v>956</v>
      </c>
      <c r="J18" s="522"/>
      <c r="K18" s="1800"/>
      <c r="L18" s="655"/>
      <c r="M18" s="639"/>
      <c r="N18" s="639"/>
      <c r="O18" s="654"/>
      <c r="P18" s="3371"/>
      <c r="Q18" s="647"/>
      <c r="R18" s="712"/>
      <c r="S18" s="713"/>
      <c r="T18" s="712"/>
      <c r="U18" s="713"/>
      <c r="V18" s="712"/>
      <c r="W18" s="713"/>
      <c r="X18" s="707"/>
      <c r="Y18" s="3371"/>
      <c r="Z18" s="706"/>
      <c r="AA18" s="718">
        <v>1</v>
      </c>
      <c r="AB18" s="718">
        <v>1</v>
      </c>
      <c r="AC18" s="718">
        <v>1</v>
      </c>
    </row>
    <row r="19" spans="1:29" ht="71.25">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71"/>
      <c r="Q19" s="647" t="str">
        <f>B19</f>
        <v>商业繁华度</v>
      </c>
      <c r="R19" s="712" t="s">
        <v>942</v>
      </c>
      <c r="S19" s="713">
        <f>F19</f>
        <v>100</v>
      </c>
      <c r="T19" s="712" t="s">
        <v>942</v>
      </c>
      <c r="U19" s="713">
        <f>H19</f>
        <v>100</v>
      </c>
      <c r="V19" s="712" t="s">
        <v>942</v>
      </c>
      <c r="W19" s="713">
        <f>J19</f>
        <v>100</v>
      </c>
      <c r="X19" s="707"/>
      <c r="Y19" s="3371"/>
      <c r="Z19" s="706" t="str">
        <f>Q19</f>
        <v>商业繁华度</v>
      </c>
      <c r="AA19" s="718">
        <f t="shared" si="3"/>
        <v>1</v>
      </c>
      <c r="AB19" s="718">
        <f t="shared" si="4"/>
        <v>1</v>
      </c>
      <c r="AC19" s="718">
        <f t="shared" si="5"/>
        <v>1</v>
      </c>
    </row>
    <row r="20" spans="1:29" ht="20.25">
      <c r="A20" s="519"/>
      <c r="B20" s="531"/>
      <c r="C20" s="946" t="s">
        <v>956</v>
      </c>
      <c r="D20" s="535"/>
      <c r="E20" s="799" t="s">
        <v>956</v>
      </c>
      <c r="F20" s="524"/>
      <c r="G20" s="799" t="s">
        <v>956</v>
      </c>
      <c r="H20" s="522"/>
      <c r="I20" s="799" t="s">
        <v>956</v>
      </c>
      <c r="J20" s="522"/>
      <c r="K20" s="1800"/>
      <c r="L20" s="655"/>
      <c r="M20" s="639"/>
      <c r="N20" s="639"/>
      <c r="O20" s="654"/>
      <c r="P20" s="3371"/>
      <c r="Q20" s="647"/>
      <c r="R20" s="712"/>
      <c r="S20" s="713"/>
      <c r="T20" s="712"/>
      <c r="U20" s="713"/>
      <c r="V20" s="712"/>
      <c r="W20" s="713"/>
      <c r="X20" s="707"/>
      <c r="Y20" s="3371"/>
      <c r="Z20" s="706"/>
      <c r="AA20" s="718">
        <v>1</v>
      </c>
      <c r="AB20" s="718">
        <v>1</v>
      </c>
      <c r="AC20" s="718">
        <v>1</v>
      </c>
    </row>
    <row r="21" spans="1:29" ht="71.25">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71"/>
      <c r="Q21" s="647" t="str">
        <f>B21</f>
        <v>办公集聚程度</v>
      </c>
      <c r="R21" s="712" t="s">
        <v>942</v>
      </c>
      <c r="S21" s="713">
        <f>F21</f>
        <v>100</v>
      </c>
      <c r="T21" s="712" t="s">
        <v>942</v>
      </c>
      <c r="U21" s="713">
        <f>H21</f>
        <v>100</v>
      </c>
      <c r="V21" s="712" t="s">
        <v>942</v>
      </c>
      <c r="W21" s="713">
        <f>J21</f>
        <v>100</v>
      </c>
      <c r="X21" s="707"/>
      <c r="Y21" s="3371"/>
      <c r="Z21" s="706" t="str">
        <f>Q21</f>
        <v>办公集聚程度</v>
      </c>
      <c r="AA21" s="718">
        <f t="shared" si="3"/>
        <v>1</v>
      </c>
      <c r="AB21" s="718">
        <f t="shared" si="4"/>
        <v>1</v>
      </c>
      <c r="AC21" s="718">
        <f t="shared" si="5"/>
        <v>1</v>
      </c>
    </row>
    <row r="22" spans="1:29" ht="20.25">
      <c r="A22" s="519"/>
      <c r="B22" s="531"/>
      <c r="C22" s="944" t="s">
        <v>956</v>
      </c>
      <c r="D22" s="523"/>
      <c r="E22" s="944" t="s">
        <v>956</v>
      </c>
      <c r="F22" s="522"/>
      <c r="G22" s="944" t="s">
        <v>956</v>
      </c>
      <c r="H22" s="522"/>
      <c r="I22" s="944" t="s">
        <v>956</v>
      </c>
      <c r="J22" s="522"/>
      <c r="K22" s="1800"/>
      <c r="L22" s="655"/>
      <c r="M22" s="639"/>
      <c r="N22" s="639"/>
      <c r="O22" s="654"/>
      <c r="P22" s="3371"/>
      <c r="Q22" s="647"/>
      <c r="R22" s="712"/>
      <c r="S22" s="713"/>
      <c r="T22" s="712"/>
      <c r="U22" s="713"/>
      <c r="V22" s="712"/>
      <c r="W22" s="713"/>
      <c r="X22" s="707"/>
      <c r="Y22" s="3371"/>
      <c r="Z22" s="706"/>
      <c r="AA22" s="718">
        <v>1</v>
      </c>
      <c r="AB22" s="718">
        <v>1</v>
      </c>
      <c r="AC22" s="718">
        <v>1</v>
      </c>
    </row>
    <row r="23" spans="1:29" ht="85.5">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71"/>
      <c r="Q23" s="647" t="str">
        <f>B23</f>
        <v>交通便捷度</v>
      </c>
      <c r="R23" s="712" t="s">
        <v>942</v>
      </c>
      <c r="S23" s="713">
        <f>F23</f>
        <v>100</v>
      </c>
      <c r="T23" s="712" t="s">
        <v>942</v>
      </c>
      <c r="U23" s="713">
        <f>H23</f>
        <v>100</v>
      </c>
      <c r="V23" s="712" t="s">
        <v>942</v>
      </c>
      <c r="W23" s="713">
        <f>J23</f>
        <v>100</v>
      </c>
      <c r="X23" s="707"/>
      <c r="Y23" s="3371"/>
      <c r="Z23" s="706" t="str">
        <f>Q23</f>
        <v>交通便捷度</v>
      </c>
      <c r="AA23" s="718">
        <f t="shared" si="3"/>
        <v>1</v>
      </c>
      <c r="AB23" s="718">
        <f t="shared" si="4"/>
        <v>1</v>
      </c>
      <c r="AC23" s="718">
        <f t="shared" si="5"/>
        <v>1</v>
      </c>
    </row>
    <row r="24" spans="1:29" ht="20.25">
      <c r="A24" s="519"/>
      <c r="B24" s="537"/>
      <c r="C24" s="944" t="s">
        <v>956</v>
      </c>
      <c r="D24" s="523"/>
      <c r="E24" s="944" t="s">
        <v>956</v>
      </c>
      <c r="F24" s="522"/>
      <c r="G24" s="944" t="s">
        <v>956</v>
      </c>
      <c r="H24" s="522"/>
      <c r="I24" s="944" t="s">
        <v>956</v>
      </c>
      <c r="J24" s="522"/>
      <c r="K24" s="1800"/>
      <c r="L24" s="655"/>
      <c r="M24" s="639"/>
      <c r="N24" s="639"/>
      <c r="O24" s="654"/>
      <c r="P24" s="3371"/>
      <c r="Q24" s="647"/>
      <c r="R24" s="712"/>
      <c r="S24" s="713"/>
      <c r="T24" s="712"/>
      <c r="U24" s="713"/>
      <c r="V24" s="712"/>
      <c r="W24" s="713"/>
      <c r="X24" s="707"/>
      <c r="Y24" s="3371"/>
      <c r="Z24" s="706"/>
      <c r="AA24" s="718">
        <v>1</v>
      </c>
      <c r="AB24" s="718">
        <v>1</v>
      </c>
      <c r="AC24" s="718">
        <v>1</v>
      </c>
    </row>
    <row r="25" spans="1:29" ht="27">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71"/>
      <c r="Q25" s="647" t="str">
        <f t="shared" ref="Q25:Q40" si="8">B25</f>
        <v>区域土地利用方向</v>
      </c>
      <c r="R25" s="712" t="s">
        <v>942</v>
      </c>
      <c r="S25" s="713">
        <f>F25</f>
        <v>100</v>
      </c>
      <c r="T25" s="712" t="s">
        <v>942</v>
      </c>
      <c r="U25" s="713">
        <f>H25</f>
        <v>100</v>
      </c>
      <c r="V25" s="712" t="s">
        <v>942</v>
      </c>
      <c r="W25" s="713">
        <f>J25</f>
        <v>100</v>
      </c>
      <c r="X25" s="707"/>
      <c r="Y25" s="3371"/>
      <c r="Z25" s="706" t="str">
        <f>Q25</f>
        <v>区域土地利用方向</v>
      </c>
      <c r="AA25" s="718">
        <f t="shared" si="3"/>
        <v>1</v>
      </c>
      <c r="AB25" s="718">
        <f t="shared" si="4"/>
        <v>1</v>
      </c>
      <c r="AC25" s="718">
        <f t="shared" si="5"/>
        <v>1</v>
      </c>
    </row>
    <row r="26" spans="1:29" ht="20.25">
      <c r="A26" s="480"/>
      <c r="B26" s="2039"/>
      <c r="C26" s="944" t="s">
        <v>956</v>
      </c>
      <c r="D26" s="523"/>
      <c r="E26" s="944" t="s">
        <v>956</v>
      </c>
      <c r="F26" s="522"/>
      <c r="G26" s="944" t="s">
        <v>956</v>
      </c>
      <c r="H26" s="522"/>
      <c r="I26" s="944" t="s">
        <v>956</v>
      </c>
      <c r="J26" s="522"/>
      <c r="K26" s="1800"/>
      <c r="L26" s="655"/>
      <c r="M26" s="639"/>
      <c r="N26" s="639"/>
      <c r="O26" s="654"/>
      <c r="P26" s="3371"/>
      <c r="Q26" s="647"/>
      <c r="R26" s="712"/>
      <c r="S26" s="713"/>
      <c r="T26" s="712"/>
      <c r="U26" s="713"/>
      <c r="V26" s="712"/>
      <c r="W26" s="713"/>
      <c r="X26" s="707"/>
      <c r="Y26" s="3371"/>
      <c r="Z26" s="706"/>
      <c r="AA26" s="718"/>
      <c r="AB26" s="718"/>
      <c r="AC26" s="718"/>
    </row>
    <row r="27" spans="1:29" ht="57">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71"/>
      <c r="Q27" s="647" t="str">
        <f t="shared" si="8"/>
        <v>自然及人文环境状况</v>
      </c>
      <c r="R27" s="712" t="s">
        <v>942</v>
      </c>
      <c r="S27" s="713">
        <f>F27</f>
        <v>100</v>
      </c>
      <c r="T27" s="712" t="s">
        <v>942</v>
      </c>
      <c r="U27" s="713">
        <f>H27</f>
        <v>100</v>
      </c>
      <c r="V27" s="712" t="s">
        <v>942</v>
      </c>
      <c r="W27" s="713">
        <f>J27</f>
        <v>100</v>
      </c>
      <c r="X27" s="707"/>
      <c r="Y27" s="3371"/>
      <c r="Z27" s="706" t="str">
        <f>Q27</f>
        <v>自然及人文环境状况</v>
      </c>
      <c r="AA27" s="718">
        <f t="shared" si="3"/>
        <v>1</v>
      </c>
      <c r="AB27" s="718">
        <f t="shared" si="4"/>
        <v>1</v>
      </c>
      <c r="AC27" s="718">
        <f t="shared" si="5"/>
        <v>1</v>
      </c>
    </row>
    <row r="28" spans="1:29" ht="20.25">
      <c r="A28" s="480"/>
      <c r="B28" s="531"/>
      <c r="C28" s="944" t="s">
        <v>956</v>
      </c>
      <c r="D28" s="523"/>
      <c r="E28" s="944" t="s">
        <v>956</v>
      </c>
      <c r="F28" s="522"/>
      <c r="G28" s="944" t="s">
        <v>956</v>
      </c>
      <c r="H28" s="522"/>
      <c r="I28" s="944" t="s">
        <v>956</v>
      </c>
      <c r="J28" s="522"/>
      <c r="K28" s="1800"/>
      <c r="L28" s="655"/>
      <c r="M28" s="639"/>
      <c r="N28" s="639"/>
      <c r="O28" s="654"/>
      <c r="P28" s="3371"/>
      <c r="Q28" s="647"/>
      <c r="R28" s="712"/>
      <c r="S28" s="713"/>
      <c r="T28" s="712"/>
      <c r="U28" s="713"/>
      <c r="V28" s="712"/>
      <c r="W28" s="713"/>
      <c r="X28" s="707"/>
      <c r="Y28" s="3371"/>
      <c r="Z28" s="706"/>
      <c r="AA28" s="718">
        <v>1</v>
      </c>
      <c r="AB28" s="718">
        <v>1</v>
      </c>
      <c r="AC28" s="718">
        <v>1</v>
      </c>
    </row>
    <row r="29" spans="1:29" s="455" customFormat="1" ht="42.75">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71"/>
      <c r="Q29" s="711" t="str">
        <f t="shared" si="8"/>
        <v>公共配套设施</v>
      </c>
      <c r="R29" s="708" t="s">
        <v>942</v>
      </c>
      <c r="S29" s="709">
        <f>F29</f>
        <v>100</v>
      </c>
      <c r="T29" s="708" t="s">
        <v>942</v>
      </c>
      <c r="U29" s="709">
        <f>H29</f>
        <v>100</v>
      </c>
      <c r="V29" s="708" t="s">
        <v>942</v>
      </c>
      <c r="W29" s="709">
        <f>J29</f>
        <v>100</v>
      </c>
      <c r="X29" s="710"/>
      <c r="Y29" s="3371"/>
      <c r="Z29" s="728" t="str">
        <f>Q29</f>
        <v>公共配套设施</v>
      </c>
      <c r="AA29" s="718">
        <f>D29/F29</f>
        <v>1</v>
      </c>
      <c r="AB29" s="718">
        <f>D29/H29</f>
        <v>1</v>
      </c>
      <c r="AC29" s="718">
        <f>D29/J29</f>
        <v>1</v>
      </c>
    </row>
    <row r="30" spans="1:29" s="455" customFormat="1" ht="20.25">
      <c r="A30" s="766"/>
      <c r="B30" s="531"/>
      <c r="C30" s="1746" t="s">
        <v>956</v>
      </c>
      <c r="D30" s="523"/>
      <c r="E30" s="1746" t="s">
        <v>956</v>
      </c>
      <c r="F30" s="522"/>
      <c r="G30" s="1746" t="s">
        <v>956</v>
      </c>
      <c r="H30" s="522"/>
      <c r="I30" s="1746" t="s">
        <v>956</v>
      </c>
      <c r="J30" s="522"/>
      <c r="K30" s="1800"/>
      <c r="L30" s="644"/>
      <c r="M30" s="639"/>
      <c r="N30" s="639"/>
      <c r="O30" s="646"/>
      <c r="P30" s="3371"/>
      <c r="Q30" s="711"/>
      <c r="R30" s="708"/>
      <c r="S30" s="709"/>
      <c r="T30" s="708"/>
      <c r="U30" s="709"/>
      <c r="V30" s="708"/>
      <c r="W30" s="709"/>
      <c r="X30" s="710"/>
      <c r="Y30" s="3371"/>
      <c r="Z30" s="728"/>
      <c r="AA30" s="718">
        <v>1</v>
      </c>
      <c r="AB30" s="718">
        <v>1</v>
      </c>
      <c r="AC30" s="718">
        <v>1</v>
      </c>
    </row>
    <row r="31" spans="1:29" s="455" customFormat="1" ht="28.5">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71"/>
      <c r="Q31" s="711" t="str">
        <f t="shared" ref="Q31" si="9">B31</f>
        <v>基础设施水平</v>
      </c>
      <c r="R31" s="708" t="s">
        <v>942</v>
      </c>
      <c r="S31" s="709">
        <f>F31</f>
        <v>100</v>
      </c>
      <c r="T31" s="708" t="s">
        <v>942</v>
      </c>
      <c r="U31" s="709">
        <f>H31</f>
        <v>100</v>
      </c>
      <c r="V31" s="708" t="s">
        <v>942</v>
      </c>
      <c r="W31" s="709">
        <f>J31</f>
        <v>100</v>
      </c>
      <c r="X31" s="710"/>
      <c r="Y31" s="3371"/>
      <c r="Z31" s="728" t="str">
        <f>Q31</f>
        <v>基础设施水平</v>
      </c>
      <c r="AA31" s="718">
        <f>D31/F31</f>
        <v>1</v>
      </c>
      <c r="AB31" s="718">
        <f>D31/H31</f>
        <v>1</v>
      </c>
      <c r="AC31" s="718">
        <f>D31/J31</f>
        <v>1</v>
      </c>
    </row>
    <row r="32" spans="1:29" s="455" customFormat="1" ht="20.25">
      <c r="A32" s="766"/>
      <c r="B32" s="531"/>
      <c r="C32" s="1746" t="s">
        <v>259</v>
      </c>
      <c r="D32" s="523"/>
      <c r="E32" s="1746" t="s">
        <v>259</v>
      </c>
      <c r="F32" s="522"/>
      <c r="G32" s="1746" t="s">
        <v>259</v>
      </c>
      <c r="H32" s="522"/>
      <c r="I32" s="1746" t="s">
        <v>259</v>
      </c>
      <c r="J32" s="522"/>
      <c r="K32" s="1800"/>
      <c r="L32" s="644"/>
      <c r="M32" s="639"/>
      <c r="N32" s="639"/>
      <c r="O32" s="646"/>
      <c r="P32" s="3371"/>
      <c r="Q32" s="711"/>
      <c r="R32" s="708"/>
      <c r="S32" s="709"/>
      <c r="T32" s="708"/>
      <c r="U32" s="709"/>
      <c r="V32" s="708"/>
      <c r="W32" s="709"/>
      <c r="X32" s="710"/>
      <c r="Y32" s="3371"/>
      <c r="Z32" s="728"/>
      <c r="AA32" s="718">
        <v>1</v>
      </c>
      <c r="AB32" s="718">
        <v>1</v>
      </c>
      <c r="AC32" s="718">
        <v>1</v>
      </c>
    </row>
    <row r="33" spans="1:29" ht="20.25">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71"/>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71"/>
      <c r="Z33" s="706" t="str">
        <f t="shared" ref="Z33:Z47" si="13">Q33</f>
        <v>临街状况</v>
      </c>
      <c r="AA33" s="718">
        <f t="shared" si="3"/>
        <v>1</v>
      </c>
      <c r="AB33" s="718">
        <f t="shared" si="4"/>
        <v>1</v>
      </c>
      <c r="AC33" s="718">
        <f t="shared" si="5"/>
        <v>1</v>
      </c>
    </row>
    <row r="34" spans="1:29" ht="27">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71"/>
      <c r="Q34" s="647" t="str">
        <f t="shared" si="8"/>
        <v>毗邻道路的类型与等级</v>
      </c>
      <c r="R34" s="712" t="s">
        <v>942</v>
      </c>
      <c r="S34" s="713">
        <f t="shared" si="10"/>
        <v>100</v>
      </c>
      <c r="T34" s="712" t="s">
        <v>942</v>
      </c>
      <c r="U34" s="713">
        <f t="shared" si="11"/>
        <v>100</v>
      </c>
      <c r="V34" s="712" t="s">
        <v>942</v>
      </c>
      <c r="W34" s="713">
        <f t="shared" si="12"/>
        <v>100</v>
      </c>
      <c r="X34" s="707"/>
      <c r="Y34" s="3371"/>
      <c r="Z34" s="706" t="str">
        <f t="shared" si="13"/>
        <v>毗邻道路的类型与等级</v>
      </c>
      <c r="AA34" s="718">
        <f t="shared" si="3"/>
        <v>1</v>
      </c>
      <c r="AB34" s="718">
        <f t="shared" si="4"/>
        <v>1</v>
      </c>
      <c r="AC34" s="718">
        <f t="shared" si="5"/>
        <v>1</v>
      </c>
    </row>
    <row r="35" spans="1:29" ht="20.25">
      <c r="A35" s="519"/>
      <c r="B35" s="531"/>
      <c r="C35" s="944"/>
      <c r="D35" s="523"/>
      <c r="E35" s="521"/>
      <c r="F35" s="522"/>
      <c r="G35" s="944"/>
      <c r="H35" s="522"/>
      <c r="I35" s="521"/>
      <c r="J35" s="522"/>
      <c r="K35" s="652"/>
      <c r="L35" s="655"/>
      <c r="M35" s="639"/>
      <c r="N35" s="639"/>
      <c r="O35" s="654"/>
      <c r="P35" s="3371"/>
      <c r="Q35" s="647"/>
      <c r="R35" s="712"/>
      <c r="S35" s="713"/>
      <c r="T35" s="712"/>
      <c r="U35" s="713"/>
      <c r="V35" s="712"/>
      <c r="W35" s="713"/>
      <c r="X35" s="707"/>
      <c r="Y35" s="3371"/>
      <c r="Z35" s="706"/>
      <c r="AA35" s="718">
        <v>1</v>
      </c>
      <c r="AB35" s="718">
        <v>1</v>
      </c>
      <c r="AC35" s="718">
        <v>1</v>
      </c>
    </row>
    <row r="36" spans="1:29" ht="20.25">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71"/>
      <c r="Q36" s="647" t="str">
        <f t="shared" si="8"/>
        <v>土地级别</v>
      </c>
      <c r="R36" s="712" t="s">
        <v>942</v>
      </c>
      <c r="S36" s="713">
        <f t="shared" si="10"/>
        <v>100</v>
      </c>
      <c r="T36" s="712" t="s">
        <v>942</v>
      </c>
      <c r="U36" s="713">
        <f t="shared" si="11"/>
        <v>100</v>
      </c>
      <c r="V36" s="712" t="s">
        <v>942</v>
      </c>
      <c r="W36" s="713">
        <f t="shared" si="12"/>
        <v>100</v>
      </c>
      <c r="X36" s="707"/>
      <c r="Y36" s="3371"/>
      <c r="Z36" s="706" t="str">
        <f t="shared" si="13"/>
        <v>土地级别</v>
      </c>
      <c r="AA36" s="718">
        <f t="shared" si="3"/>
        <v>1</v>
      </c>
      <c r="AB36" s="718">
        <f t="shared" si="4"/>
        <v>1</v>
      </c>
      <c r="AC36" s="718">
        <f t="shared" si="5"/>
        <v>1</v>
      </c>
    </row>
    <row r="37" spans="1:29" ht="20.25">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71"/>
      <c r="Q37" s="647">
        <f t="shared" si="8"/>
        <v>111</v>
      </c>
      <c r="R37" s="712" t="s">
        <v>942</v>
      </c>
      <c r="S37" s="713">
        <f t="shared" si="10"/>
        <v>100</v>
      </c>
      <c r="T37" s="712" t="s">
        <v>942</v>
      </c>
      <c r="U37" s="713">
        <f t="shared" si="11"/>
        <v>100</v>
      </c>
      <c r="V37" s="712" t="s">
        <v>942</v>
      </c>
      <c r="W37" s="713">
        <f t="shared" si="12"/>
        <v>100</v>
      </c>
      <c r="X37" s="707"/>
      <c r="Y37" s="3371"/>
      <c r="Z37" s="706">
        <f t="shared" si="13"/>
        <v>111</v>
      </c>
      <c r="AA37" s="718">
        <f t="shared" si="3"/>
        <v>1</v>
      </c>
      <c r="AB37" s="718">
        <f t="shared" si="4"/>
        <v>1</v>
      </c>
      <c r="AC37" s="718">
        <f t="shared" si="5"/>
        <v>1</v>
      </c>
    </row>
    <row r="38" spans="1:29" ht="20.25">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72" t="s">
        <v>960</v>
      </c>
      <c r="Q38" s="647">
        <f t="shared" si="8"/>
        <v>111</v>
      </c>
      <c r="R38" s="712" t="s">
        <v>942</v>
      </c>
      <c r="S38" s="713">
        <f t="shared" si="10"/>
        <v>100</v>
      </c>
      <c r="T38" s="712" t="s">
        <v>942</v>
      </c>
      <c r="U38" s="713">
        <f t="shared" si="11"/>
        <v>100</v>
      </c>
      <c r="V38" s="712" t="s">
        <v>942</v>
      </c>
      <c r="W38" s="713">
        <f t="shared" si="12"/>
        <v>100</v>
      </c>
      <c r="X38" s="707"/>
      <c r="Y38" s="3373" t="s">
        <v>960</v>
      </c>
      <c r="Z38" s="706">
        <f t="shared" si="13"/>
        <v>111</v>
      </c>
      <c r="AA38" s="718">
        <f t="shared" si="3"/>
        <v>1</v>
      </c>
      <c r="AB38" s="718">
        <f t="shared" si="4"/>
        <v>1</v>
      </c>
      <c r="AC38" s="718">
        <f t="shared" si="5"/>
        <v>1</v>
      </c>
    </row>
    <row r="39" spans="1:29" s="457" customFormat="1" ht="20.25">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73"/>
      <c r="Q39" s="647">
        <f t="shared" si="8"/>
        <v>111</v>
      </c>
      <c r="R39" s="715" t="s">
        <v>942</v>
      </c>
      <c r="S39" s="716">
        <f t="shared" si="10"/>
        <v>100</v>
      </c>
      <c r="T39" s="715" t="s">
        <v>942</v>
      </c>
      <c r="U39" s="716">
        <f t="shared" si="11"/>
        <v>100</v>
      </c>
      <c r="V39" s="715" t="s">
        <v>942</v>
      </c>
      <c r="W39" s="716">
        <f t="shared" si="12"/>
        <v>100</v>
      </c>
      <c r="X39" s="717"/>
      <c r="Y39" s="3373"/>
      <c r="Z39" s="729">
        <f t="shared" si="13"/>
        <v>111</v>
      </c>
      <c r="AA39" s="718">
        <f t="shared" si="3"/>
        <v>1</v>
      </c>
      <c r="AB39" s="718">
        <f t="shared" si="4"/>
        <v>1</v>
      </c>
      <c r="AC39" s="718">
        <f t="shared" si="5"/>
        <v>1</v>
      </c>
    </row>
    <row r="40" spans="1:29" ht="20.25">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73"/>
      <c r="Q40" s="647" t="str">
        <f t="shared" si="8"/>
        <v>宗地面积</v>
      </c>
      <c r="R40" s="712" t="s">
        <v>942</v>
      </c>
      <c r="S40" s="713">
        <f t="shared" si="10"/>
        <v>96</v>
      </c>
      <c r="T40" s="712" t="s">
        <v>942</v>
      </c>
      <c r="U40" s="713">
        <f t="shared" si="11"/>
        <v>96</v>
      </c>
      <c r="V40" s="712" t="s">
        <v>942</v>
      </c>
      <c r="W40" s="713">
        <f t="shared" si="12"/>
        <v>97</v>
      </c>
      <c r="X40" s="707"/>
      <c r="Y40" s="3373"/>
      <c r="Z40" s="706" t="str">
        <f t="shared" si="13"/>
        <v>宗地面积</v>
      </c>
      <c r="AA40" s="718">
        <f t="shared" si="3"/>
        <v>1.0416666666666667</v>
      </c>
      <c r="AB40" s="718">
        <f t="shared" si="4"/>
        <v>1.0416666666666667</v>
      </c>
      <c r="AC40" s="718">
        <f t="shared" si="5"/>
        <v>1.0309278350515463</v>
      </c>
    </row>
    <row r="41" spans="1:29" ht="20.25">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73"/>
      <c r="Q41" s="647" t="str">
        <f t="shared" ref="Q41:Q47" si="14">B41</f>
        <v>宗地形状</v>
      </c>
      <c r="R41" s="712" t="s">
        <v>942</v>
      </c>
      <c r="S41" s="713">
        <f t="shared" si="10"/>
        <v>101</v>
      </c>
      <c r="T41" s="712" t="s">
        <v>942</v>
      </c>
      <c r="U41" s="713">
        <f t="shared" si="11"/>
        <v>101</v>
      </c>
      <c r="V41" s="712" t="s">
        <v>942</v>
      </c>
      <c r="W41" s="713">
        <f t="shared" si="12"/>
        <v>99</v>
      </c>
      <c r="X41" s="707"/>
      <c r="Y41" s="3373"/>
      <c r="Z41" s="706" t="str">
        <f t="shared" si="13"/>
        <v>宗地形状</v>
      </c>
      <c r="AA41" s="718">
        <f t="shared" si="3"/>
        <v>0.99009900990099009</v>
      </c>
      <c r="AB41" s="718">
        <f t="shared" si="4"/>
        <v>0.99009900990099009</v>
      </c>
      <c r="AC41" s="718">
        <f t="shared" si="5"/>
        <v>1.0101010101010102</v>
      </c>
    </row>
    <row r="42" spans="1:29" ht="20.25">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73"/>
      <c r="Q42" s="647" t="str">
        <f t="shared" si="14"/>
        <v>临街宽度及深度</v>
      </c>
      <c r="R42" s="712" t="s">
        <v>942</v>
      </c>
      <c r="S42" s="713">
        <f t="shared" si="10"/>
        <v>100</v>
      </c>
      <c r="T42" s="712" t="s">
        <v>942</v>
      </c>
      <c r="U42" s="713">
        <f t="shared" si="11"/>
        <v>100</v>
      </c>
      <c r="V42" s="712" t="s">
        <v>942</v>
      </c>
      <c r="W42" s="713">
        <f t="shared" si="12"/>
        <v>100</v>
      </c>
      <c r="X42" s="707"/>
      <c r="Y42" s="3373"/>
      <c r="Z42" s="706" t="str">
        <f t="shared" si="13"/>
        <v>临街宽度及深度</v>
      </c>
      <c r="AA42" s="718">
        <f t="shared" si="3"/>
        <v>1</v>
      </c>
      <c r="AB42" s="718">
        <f t="shared" si="4"/>
        <v>1</v>
      </c>
      <c r="AC42" s="718">
        <f t="shared" si="5"/>
        <v>1</v>
      </c>
    </row>
    <row r="43" spans="1:29" s="455" customFormat="1" ht="20.25">
      <c r="A43" s="560"/>
      <c r="B43" s="808" t="s">
        <v>968</v>
      </c>
      <c r="C43" s="1757" t="s">
        <v>259</v>
      </c>
      <c r="D43" s="501">
        <v>100</v>
      </c>
      <c r="E43" s="1757" t="s">
        <v>288</v>
      </c>
      <c r="F43" s="511">
        <f>SUMIF(125:125,E43,126:126)-SUMIF(125:125,C43,126:126)+100</f>
        <v>94</v>
      </c>
      <c r="G43" s="1757" t="s">
        <v>288</v>
      </c>
      <c r="H43" s="511">
        <f>SUMIF(125:125,G43,126:126)-SUMIF(125:125,C43,126:126)+100</f>
        <v>94</v>
      </c>
      <c r="I43" s="1757" t="s">
        <v>259</v>
      </c>
      <c r="J43" s="511">
        <f>SUMIF(125:125,I43,126:126)-SUMIF(125:125,C43,126:126)+100</f>
        <v>100</v>
      </c>
      <c r="K43" s="648">
        <v>2</v>
      </c>
      <c r="L43" s="644"/>
      <c r="M43" s="639"/>
      <c r="N43" s="639"/>
      <c r="O43" s="646"/>
      <c r="P43" s="3373"/>
      <c r="Q43" s="647" t="str">
        <f t="shared" si="14"/>
        <v>宗地开发程度</v>
      </c>
      <c r="R43" s="708" t="s">
        <v>942</v>
      </c>
      <c r="S43" s="709">
        <f t="shared" si="10"/>
        <v>94</v>
      </c>
      <c r="T43" s="708" t="s">
        <v>942</v>
      </c>
      <c r="U43" s="709">
        <f t="shared" si="11"/>
        <v>94</v>
      </c>
      <c r="V43" s="708" t="s">
        <v>942</v>
      </c>
      <c r="W43" s="709">
        <f t="shared" si="12"/>
        <v>100</v>
      </c>
      <c r="X43" s="710"/>
      <c r="Y43" s="3373"/>
      <c r="Z43" s="728" t="str">
        <f t="shared" si="13"/>
        <v>宗地开发程度</v>
      </c>
      <c r="AA43" s="727">
        <f t="shared" si="3"/>
        <v>1.0638297872340425</v>
      </c>
      <c r="AB43" s="727">
        <f t="shared" si="4"/>
        <v>1.0638297872340425</v>
      </c>
      <c r="AC43" s="727">
        <f t="shared" si="5"/>
        <v>1</v>
      </c>
    </row>
    <row r="44" spans="1:29" ht="20.25">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73" t="s">
        <v>960</v>
      </c>
      <c r="Q44" s="647" t="str">
        <f t="shared" si="14"/>
        <v>工程地质条件</v>
      </c>
      <c r="R44" s="712" t="s">
        <v>942</v>
      </c>
      <c r="S44" s="713">
        <f t="shared" si="10"/>
        <v>100</v>
      </c>
      <c r="T44" s="712" t="s">
        <v>942</v>
      </c>
      <c r="U44" s="713">
        <f t="shared" si="11"/>
        <v>100</v>
      </c>
      <c r="V44" s="712" t="s">
        <v>942</v>
      </c>
      <c r="W44" s="713">
        <f t="shared" si="12"/>
        <v>100</v>
      </c>
      <c r="X44" s="707"/>
      <c r="Y44" s="3373" t="s">
        <v>960</v>
      </c>
      <c r="Z44" s="706" t="str">
        <f t="shared" si="13"/>
        <v>工程地质条件</v>
      </c>
      <c r="AA44" s="718">
        <f t="shared" si="3"/>
        <v>1</v>
      </c>
      <c r="AB44" s="718">
        <f t="shared" si="4"/>
        <v>1</v>
      </c>
      <c r="AC44" s="718">
        <f t="shared" si="5"/>
        <v>1</v>
      </c>
    </row>
    <row r="45" spans="1:29" ht="20.25">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73"/>
      <c r="Q45" s="647">
        <f t="shared" si="14"/>
        <v>111</v>
      </c>
      <c r="R45" s="712" t="s">
        <v>942</v>
      </c>
      <c r="S45" s="713">
        <f t="shared" si="10"/>
        <v>100</v>
      </c>
      <c r="T45" s="712" t="s">
        <v>942</v>
      </c>
      <c r="U45" s="713">
        <f t="shared" si="11"/>
        <v>100</v>
      </c>
      <c r="V45" s="712" t="s">
        <v>942</v>
      </c>
      <c r="W45" s="713">
        <f t="shared" si="12"/>
        <v>100</v>
      </c>
      <c r="X45" s="707"/>
      <c r="Y45" s="3373"/>
      <c r="Z45" s="706">
        <f t="shared" si="13"/>
        <v>111</v>
      </c>
      <c r="AA45" s="718">
        <f t="shared" si="3"/>
        <v>1</v>
      </c>
      <c r="AB45" s="718">
        <f t="shared" si="4"/>
        <v>1</v>
      </c>
      <c r="AC45" s="718">
        <f t="shared" si="5"/>
        <v>1</v>
      </c>
    </row>
    <row r="46" spans="1:29" ht="20.25">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73"/>
      <c r="Q46" s="647">
        <f t="shared" si="14"/>
        <v>111</v>
      </c>
      <c r="R46" s="712" t="s">
        <v>942</v>
      </c>
      <c r="S46" s="713">
        <f t="shared" si="10"/>
        <v>100</v>
      </c>
      <c r="T46" s="712" t="s">
        <v>942</v>
      </c>
      <c r="U46" s="713">
        <f t="shared" si="11"/>
        <v>100</v>
      </c>
      <c r="V46" s="712" t="s">
        <v>942</v>
      </c>
      <c r="W46" s="713">
        <f t="shared" si="12"/>
        <v>100</v>
      </c>
      <c r="X46" s="707"/>
      <c r="Y46" s="3373"/>
      <c r="Z46" s="706">
        <f t="shared" si="13"/>
        <v>111</v>
      </c>
      <c r="AA46" s="718">
        <f t="shared" si="3"/>
        <v>1</v>
      </c>
      <c r="AB46" s="718">
        <f t="shared" si="4"/>
        <v>1</v>
      </c>
      <c r="AC46" s="718">
        <f t="shared" si="5"/>
        <v>1</v>
      </c>
    </row>
    <row r="47" spans="1:29" s="457" customFormat="1" ht="20.25">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73"/>
      <c r="Q47" s="647">
        <f t="shared" si="14"/>
        <v>111</v>
      </c>
      <c r="R47" s="715" t="s">
        <v>942</v>
      </c>
      <c r="S47" s="716">
        <f t="shared" si="10"/>
        <v>100</v>
      </c>
      <c r="T47" s="715" t="s">
        <v>942</v>
      </c>
      <c r="U47" s="716">
        <f t="shared" si="11"/>
        <v>100</v>
      </c>
      <c r="V47" s="715" t="s">
        <v>942</v>
      </c>
      <c r="W47" s="716">
        <f t="shared" si="12"/>
        <v>100</v>
      </c>
      <c r="X47" s="717"/>
      <c r="Y47" s="3373"/>
      <c r="Z47" s="729">
        <f t="shared" si="13"/>
        <v>111</v>
      </c>
      <c r="AA47" s="718">
        <f t="shared" si="3"/>
        <v>1</v>
      </c>
      <c r="AB47" s="718">
        <f t="shared" si="4"/>
        <v>1</v>
      </c>
      <c r="AC47" s="718">
        <f t="shared" si="5"/>
        <v>1</v>
      </c>
    </row>
    <row r="48" spans="1:29" ht="20.25">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69" t="str">
        <f>A48</f>
        <v>成交单价</v>
      </c>
      <c r="Q48" s="3369"/>
      <c r="R48" s="3378">
        <f>E48</f>
        <v>1977</v>
      </c>
      <c r="S48" s="3378"/>
      <c r="T48" s="3378">
        <f>G48</f>
        <v>2134</v>
      </c>
      <c r="U48" s="3378"/>
      <c r="V48" s="3378">
        <f>I48</f>
        <v>2305</v>
      </c>
      <c r="W48" s="3378"/>
      <c r="X48" s="594"/>
      <c r="Y48" s="730"/>
      <c r="Z48" s="594"/>
      <c r="AA48" s="594"/>
      <c r="AB48" s="594"/>
      <c r="AC48" s="594"/>
    </row>
    <row r="49" spans="1:29" ht="20.25">
      <c r="A49" s="575" t="s">
        <v>971</v>
      </c>
      <c r="B49" s="1766"/>
      <c r="C49" s="1767">
        <f>R50</f>
        <v>2320</v>
      </c>
      <c r="D49" s="1768"/>
      <c r="E49" s="1767">
        <f>R49</f>
        <v>2121</v>
      </c>
      <c r="F49" s="1769"/>
      <c r="G49" s="1770">
        <f>T49</f>
        <v>2289</v>
      </c>
      <c r="H49" s="1768"/>
      <c r="I49" s="1767">
        <f>V49</f>
        <v>2549</v>
      </c>
      <c r="J49" s="1768"/>
      <c r="K49" s="1806"/>
      <c r="L49" s="662"/>
      <c r="M49" s="639"/>
      <c r="N49" s="639"/>
      <c r="O49" s="583"/>
      <c r="P49" s="3369" t="str">
        <f>A49</f>
        <v>比较价格（元/平方米）</v>
      </c>
      <c r="Q49" s="3369"/>
      <c r="R49" s="3374">
        <f>ROUND(PRODUCT(R48,AA9:AA47),0)</f>
        <v>2121</v>
      </c>
      <c r="S49" s="3374"/>
      <c r="T49" s="3374">
        <f>ROUND(PRODUCT(T48,AB9:AB47),0)</f>
        <v>2289</v>
      </c>
      <c r="U49" s="3374"/>
      <c r="V49" s="3374">
        <f>ROUND(PRODUCT(V48,AC9:AC47),0)</f>
        <v>2549</v>
      </c>
      <c r="W49" s="3374"/>
      <c r="X49" s="594"/>
      <c r="Y49" s="594"/>
      <c r="Z49" s="594"/>
      <c r="AA49" s="594"/>
      <c r="AB49" s="594"/>
      <c r="AC49" s="594"/>
    </row>
    <row r="50" spans="1:29" ht="20.25">
      <c r="A50" s="580" t="s">
        <v>972</v>
      </c>
      <c r="B50" s="581"/>
      <c r="C50" s="1771">
        <f>R50</f>
        <v>2320</v>
      </c>
      <c r="D50" s="1771"/>
      <c r="E50" s="1771"/>
      <c r="F50" s="1771"/>
      <c r="G50" s="1771"/>
      <c r="H50" s="1771"/>
      <c r="I50" s="1771"/>
      <c r="J50" s="1771"/>
      <c r="K50" s="1807"/>
      <c r="L50" s="662"/>
      <c r="M50" s="639"/>
      <c r="N50" s="639"/>
      <c r="O50" s="583"/>
      <c r="P50" s="3375" t="str">
        <f>A50</f>
        <v>估价对象XX用房的比较价格（楼面单价，元/平方米）</v>
      </c>
      <c r="Q50" s="3376"/>
      <c r="R50" s="3377">
        <f>ROUND(AVERAGE(R49:V49),0)</f>
        <v>2320</v>
      </c>
      <c r="S50" s="3377"/>
      <c r="T50" s="3377"/>
      <c r="U50" s="3377"/>
      <c r="V50" s="3377"/>
      <c r="W50" s="3377"/>
      <c r="X50" s="594"/>
      <c r="Y50" s="594"/>
      <c r="Z50" s="594"/>
      <c r="AA50" s="594"/>
      <c r="AB50" s="594"/>
      <c r="AC50" s="594"/>
    </row>
    <row r="51" spans="1:29" ht="20.25">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0.25">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7.2837632776934669E-2</v>
      </c>
      <c r="F53" s="588" t="str">
        <f>IF(OR(E53&gt;=0.3,E53&lt;=-0.3),"超过30%","")</f>
        <v/>
      </c>
      <c r="G53" s="587">
        <f>IF(G48&lt;G49,G49/G48-1,G48/G49-1)</f>
        <v>7.2633552014995217E-2</v>
      </c>
      <c r="H53" s="588" t="str">
        <f>IF(OR(G53&gt;=0.3,G53&lt;=-0.3),"超过30%","")</f>
        <v/>
      </c>
      <c r="I53" s="587">
        <f>IF(I48&lt;I49,I49/I48-1,I48/I49-1)</f>
        <v>0.10585683297180037</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7.9207920792079278E-2</v>
      </c>
      <c r="F54" s="588" t="str">
        <f>IF(OR(E54&gt;=0.2,E54&lt;=-0.2),"超过20%","")</f>
        <v/>
      </c>
      <c r="G54" s="587">
        <f>IF(G49&lt;I49,I49/G49-1,G49/I49-1)</f>
        <v>0.11358671909130624</v>
      </c>
      <c r="H54" s="588" t="str">
        <f>IF(OR(G54&gt;=0.2,G54&lt;=-0.2),"超过20%","")</f>
        <v/>
      </c>
      <c r="I54" s="587">
        <f>IF(I49&lt;E49,E49/I49-1,I49/E49-1)</f>
        <v>0.20179160773220173</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0.25">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82" t="s">
        <v>982</v>
      </c>
      <c r="H57" s="3383"/>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2.75">
      <c r="A58" s="1778" t="s">
        <v>984</v>
      </c>
      <c r="B58" s="1779">
        <f>C50</f>
        <v>2320</v>
      </c>
      <c r="C58" s="1780">
        <v>1</v>
      </c>
      <c r="D58" s="1781">
        <v>1</v>
      </c>
      <c r="E58" s="1780">
        <f>'数据-汇总表'!E8+'数据-汇总表'!E9</f>
        <v>399009.6</v>
      </c>
      <c r="F58" s="2046">
        <f t="shared" ref="F58:F67" si="15">ROUND(B58*E58/10000,0)</f>
        <v>92570</v>
      </c>
      <c r="G58" s="3384"/>
      <c r="H58" s="3385"/>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985</v>
      </c>
      <c r="B59" s="1784">
        <f>ROUND($C$50*C59*D59,0)</f>
        <v>0</v>
      </c>
      <c r="C59" s="1547">
        <f t="shared" ref="C59:C67" si="16">IF($C$57="北京市系数",I59,J59)</f>
        <v>0</v>
      </c>
      <c r="D59" s="1785">
        <v>0.25</v>
      </c>
      <c r="E59" s="1786">
        <v>0</v>
      </c>
      <c r="F59" s="2046">
        <f t="shared" si="15"/>
        <v>0</v>
      </c>
      <c r="G59" s="3368"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987</v>
      </c>
      <c r="B60" s="1784">
        <f t="shared" ref="B60:B67" si="17">ROUND($C$50*C60*D60,0)</f>
        <v>0</v>
      </c>
      <c r="C60" s="1547">
        <f t="shared" si="16"/>
        <v>0</v>
      </c>
      <c r="D60" s="1785">
        <v>0.25</v>
      </c>
      <c r="E60" s="1786">
        <v>0</v>
      </c>
      <c r="F60" s="2046">
        <f t="shared" si="15"/>
        <v>0</v>
      </c>
      <c r="G60" s="3368"/>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988</v>
      </c>
      <c r="B61" s="1784">
        <f t="shared" si="17"/>
        <v>0</v>
      </c>
      <c r="C61" s="1547">
        <f t="shared" si="16"/>
        <v>0</v>
      </c>
      <c r="D61" s="1785">
        <v>0.25</v>
      </c>
      <c r="E61" s="1786">
        <v>0</v>
      </c>
      <c r="F61" s="2046">
        <f t="shared" si="15"/>
        <v>0</v>
      </c>
      <c r="G61" s="3368"/>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989</v>
      </c>
      <c r="B62" s="1784">
        <f t="shared" si="17"/>
        <v>0</v>
      </c>
      <c r="C62" s="1547">
        <f t="shared" si="16"/>
        <v>0</v>
      </c>
      <c r="D62" s="1785">
        <v>0.25</v>
      </c>
      <c r="E62" s="1786">
        <v>0</v>
      </c>
      <c r="F62" s="2046">
        <f t="shared" si="15"/>
        <v>0</v>
      </c>
      <c r="G62" s="3368"/>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995</v>
      </c>
      <c r="B68" s="1796" t="s">
        <v>996</v>
      </c>
      <c r="C68" s="1796" t="s">
        <v>996</v>
      </c>
      <c r="D68" s="1796" t="s">
        <v>996</v>
      </c>
      <c r="E68" s="1796">
        <f>IF(B48="楼面地价",SUM(E58:E67),'数据-汇总表'!D3)</f>
        <v>524379.19999999995</v>
      </c>
      <c r="F68" s="1797">
        <f>IF(B48="楼面地价",SUM(F58:F67),ROUND(C50*E68/10000,0))</f>
        <v>92570</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
      <c r="A71" s="593" t="s">
        <v>997</v>
      </c>
      <c r="B71" s="594"/>
      <c r="C71" s="595"/>
      <c r="D71" s="595"/>
      <c r="E71" s="595"/>
      <c r="F71" s="596"/>
      <c r="G71" s="596"/>
      <c r="H71" s="595"/>
      <c r="I71" s="595"/>
      <c r="J71" s="595"/>
      <c r="K71" s="670"/>
      <c r="L71" s="671"/>
      <c r="M71" s="595"/>
      <c r="N71" s="595"/>
      <c r="O71" s="672"/>
      <c r="P71" s="672"/>
      <c r="Q71" s="681"/>
      <c r="R71" s="583"/>
      <c r="S71" s="583"/>
      <c r="T71" s="583"/>
      <c r="U71" s="583"/>
      <c r="V71" s="583"/>
      <c r="W71" s="583"/>
      <c r="X71" s="583"/>
      <c r="Y71" s="583"/>
      <c r="Z71" s="583"/>
      <c r="AA71" s="583"/>
      <c r="AB71" s="583"/>
      <c r="AC71" s="583"/>
    </row>
    <row r="72" spans="1:29" s="459" customFormat="1" ht="15">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5">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ht="15">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7">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ht="15">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5">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ht="15">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ht="15">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5">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ht="15">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ht="15">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ht="15">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ht="15">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ht="15">
      <c r="A91" s="616"/>
      <c r="B91" s="621"/>
      <c r="C91" s="622">
        <v>100</v>
      </c>
      <c r="D91" s="622">
        <f>C91-$K17</f>
        <v>98</v>
      </c>
      <c r="E91" s="622">
        <f>D91-$K17</f>
        <v>96</v>
      </c>
      <c r="F91" s="622">
        <f>E91-$K17</f>
        <v>94</v>
      </c>
      <c r="G91" s="622">
        <f>F91-$K17</f>
        <v>92</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5">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ht="15">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5">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ht="15">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5">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ht="15">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7">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ht="15">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7">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ht="15">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5">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ht="15">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ht="15">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5">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ht="15">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7">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ht="15">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5">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ht="15">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ht="15">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ht="15">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ht="15">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8.5">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ht="15">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ht="15">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ht="15">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ht="15">
      <c r="A126" s="626"/>
      <c r="B126" s="621"/>
      <c r="C126" s="622">
        <v>100</v>
      </c>
      <c r="D126" s="622">
        <f>C126-$K43</f>
        <v>98</v>
      </c>
      <c r="E126" s="622">
        <f t="shared" ref="E126:M126" si="29">D126-$K43</f>
        <v>96</v>
      </c>
      <c r="F126" s="622">
        <f t="shared" si="29"/>
        <v>94</v>
      </c>
      <c r="G126" s="622">
        <f t="shared" si="29"/>
        <v>92</v>
      </c>
      <c r="H126" s="622">
        <f t="shared" si="29"/>
        <v>90</v>
      </c>
      <c r="I126" s="622">
        <f t="shared" si="29"/>
        <v>88</v>
      </c>
      <c r="J126" s="622">
        <f t="shared" si="29"/>
        <v>86</v>
      </c>
      <c r="K126" s="622">
        <f t="shared" si="29"/>
        <v>84</v>
      </c>
      <c r="L126" s="622">
        <f t="shared" si="29"/>
        <v>82</v>
      </c>
      <c r="M126" s="693">
        <f t="shared" si="29"/>
        <v>80</v>
      </c>
      <c r="N126" s="699"/>
      <c r="O126" s="699"/>
      <c r="P126" s="700"/>
      <c r="Q126" s="721"/>
      <c r="R126" s="722"/>
      <c r="S126" s="722"/>
      <c r="T126" s="722"/>
      <c r="U126" s="722"/>
      <c r="V126" s="722"/>
      <c r="W126" s="722"/>
      <c r="X126" s="722"/>
      <c r="Y126" s="722"/>
      <c r="Z126" s="722"/>
      <c r="AA126" s="722"/>
      <c r="AB126" s="722"/>
      <c r="AC126" s="722"/>
    </row>
    <row r="127" spans="1:29">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ht="15">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ht="15">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ht="15">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91" t="str">
        <f>项目基本情况!B1</f>
        <v>出让国有建设用地使用权抵押价格预评估</v>
      </c>
      <c r="C37" s="3191"/>
      <c r="D37" s="3191"/>
      <c r="E37" s="3191"/>
      <c r="F37" s="3191"/>
      <c r="G37" s="3191"/>
      <c r="H37" s="3191"/>
      <c r="I37" s="3191"/>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4"/>
  <sheetViews>
    <sheetView workbookViewId="0">
      <selection activeCell="A16" sqref="A16"/>
    </sheetView>
  </sheetViews>
  <sheetFormatPr defaultColWidth="9" defaultRowHeight="12.75"/>
  <cols>
    <col min="1" max="1" width="47.125" style="2029" customWidth="1"/>
    <col min="2" max="2" width="6.25" style="2029" customWidth="1"/>
    <col min="3" max="3" width="11.75" style="2029" customWidth="1"/>
    <col min="4" max="4" width="12.25" style="2029" customWidth="1"/>
    <col min="5" max="5" width="10.75" style="2029" customWidth="1"/>
    <col min="6" max="6" width="11.75" style="2029" customWidth="1"/>
    <col min="7" max="7" width="7.875" style="2029" customWidth="1"/>
    <col min="8" max="8" width="9" style="2029" customWidth="1"/>
    <col min="9" max="10" width="10.625" style="2029" customWidth="1"/>
    <col min="11" max="11" width="14.375" style="2029" customWidth="1"/>
    <col min="12" max="12" width="6.25" style="2029" customWidth="1"/>
    <col min="13" max="13" width="66.125" style="2029" customWidth="1"/>
    <col min="14" max="14" width="7.875" style="2029" customWidth="1"/>
    <col min="15" max="256" width="9" style="2029"/>
    <col min="257" max="257" width="47.125" style="2029" customWidth="1"/>
    <col min="258" max="258" width="6.25" style="2029" customWidth="1"/>
    <col min="259" max="259" width="11.75" style="2029" customWidth="1"/>
    <col min="260" max="260" width="12.25" style="2029" customWidth="1"/>
    <col min="261" max="261" width="10.75" style="2029" customWidth="1"/>
    <col min="262" max="262" width="11.75" style="2029" customWidth="1"/>
    <col min="263" max="263" width="7.875" style="2029" customWidth="1"/>
    <col min="264" max="264" width="9" style="2029" customWidth="1"/>
    <col min="265" max="266" width="10.625" style="2029" customWidth="1"/>
    <col min="267" max="267" width="14.375" style="2029" customWidth="1"/>
    <col min="268" max="268" width="6.25" style="2029" customWidth="1"/>
    <col min="269" max="269" width="66.125" style="2029" customWidth="1"/>
    <col min="270" max="270" width="7.875" style="2029" customWidth="1"/>
    <col min="271" max="512" width="9" style="2029"/>
    <col min="513" max="513" width="47.125" style="2029" customWidth="1"/>
    <col min="514" max="514" width="6.25" style="2029" customWidth="1"/>
    <col min="515" max="515" width="11.75" style="2029" customWidth="1"/>
    <col min="516" max="516" width="12.25" style="2029" customWidth="1"/>
    <col min="517" max="517" width="10.75" style="2029" customWidth="1"/>
    <col min="518" max="518" width="11.75" style="2029" customWidth="1"/>
    <col min="519" max="519" width="7.875" style="2029" customWidth="1"/>
    <col min="520" max="520" width="9" style="2029" customWidth="1"/>
    <col min="521" max="522" width="10.625" style="2029" customWidth="1"/>
    <col min="523" max="523" width="14.375" style="2029" customWidth="1"/>
    <col min="524" max="524" width="6.25" style="2029" customWidth="1"/>
    <col min="525" max="525" width="66.125" style="2029" customWidth="1"/>
    <col min="526" max="526" width="7.875" style="2029" customWidth="1"/>
    <col min="527" max="768" width="9" style="2029"/>
    <col min="769" max="769" width="47.125" style="2029" customWidth="1"/>
    <col min="770" max="770" width="6.25" style="2029" customWidth="1"/>
    <col min="771" max="771" width="11.75" style="2029" customWidth="1"/>
    <col min="772" max="772" width="12.25" style="2029" customWidth="1"/>
    <col min="773" max="773" width="10.75" style="2029" customWidth="1"/>
    <col min="774" max="774" width="11.75" style="2029" customWidth="1"/>
    <col min="775" max="775" width="7.875" style="2029" customWidth="1"/>
    <col min="776" max="776" width="9" style="2029" customWidth="1"/>
    <col min="777" max="778" width="10.625" style="2029" customWidth="1"/>
    <col min="779" max="779" width="14.375" style="2029" customWidth="1"/>
    <col min="780" max="780" width="6.25" style="2029" customWidth="1"/>
    <col min="781" max="781" width="66.125" style="2029" customWidth="1"/>
    <col min="782" max="782" width="7.875" style="2029" customWidth="1"/>
    <col min="783" max="1024" width="9" style="2029"/>
    <col min="1025" max="1025" width="47.125" style="2029" customWidth="1"/>
    <col min="1026" max="1026" width="6.25" style="2029" customWidth="1"/>
    <col min="1027" max="1027" width="11.75" style="2029" customWidth="1"/>
    <col min="1028" max="1028" width="12.25" style="2029" customWidth="1"/>
    <col min="1029" max="1029" width="10.75" style="2029" customWidth="1"/>
    <col min="1030" max="1030" width="11.75" style="2029" customWidth="1"/>
    <col min="1031" max="1031" width="7.875" style="2029" customWidth="1"/>
    <col min="1032" max="1032" width="9" style="2029" customWidth="1"/>
    <col min="1033" max="1034" width="10.625" style="2029" customWidth="1"/>
    <col min="1035" max="1035" width="14.375" style="2029" customWidth="1"/>
    <col min="1036" max="1036" width="6.25" style="2029" customWidth="1"/>
    <col min="1037" max="1037" width="66.125" style="2029" customWidth="1"/>
    <col min="1038" max="1038" width="7.875" style="2029" customWidth="1"/>
    <col min="1039" max="1280" width="9" style="2029"/>
    <col min="1281" max="1281" width="47.125" style="2029" customWidth="1"/>
    <col min="1282" max="1282" width="6.25" style="2029" customWidth="1"/>
    <col min="1283" max="1283" width="11.75" style="2029" customWidth="1"/>
    <col min="1284" max="1284" width="12.25" style="2029" customWidth="1"/>
    <col min="1285" max="1285" width="10.75" style="2029" customWidth="1"/>
    <col min="1286" max="1286" width="11.75" style="2029" customWidth="1"/>
    <col min="1287" max="1287" width="7.875" style="2029" customWidth="1"/>
    <col min="1288" max="1288" width="9" style="2029" customWidth="1"/>
    <col min="1289" max="1290" width="10.625" style="2029" customWidth="1"/>
    <col min="1291" max="1291" width="14.375" style="2029" customWidth="1"/>
    <col min="1292" max="1292" width="6.25" style="2029" customWidth="1"/>
    <col min="1293" max="1293" width="66.125" style="2029" customWidth="1"/>
    <col min="1294" max="1294" width="7.875" style="2029" customWidth="1"/>
    <col min="1295" max="1536" width="9" style="2029"/>
    <col min="1537" max="1537" width="47.125" style="2029" customWidth="1"/>
    <col min="1538" max="1538" width="6.25" style="2029" customWidth="1"/>
    <col min="1539" max="1539" width="11.75" style="2029" customWidth="1"/>
    <col min="1540" max="1540" width="12.25" style="2029" customWidth="1"/>
    <col min="1541" max="1541" width="10.75" style="2029" customWidth="1"/>
    <col min="1542" max="1542" width="11.75" style="2029" customWidth="1"/>
    <col min="1543" max="1543" width="7.875" style="2029" customWidth="1"/>
    <col min="1544" max="1544" width="9" style="2029" customWidth="1"/>
    <col min="1545" max="1546" width="10.625" style="2029" customWidth="1"/>
    <col min="1547" max="1547" width="14.375" style="2029" customWidth="1"/>
    <col min="1548" max="1548" width="6.25" style="2029" customWidth="1"/>
    <col min="1549" max="1549" width="66.125" style="2029" customWidth="1"/>
    <col min="1550" max="1550" width="7.875" style="2029" customWidth="1"/>
    <col min="1551" max="1792" width="9" style="2029"/>
    <col min="1793" max="1793" width="47.125" style="2029" customWidth="1"/>
    <col min="1794" max="1794" width="6.25" style="2029" customWidth="1"/>
    <col min="1795" max="1795" width="11.75" style="2029" customWidth="1"/>
    <col min="1796" max="1796" width="12.25" style="2029" customWidth="1"/>
    <col min="1797" max="1797" width="10.75" style="2029" customWidth="1"/>
    <col min="1798" max="1798" width="11.75" style="2029" customWidth="1"/>
    <col min="1799" max="1799" width="7.875" style="2029" customWidth="1"/>
    <col min="1800" max="1800" width="9" style="2029" customWidth="1"/>
    <col min="1801" max="1802" width="10.625" style="2029" customWidth="1"/>
    <col min="1803" max="1803" width="14.375" style="2029" customWidth="1"/>
    <col min="1804" max="1804" width="6.25" style="2029" customWidth="1"/>
    <col min="1805" max="1805" width="66.125" style="2029" customWidth="1"/>
    <col min="1806" max="1806" width="7.875" style="2029" customWidth="1"/>
    <col min="1807" max="2048" width="9" style="2029"/>
    <col min="2049" max="2049" width="47.125" style="2029" customWidth="1"/>
    <col min="2050" max="2050" width="6.25" style="2029" customWidth="1"/>
    <col min="2051" max="2051" width="11.75" style="2029" customWidth="1"/>
    <col min="2052" max="2052" width="12.25" style="2029" customWidth="1"/>
    <col min="2053" max="2053" width="10.75" style="2029" customWidth="1"/>
    <col min="2054" max="2054" width="11.75" style="2029" customWidth="1"/>
    <col min="2055" max="2055" width="7.875" style="2029" customWidth="1"/>
    <col min="2056" max="2056" width="9" style="2029" customWidth="1"/>
    <col min="2057" max="2058" width="10.625" style="2029" customWidth="1"/>
    <col min="2059" max="2059" width="14.375" style="2029" customWidth="1"/>
    <col min="2060" max="2060" width="6.25" style="2029" customWidth="1"/>
    <col min="2061" max="2061" width="66.125" style="2029" customWidth="1"/>
    <col min="2062" max="2062" width="7.875" style="2029" customWidth="1"/>
    <col min="2063" max="2304" width="9" style="2029"/>
    <col min="2305" max="2305" width="47.125" style="2029" customWidth="1"/>
    <col min="2306" max="2306" width="6.25" style="2029" customWidth="1"/>
    <col min="2307" max="2307" width="11.75" style="2029" customWidth="1"/>
    <col min="2308" max="2308" width="12.25" style="2029" customWidth="1"/>
    <col min="2309" max="2309" width="10.75" style="2029" customWidth="1"/>
    <col min="2310" max="2310" width="11.75" style="2029" customWidth="1"/>
    <col min="2311" max="2311" width="7.875" style="2029" customWidth="1"/>
    <col min="2312" max="2312" width="9" style="2029" customWidth="1"/>
    <col min="2313" max="2314" width="10.625" style="2029" customWidth="1"/>
    <col min="2315" max="2315" width="14.375" style="2029" customWidth="1"/>
    <col min="2316" max="2316" width="6.25" style="2029" customWidth="1"/>
    <col min="2317" max="2317" width="66.125" style="2029" customWidth="1"/>
    <col min="2318" max="2318" width="7.875" style="2029" customWidth="1"/>
    <col min="2319" max="2560" width="9" style="2029"/>
    <col min="2561" max="2561" width="47.125" style="2029" customWidth="1"/>
    <col min="2562" max="2562" width="6.25" style="2029" customWidth="1"/>
    <col min="2563" max="2563" width="11.75" style="2029" customWidth="1"/>
    <col min="2564" max="2564" width="12.25" style="2029" customWidth="1"/>
    <col min="2565" max="2565" width="10.75" style="2029" customWidth="1"/>
    <col min="2566" max="2566" width="11.75" style="2029" customWidth="1"/>
    <col min="2567" max="2567" width="7.875" style="2029" customWidth="1"/>
    <col min="2568" max="2568" width="9" style="2029" customWidth="1"/>
    <col min="2569" max="2570" width="10.625" style="2029" customWidth="1"/>
    <col min="2571" max="2571" width="14.375" style="2029" customWidth="1"/>
    <col min="2572" max="2572" width="6.25" style="2029" customWidth="1"/>
    <col min="2573" max="2573" width="66.125" style="2029" customWidth="1"/>
    <col min="2574" max="2574" width="7.875" style="2029" customWidth="1"/>
    <col min="2575" max="2816" width="9" style="2029"/>
    <col min="2817" max="2817" width="47.125" style="2029" customWidth="1"/>
    <col min="2818" max="2818" width="6.25" style="2029" customWidth="1"/>
    <col min="2819" max="2819" width="11.75" style="2029" customWidth="1"/>
    <col min="2820" max="2820" width="12.25" style="2029" customWidth="1"/>
    <col min="2821" max="2821" width="10.75" style="2029" customWidth="1"/>
    <col min="2822" max="2822" width="11.75" style="2029" customWidth="1"/>
    <col min="2823" max="2823" width="7.875" style="2029" customWidth="1"/>
    <col min="2824" max="2824" width="9" style="2029" customWidth="1"/>
    <col min="2825" max="2826" width="10.625" style="2029" customWidth="1"/>
    <col min="2827" max="2827" width="14.375" style="2029" customWidth="1"/>
    <col min="2828" max="2828" width="6.25" style="2029" customWidth="1"/>
    <col min="2829" max="2829" width="66.125" style="2029" customWidth="1"/>
    <col min="2830" max="2830" width="7.875" style="2029" customWidth="1"/>
    <col min="2831" max="3072" width="9" style="2029"/>
    <col min="3073" max="3073" width="47.125" style="2029" customWidth="1"/>
    <col min="3074" max="3074" width="6.25" style="2029" customWidth="1"/>
    <col min="3075" max="3075" width="11.75" style="2029" customWidth="1"/>
    <col min="3076" max="3076" width="12.25" style="2029" customWidth="1"/>
    <col min="3077" max="3077" width="10.75" style="2029" customWidth="1"/>
    <col min="3078" max="3078" width="11.75" style="2029" customWidth="1"/>
    <col min="3079" max="3079" width="7.875" style="2029" customWidth="1"/>
    <col min="3080" max="3080" width="9" style="2029" customWidth="1"/>
    <col min="3081" max="3082" width="10.625" style="2029" customWidth="1"/>
    <col min="3083" max="3083" width="14.375" style="2029" customWidth="1"/>
    <col min="3084" max="3084" width="6.25" style="2029" customWidth="1"/>
    <col min="3085" max="3085" width="66.125" style="2029" customWidth="1"/>
    <col min="3086" max="3086" width="7.875" style="2029" customWidth="1"/>
    <col min="3087" max="3328" width="9" style="2029"/>
    <col min="3329" max="3329" width="47.125" style="2029" customWidth="1"/>
    <col min="3330" max="3330" width="6.25" style="2029" customWidth="1"/>
    <col min="3331" max="3331" width="11.75" style="2029" customWidth="1"/>
    <col min="3332" max="3332" width="12.25" style="2029" customWidth="1"/>
    <col min="3333" max="3333" width="10.75" style="2029" customWidth="1"/>
    <col min="3334" max="3334" width="11.75" style="2029" customWidth="1"/>
    <col min="3335" max="3335" width="7.875" style="2029" customWidth="1"/>
    <col min="3336" max="3336" width="9" style="2029" customWidth="1"/>
    <col min="3337" max="3338" width="10.625" style="2029" customWidth="1"/>
    <col min="3339" max="3339" width="14.375" style="2029" customWidth="1"/>
    <col min="3340" max="3340" width="6.25" style="2029" customWidth="1"/>
    <col min="3341" max="3341" width="66.125" style="2029" customWidth="1"/>
    <col min="3342" max="3342" width="7.875" style="2029" customWidth="1"/>
    <col min="3343" max="3584" width="9" style="2029"/>
    <col min="3585" max="3585" width="47.125" style="2029" customWidth="1"/>
    <col min="3586" max="3586" width="6.25" style="2029" customWidth="1"/>
    <col min="3587" max="3587" width="11.75" style="2029" customWidth="1"/>
    <col min="3588" max="3588" width="12.25" style="2029" customWidth="1"/>
    <col min="3589" max="3589" width="10.75" style="2029" customWidth="1"/>
    <col min="3590" max="3590" width="11.75" style="2029" customWidth="1"/>
    <col min="3591" max="3591" width="7.875" style="2029" customWidth="1"/>
    <col min="3592" max="3592" width="9" style="2029" customWidth="1"/>
    <col min="3593" max="3594" width="10.625" style="2029" customWidth="1"/>
    <col min="3595" max="3595" width="14.375" style="2029" customWidth="1"/>
    <col min="3596" max="3596" width="6.25" style="2029" customWidth="1"/>
    <col min="3597" max="3597" width="66.125" style="2029" customWidth="1"/>
    <col min="3598" max="3598" width="7.875" style="2029" customWidth="1"/>
    <col min="3599" max="3840" width="9" style="2029"/>
    <col min="3841" max="3841" width="47.125" style="2029" customWidth="1"/>
    <col min="3842" max="3842" width="6.25" style="2029" customWidth="1"/>
    <col min="3843" max="3843" width="11.75" style="2029" customWidth="1"/>
    <col min="3844" max="3844" width="12.25" style="2029" customWidth="1"/>
    <col min="3845" max="3845" width="10.75" style="2029" customWidth="1"/>
    <col min="3846" max="3846" width="11.75" style="2029" customWidth="1"/>
    <col min="3847" max="3847" width="7.875" style="2029" customWidth="1"/>
    <col min="3848" max="3848" width="9" style="2029" customWidth="1"/>
    <col min="3849" max="3850" width="10.625" style="2029" customWidth="1"/>
    <col min="3851" max="3851" width="14.375" style="2029" customWidth="1"/>
    <col min="3852" max="3852" width="6.25" style="2029" customWidth="1"/>
    <col min="3853" max="3853" width="66.125" style="2029" customWidth="1"/>
    <col min="3854" max="3854" width="7.875" style="2029" customWidth="1"/>
    <col min="3855" max="4096" width="9" style="2029"/>
    <col min="4097" max="4097" width="47.125" style="2029" customWidth="1"/>
    <col min="4098" max="4098" width="6.25" style="2029" customWidth="1"/>
    <col min="4099" max="4099" width="11.75" style="2029" customWidth="1"/>
    <col min="4100" max="4100" width="12.25" style="2029" customWidth="1"/>
    <col min="4101" max="4101" width="10.75" style="2029" customWidth="1"/>
    <col min="4102" max="4102" width="11.75" style="2029" customWidth="1"/>
    <col min="4103" max="4103" width="7.875" style="2029" customWidth="1"/>
    <col min="4104" max="4104" width="9" style="2029" customWidth="1"/>
    <col min="4105" max="4106" width="10.625" style="2029" customWidth="1"/>
    <col min="4107" max="4107" width="14.375" style="2029" customWidth="1"/>
    <col min="4108" max="4108" width="6.25" style="2029" customWidth="1"/>
    <col min="4109" max="4109" width="66.125" style="2029" customWidth="1"/>
    <col min="4110" max="4110" width="7.875" style="2029" customWidth="1"/>
    <col min="4111" max="4352" width="9" style="2029"/>
    <col min="4353" max="4353" width="47.125" style="2029" customWidth="1"/>
    <col min="4354" max="4354" width="6.25" style="2029" customWidth="1"/>
    <col min="4355" max="4355" width="11.75" style="2029" customWidth="1"/>
    <col min="4356" max="4356" width="12.25" style="2029" customWidth="1"/>
    <col min="4357" max="4357" width="10.75" style="2029" customWidth="1"/>
    <col min="4358" max="4358" width="11.75" style="2029" customWidth="1"/>
    <col min="4359" max="4359" width="7.875" style="2029" customWidth="1"/>
    <col min="4360" max="4360" width="9" style="2029" customWidth="1"/>
    <col min="4361" max="4362" width="10.625" style="2029" customWidth="1"/>
    <col min="4363" max="4363" width="14.375" style="2029" customWidth="1"/>
    <col min="4364" max="4364" width="6.25" style="2029" customWidth="1"/>
    <col min="4365" max="4365" width="66.125" style="2029" customWidth="1"/>
    <col min="4366" max="4366" width="7.875" style="2029" customWidth="1"/>
    <col min="4367" max="4608" width="9" style="2029"/>
    <col min="4609" max="4609" width="47.125" style="2029" customWidth="1"/>
    <col min="4610" max="4610" width="6.25" style="2029" customWidth="1"/>
    <col min="4611" max="4611" width="11.75" style="2029" customWidth="1"/>
    <col min="4612" max="4612" width="12.25" style="2029" customWidth="1"/>
    <col min="4613" max="4613" width="10.75" style="2029" customWidth="1"/>
    <col min="4614" max="4614" width="11.75" style="2029" customWidth="1"/>
    <col min="4615" max="4615" width="7.875" style="2029" customWidth="1"/>
    <col min="4616" max="4616" width="9" style="2029" customWidth="1"/>
    <col min="4617" max="4618" width="10.625" style="2029" customWidth="1"/>
    <col min="4619" max="4619" width="14.375" style="2029" customWidth="1"/>
    <col min="4620" max="4620" width="6.25" style="2029" customWidth="1"/>
    <col min="4621" max="4621" width="66.125" style="2029" customWidth="1"/>
    <col min="4622" max="4622" width="7.875" style="2029" customWidth="1"/>
    <col min="4623" max="4864" width="9" style="2029"/>
    <col min="4865" max="4865" width="47.125" style="2029" customWidth="1"/>
    <col min="4866" max="4866" width="6.25" style="2029" customWidth="1"/>
    <col min="4867" max="4867" width="11.75" style="2029" customWidth="1"/>
    <col min="4868" max="4868" width="12.25" style="2029" customWidth="1"/>
    <col min="4869" max="4869" width="10.75" style="2029" customWidth="1"/>
    <col min="4870" max="4870" width="11.75" style="2029" customWidth="1"/>
    <col min="4871" max="4871" width="7.875" style="2029" customWidth="1"/>
    <col min="4872" max="4872" width="9" style="2029" customWidth="1"/>
    <col min="4873" max="4874" width="10.625" style="2029" customWidth="1"/>
    <col min="4875" max="4875" width="14.375" style="2029" customWidth="1"/>
    <col min="4876" max="4876" width="6.25" style="2029" customWidth="1"/>
    <col min="4877" max="4877" width="66.125" style="2029" customWidth="1"/>
    <col min="4878" max="4878" width="7.875" style="2029" customWidth="1"/>
    <col min="4879" max="5120" width="9" style="2029"/>
    <col min="5121" max="5121" width="47.125" style="2029" customWidth="1"/>
    <col min="5122" max="5122" width="6.25" style="2029" customWidth="1"/>
    <col min="5123" max="5123" width="11.75" style="2029" customWidth="1"/>
    <col min="5124" max="5124" width="12.25" style="2029" customWidth="1"/>
    <col min="5125" max="5125" width="10.75" style="2029" customWidth="1"/>
    <col min="5126" max="5126" width="11.75" style="2029" customWidth="1"/>
    <col min="5127" max="5127" width="7.875" style="2029" customWidth="1"/>
    <col min="5128" max="5128" width="9" style="2029" customWidth="1"/>
    <col min="5129" max="5130" width="10.625" style="2029" customWidth="1"/>
    <col min="5131" max="5131" width="14.375" style="2029" customWidth="1"/>
    <col min="5132" max="5132" width="6.25" style="2029" customWidth="1"/>
    <col min="5133" max="5133" width="66.125" style="2029" customWidth="1"/>
    <col min="5134" max="5134" width="7.875" style="2029" customWidth="1"/>
    <col min="5135" max="5376" width="9" style="2029"/>
    <col min="5377" max="5377" width="47.125" style="2029" customWidth="1"/>
    <col min="5378" max="5378" width="6.25" style="2029" customWidth="1"/>
    <col min="5379" max="5379" width="11.75" style="2029" customWidth="1"/>
    <col min="5380" max="5380" width="12.25" style="2029" customWidth="1"/>
    <col min="5381" max="5381" width="10.75" style="2029" customWidth="1"/>
    <col min="5382" max="5382" width="11.75" style="2029" customWidth="1"/>
    <col min="5383" max="5383" width="7.875" style="2029" customWidth="1"/>
    <col min="5384" max="5384" width="9" style="2029" customWidth="1"/>
    <col min="5385" max="5386" width="10.625" style="2029" customWidth="1"/>
    <col min="5387" max="5387" width="14.375" style="2029" customWidth="1"/>
    <col min="5388" max="5388" width="6.25" style="2029" customWidth="1"/>
    <col min="5389" max="5389" width="66.125" style="2029" customWidth="1"/>
    <col min="5390" max="5390" width="7.875" style="2029" customWidth="1"/>
    <col min="5391" max="5632" width="9" style="2029"/>
    <col min="5633" max="5633" width="47.125" style="2029" customWidth="1"/>
    <col min="5634" max="5634" width="6.25" style="2029" customWidth="1"/>
    <col min="5635" max="5635" width="11.75" style="2029" customWidth="1"/>
    <col min="5636" max="5636" width="12.25" style="2029" customWidth="1"/>
    <col min="5637" max="5637" width="10.75" style="2029" customWidth="1"/>
    <col min="5638" max="5638" width="11.75" style="2029" customWidth="1"/>
    <col min="5639" max="5639" width="7.875" style="2029" customWidth="1"/>
    <col min="5640" max="5640" width="9" style="2029" customWidth="1"/>
    <col min="5641" max="5642" width="10.625" style="2029" customWidth="1"/>
    <col min="5643" max="5643" width="14.375" style="2029" customWidth="1"/>
    <col min="5644" max="5644" width="6.25" style="2029" customWidth="1"/>
    <col min="5645" max="5645" width="66.125" style="2029" customWidth="1"/>
    <col min="5646" max="5646" width="7.875" style="2029" customWidth="1"/>
    <col min="5647" max="5888" width="9" style="2029"/>
    <col min="5889" max="5889" width="47.125" style="2029" customWidth="1"/>
    <col min="5890" max="5890" width="6.25" style="2029" customWidth="1"/>
    <col min="5891" max="5891" width="11.75" style="2029" customWidth="1"/>
    <col min="5892" max="5892" width="12.25" style="2029" customWidth="1"/>
    <col min="5893" max="5893" width="10.75" style="2029" customWidth="1"/>
    <col min="5894" max="5894" width="11.75" style="2029" customWidth="1"/>
    <col min="5895" max="5895" width="7.875" style="2029" customWidth="1"/>
    <col min="5896" max="5896" width="9" style="2029" customWidth="1"/>
    <col min="5897" max="5898" width="10.625" style="2029" customWidth="1"/>
    <col min="5899" max="5899" width="14.375" style="2029" customWidth="1"/>
    <col min="5900" max="5900" width="6.25" style="2029" customWidth="1"/>
    <col min="5901" max="5901" width="66.125" style="2029" customWidth="1"/>
    <col min="5902" max="5902" width="7.875" style="2029" customWidth="1"/>
    <col min="5903" max="6144" width="9" style="2029"/>
    <col min="6145" max="6145" width="47.125" style="2029" customWidth="1"/>
    <col min="6146" max="6146" width="6.25" style="2029" customWidth="1"/>
    <col min="6147" max="6147" width="11.75" style="2029" customWidth="1"/>
    <col min="6148" max="6148" width="12.25" style="2029" customWidth="1"/>
    <col min="6149" max="6149" width="10.75" style="2029" customWidth="1"/>
    <col min="6150" max="6150" width="11.75" style="2029" customWidth="1"/>
    <col min="6151" max="6151" width="7.875" style="2029" customWidth="1"/>
    <col min="6152" max="6152" width="9" style="2029" customWidth="1"/>
    <col min="6153" max="6154" width="10.625" style="2029" customWidth="1"/>
    <col min="6155" max="6155" width="14.375" style="2029" customWidth="1"/>
    <col min="6156" max="6156" width="6.25" style="2029" customWidth="1"/>
    <col min="6157" max="6157" width="66.125" style="2029" customWidth="1"/>
    <col min="6158" max="6158" width="7.875" style="2029" customWidth="1"/>
    <col min="6159" max="6400" width="9" style="2029"/>
    <col min="6401" max="6401" width="47.125" style="2029" customWidth="1"/>
    <col min="6402" max="6402" width="6.25" style="2029" customWidth="1"/>
    <col min="6403" max="6403" width="11.75" style="2029" customWidth="1"/>
    <col min="6404" max="6404" width="12.25" style="2029" customWidth="1"/>
    <col min="6405" max="6405" width="10.75" style="2029" customWidth="1"/>
    <col min="6406" max="6406" width="11.75" style="2029" customWidth="1"/>
    <col min="6407" max="6407" width="7.875" style="2029" customWidth="1"/>
    <col min="6408" max="6408" width="9" style="2029" customWidth="1"/>
    <col min="6409" max="6410" width="10.625" style="2029" customWidth="1"/>
    <col min="6411" max="6411" width="14.375" style="2029" customWidth="1"/>
    <col min="6412" max="6412" width="6.25" style="2029" customWidth="1"/>
    <col min="6413" max="6413" width="66.125" style="2029" customWidth="1"/>
    <col min="6414" max="6414" width="7.875" style="2029" customWidth="1"/>
    <col min="6415" max="6656" width="9" style="2029"/>
    <col min="6657" max="6657" width="47.125" style="2029" customWidth="1"/>
    <col min="6658" max="6658" width="6.25" style="2029" customWidth="1"/>
    <col min="6659" max="6659" width="11.75" style="2029" customWidth="1"/>
    <col min="6660" max="6660" width="12.25" style="2029" customWidth="1"/>
    <col min="6661" max="6661" width="10.75" style="2029" customWidth="1"/>
    <col min="6662" max="6662" width="11.75" style="2029" customWidth="1"/>
    <col min="6663" max="6663" width="7.875" style="2029" customWidth="1"/>
    <col min="6664" max="6664" width="9" style="2029" customWidth="1"/>
    <col min="6665" max="6666" width="10.625" style="2029" customWidth="1"/>
    <col min="6667" max="6667" width="14.375" style="2029" customWidth="1"/>
    <col min="6668" max="6668" width="6.25" style="2029" customWidth="1"/>
    <col min="6669" max="6669" width="66.125" style="2029" customWidth="1"/>
    <col min="6670" max="6670" width="7.875" style="2029" customWidth="1"/>
    <col min="6671" max="6912" width="9" style="2029"/>
    <col min="6913" max="6913" width="47.125" style="2029" customWidth="1"/>
    <col min="6914" max="6914" width="6.25" style="2029" customWidth="1"/>
    <col min="6915" max="6915" width="11.75" style="2029" customWidth="1"/>
    <col min="6916" max="6916" width="12.25" style="2029" customWidth="1"/>
    <col min="6917" max="6917" width="10.75" style="2029" customWidth="1"/>
    <col min="6918" max="6918" width="11.75" style="2029" customWidth="1"/>
    <col min="6919" max="6919" width="7.875" style="2029" customWidth="1"/>
    <col min="6920" max="6920" width="9" style="2029" customWidth="1"/>
    <col min="6921" max="6922" width="10.625" style="2029" customWidth="1"/>
    <col min="6923" max="6923" width="14.375" style="2029" customWidth="1"/>
    <col min="6924" max="6924" width="6.25" style="2029" customWidth="1"/>
    <col min="6925" max="6925" width="66.125" style="2029" customWidth="1"/>
    <col min="6926" max="6926" width="7.875" style="2029" customWidth="1"/>
    <col min="6927" max="7168" width="9" style="2029"/>
    <col min="7169" max="7169" width="47.125" style="2029" customWidth="1"/>
    <col min="7170" max="7170" width="6.25" style="2029" customWidth="1"/>
    <col min="7171" max="7171" width="11.75" style="2029" customWidth="1"/>
    <col min="7172" max="7172" width="12.25" style="2029" customWidth="1"/>
    <col min="7173" max="7173" width="10.75" style="2029" customWidth="1"/>
    <col min="7174" max="7174" width="11.75" style="2029" customWidth="1"/>
    <col min="7175" max="7175" width="7.875" style="2029" customWidth="1"/>
    <col min="7176" max="7176" width="9" style="2029" customWidth="1"/>
    <col min="7177" max="7178" width="10.625" style="2029" customWidth="1"/>
    <col min="7179" max="7179" width="14.375" style="2029" customWidth="1"/>
    <col min="7180" max="7180" width="6.25" style="2029" customWidth="1"/>
    <col min="7181" max="7181" width="66.125" style="2029" customWidth="1"/>
    <col min="7182" max="7182" width="7.875" style="2029" customWidth="1"/>
    <col min="7183" max="7424" width="9" style="2029"/>
    <col min="7425" max="7425" width="47.125" style="2029" customWidth="1"/>
    <col min="7426" max="7426" width="6.25" style="2029" customWidth="1"/>
    <col min="7427" max="7427" width="11.75" style="2029" customWidth="1"/>
    <col min="7428" max="7428" width="12.25" style="2029" customWidth="1"/>
    <col min="7429" max="7429" width="10.75" style="2029" customWidth="1"/>
    <col min="7430" max="7430" width="11.75" style="2029" customWidth="1"/>
    <col min="7431" max="7431" width="7.875" style="2029" customWidth="1"/>
    <col min="7432" max="7432" width="9" style="2029" customWidth="1"/>
    <col min="7433" max="7434" width="10.625" style="2029" customWidth="1"/>
    <col min="7435" max="7435" width="14.375" style="2029" customWidth="1"/>
    <col min="7436" max="7436" width="6.25" style="2029" customWidth="1"/>
    <col min="7437" max="7437" width="66.125" style="2029" customWidth="1"/>
    <col min="7438" max="7438" width="7.875" style="2029" customWidth="1"/>
    <col min="7439" max="7680" width="9" style="2029"/>
    <col min="7681" max="7681" width="47.125" style="2029" customWidth="1"/>
    <col min="7682" max="7682" width="6.25" style="2029" customWidth="1"/>
    <col min="7683" max="7683" width="11.75" style="2029" customWidth="1"/>
    <col min="7684" max="7684" width="12.25" style="2029" customWidth="1"/>
    <col min="7685" max="7685" width="10.75" style="2029" customWidth="1"/>
    <col min="7686" max="7686" width="11.75" style="2029" customWidth="1"/>
    <col min="7687" max="7687" width="7.875" style="2029" customWidth="1"/>
    <col min="7688" max="7688" width="9" style="2029" customWidth="1"/>
    <col min="7689" max="7690" width="10.625" style="2029" customWidth="1"/>
    <col min="7691" max="7691" width="14.375" style="2029" customWidth="1"/>
    <col min="7692" max="7692" width="6.25" style="2029" customWidth="1"/>
    <col min="7693" max="7693" width="66.125" style="2029" customWidth="1"/>
    <col min="7694" max="7694" width="7.875" style="2029" customWidth="1"/>
    <col min="7695" max="7936" width="9" style="2029"/>
    <col min="7937" max="7937" width="47.125" style="2029" customWidth="1"/>
    <col min="7938" max="7938" width="6.25" style="2029" customWidth="1"/>
    <col min="7939" max="7939" width="11.75" style="2029" customWidth="1"/>
    <col min="7940" max="7940" width="12.25" style="2029" customWidth="1"/>
    <col min="7941" max="7941" width="10.75" style="2029" customWidth="1"/>
    <col min="7942" max="7942" width="11.75" style="2029" customWidth="1"/>
    <col min="7943" max="7943" width="7.875" style="2029" customWidth="1"/>
    <col min="7944" max="7944" width="9" style="2029" customWidth="1"/>
    <col min="7945" max="7946" width="10.625" style="2029" customWidth="1"/>
    <col min="7947" max="7947" width="14.375" style="2029" customWidth="1"/>
    <col min="7948" max="7948" width="6.25" style="2029" customWidth="1"/>
    <col min="7949" max="7949" width="66.125" style="2029" customWidth="1"/>
    <col min="7950" max="7950" width="7.875" style="2029" customWidth="1"/>
    <col min="7951" max="8192" width="9" style="2029"/>
    <col min="8193" max="8193" width="47.125" style="2029" customWidth="1"/>
    <col min="8194" max="8194" width="6.25" style="2029" customWidth="1"/>
    <col min="8195" max="8195" width="11.75" style="2029" customWidth="1"/>
    <col min="8196" max="8196" width="12.25" style="2029" customWidth="1"/>
    <col min="8197" max="8197" width="10.75" style="2029" customWidth="1"/>
    <col min="8198" max="8198" width="11.75" style="2029" customWidth="1"/>
    <col min="8199" max="8199" width="7.875" style="2029" customWidth="1"/>
    <col min="8200" max="8200" width="9" style="2029" customWidth="1"/>
    <col min="8201" max="8202" width="10.625" style="2029" customWidth="1"/>
    <col min="8203" max="8203" width="14.375" style="2029" customWidth="1"/>
    <col min="8204" max="8204" width="6.25" style="2029" customWidth="1"/>
    <col min="8205" max="8205" width="66.125" style="2029" customWidth="1"/>
    <col min="8206" max="8206" width="7.875" style="2029" customWidth="1"/>
    <col min="8207" max="8448" width="9" style="2029"/>
    <col min="8449" max="8449" width="47.125" style="2029" customWidth="1"/>
    <col min="8450" max="8450" width="6.25" style="2029" customWidth="1"/>
    <col min="8451" max="8451" width="11.75" style="2029" customWidth="1"/>
    <col min="8452" max="8452" width="12.25" style="2029" customWidth="1"/>
    <col min="8453" max="8453" width="10.75" style="2029" customWidth="1"/>
    <col min="8454" max="8454" width="11.75" style="2029" customWidth="1"/>
    <col min="8455" max="8455" width="7.875" style="2029" customWidth="1"/>
    <col min="8456" max="8456" width="9" style="2029" customWidth="1"/>
    <col min="8457" max="8458" width="10.625" style="2029" customWidth="1"/>
    <col min="8459" max="8459" width="14.375" style="2029" customWidth="1"/>
    <col min="8460" max="8460" width="6.25" style="2029" customWidth="1"/>
    <col min="8461" max="8461" width="66.125" style="2029" customWidth="1"/>
    <col min="8462" max="8462" width="7.875" style="2029" customWidth="1"/>
    <col min="8463" max="8704" width="9" style="2029"/>
    <col min="8705" max="8705" width="47.125" style="2029" customWidth="1"/>
    <col min="8706" max="8706" width="6.25" style="2029" customWidth="1"/>
    <col min="8707" max="8707" width="11.75" style="2029" customWidth="1"/>
    <col min="8708" max="8708" width="12.25" style="2029" customWidth="1"/>
    <col min="8709" max="8709" width="10.75" style="2029" customWidth="1"/>
    <col min="8710" max="8710" width="11.75" style="2029" customWidth="1"/>
    <col min="8711" max="8711" width="7.875" style="2029" customWidth="1"/>
    <col min="8712" max="8712" width="9" style="2029" customWidth="1"/>
    <col min="8713" max="8714" width="10.625" style="2029" customWidth="1"/>
    <col min="8715" max="8715" width="14.375" style="2029" customWidth="1"/>
    <col min="8716" max="8716" width="6.25" style="2029" customWidth="1"/>
    <col min="8717" max="8717" width="66.125" style="2029" customWidth="1"/>
    <col min="8718" max="8718" width="7.875" style="2029" customWidth="1"/>
    <col min="8719" max="8960" width="9" style="2029"/>
    <col min="8961" max="8961" width="47.125" style="2029" customWidth="1"/>
    <col min="8962" max="8962" width="6.25" style="2029" customWidth="1"/>
    <col min="8963" max="8963" width="11.75" style="2029" customWidth="1"/>
    <col min="8964" max="8964" width="12.25" style="2029" customWidth="1"/>
    <col min="8965" max="8965" width="10.75" style="2029" customWidth="1"/>
    <col min="8966" max="8966" width="11.75" style="2029" customWidth="1"/>
    <col min="8967" max="8967" width="7.875" style="2029" customWidth="1"/>
    <col min="8968" max="8968" width="9" style="2029" customWidth="1"/>
    <col min="8969" max="8970" width="10.625" style="2029" customWidth="1"/>
    <col min="8971" max="8971" width="14.375" style="2029" customWidth="1"/>
    <col min="8972" max="8972" width="6.25" style="2029" customWidth="1"/>
    <col min="8973" max="8973" width="66.125" style="2029" customWidth="1"/>
    <col min="8974" max="8974" width="7.875" style="2029" customWidth="1"/>
    <col min="8975" max="9216" width="9" style="2029"/>
    <col min="9217" max="9217" width="47.125" style="2029" customWidth="1"/>
    <col min="9218" max="9218" width="6.25" style="2029" customWidth="1"/>
    <col min="9219" max="9219" width="11.75" style="2029" customWidth="1"/>
    <col min="9220" max="9220" width="12.25" style="2029" customWidth="1"/>
    <col min="9221" max="9221" width="10.75" style="2029" customWidth="1"/>
    <col min="9222" max="9222" width="11.75" style="2029" customWidth="1"/>
    <col min="9223" max="9223" width="7.875" style="2029" customWidth="1"/>
    <col min="9224" max="9224" width="9" style="2029" customWidth="1"/>
    <col min="9225" max="9226" width="10.625" style="2029" customWidth="1"/>
    <col min="9227" max="9227" width="14.375" style="2029" customWidth="1"/>
    <col min="9228" max="9228" width="6.25" style="2029" customWidth="1"/>
    <col min="9229" max="9229" width="66.125" style="2029" customWidth="1"/>
    <col min="9230" max="9230" width="7.875" style="2029" customWidth="1"/>
    <col min="9231" max="9472" width="9" style="2029"/>
    <col min="9473" max="9473" width="47.125" style="2029" customWidth="1"/>
    <col min="9474" max="9474" width="6.25" style="2029" customWidth="1"/>
    <col min="9475" max="9475" width="11.75" style="2029" customWidth="1"/>
    <col min="9476" max="9476" width="12.25" style="2029" customWidth="1"/>
    <col min="9477" max="9477" width="10.75" style="2029" customWidth="1"/>
    <col min="9478" max="9478" width="11.75" style="2029" customWidth="1"/>
    <col min="9479" max="9479" width="7.875" style="2029" customWidth="1"/>
    <col min="9480" max="9480" width="9" style="2029" customWidth="1"/>
    <col min="9481" max="9482" width="10.625" style="2029" customWidth="1"/>
    <col min="9483" max="9483" width="14.375" style="2029" customWidth="1"/>
    <col min="9484" max="9484" width="6.25" style="2029" customWidth="1"/>
    <col min="9485" max="9485" width="66.125" style="2029" customWidth="1"/>
    <col min="9486" max="9486" width="7.875" style="2029" customWidth="1"/>
    <col min="9487" max="9728" width="9" style="2029"/>
    <col min="9729" max="9729" width="47.125" style="2029" customWidth="1"/>
    <col min="9730" max="9730" width="6.25" style="2029" customWidth="1"/>
    <col min="9731" max="9731" width="11.75" style="2029" customWidth="1"/>
    <col min="9732" max="9732" width="12.25" style="2029" customWidth="1"/>
    <col min="9733" max="9733" width="10.75" style="2029" customWidth="1"/>
    <col min="9734" max="9734" width="11.75" style="2029" customWidth="1"/>
    <col min="9735" max="9735" width="7.875" style="2029" customWidth="1"/>
    <col min="9736" max="9736" width="9" style="2029" customWidth="1"/>
    <col min="9737" max="9738" width="10.625" style="2029" customWidth="1"/>
    <col min="9739" max="9739" width="14.375" style="2029" customWidth="1"/>
    <col min="9740" max="9740" width="6.25" style="2029" customWidth="1"/>
    <col min="9741" max="9741" width="66.125" style="2029" customWidth="1"/>
    <col min="9742" max="9742" width="7.875" style="2029" customWidth="1"/>
    <col min="9743" max="9984" width="9" style="2029"/>
    <col min="9985" max="9985" width="47.125" style="2029" customWidth="1"/>
    <col min="9986" max="9986" width="6.25" style="2029" customWidth="1"/>
    <col min="9987" max="9987" width="11.75" style="2029" customWidth="1"/>
    <col min="9988" max="9988" width="12.25" style="2029" customWidth="1"/>
    <col min="9989" max="9989" width="10.75" style="2029" customWidth="1"/>
    <col min="9990" max="9990" width="11.75" style="2029" customWidth="1"/>
    <col min="9991" max="9991" width="7.875" style="2029" customWidth="1"/>
    <col min="9992" max="9992" width="9" style="2029" customWidth="1"/>
    <col min="9993" max="9994" width="10.625" style="2029" customWidth="1"/>
    <col min="9995" max="9995" width="14.375" style="2029" customWidth="1"/>
    <col min="9996" max="9996" width="6.25" style="2029" customWidth="1"/>
    <col min="9997" max="9997" width="66.125" style="2029" customWidth="1"/>
    <col min="9998" max="9998" width="7.875" style="2029" customWidth="1"/>
    <col min="9999" max="10240" width="9" style="2029"/>
    <col min="10241" max="10241" width="47.125" style="2029" customWidth="1"/>
    <col min="10242" max="10242" width="6.25" style="2029" customWidth="1"/>
    <col min="10243" max="10243" width="11.75" style="2029" customWidth="1"/>
    <col min="10244" max="10244" width="12.25" style="2029" customWidth="1"/>
    <col min="10245" max="10245" width="10.75" style="2029" customWidth="1"/>
    <col min="10246" max="10246" width="11.75" style="2029" customWidth="1"/>
    <col min="10247" max="10247" width="7.875" style="2029" customWidth="1"/>
    <col min="10248" max="10248" width="9" style="2029" customWidth="1"/>
    <col min="10249" max="10250" width="10.625" style="2029" customWidth="1"/>
    <col min="10251" max="10251" width="14.375" style="2029" customWidth="1"/>
    <col min="10252" max="10252" width="6.25" style="2029" customWidth="1"/>
    <col min="10253" max="10253" width="66.125" style="2029" customWidth="1"/>
    <col min="10254" max="10254" width="7.875" style="2029" customWidth="1"/>
    <col min="10255" max="10496" width="9" style="2029"/>
    <col min="10497" max="10497" width="47.125" style="2029" customWidth="1"/>
    <col min="10498" max="10498" width="6.25" style="2029" customWidth="1"/>
    <col min="10499" max="10499" width="11.75" style="2029" customWidth="1"/>
    <col min="10500" max="10500" width="12.25" style="2029" customWidth="1"/>
    <col min="10501" max="10501" width="10.75" style="2029" customWidth="1"/>
    <col min="10502" max="10502" width="11.75" style="2029" customWidth="1"/>
    <col min="10503" max="10503" width="7.875" style="2029" customWidth="1"/>
    <col min="10504" max="10504" width="9" style="2029" customWidth="1"/>
    <col min="10505" max="10506" width="10.625" style="2029" customWidth="1"/>
    <col min="10507" max="10507" width="14.375" style="2029" customWidth="1"/>
    <col min="10508" max="10508" width="6.25" style="2029" customWidth="1"/>
    <col min="10509" max="10509" width="66.125" style="2029" customWidth="1"/>
    <col min="10510" max="10510" width="7.875" style="2029" customWidth="1"/>
    <col min="10511" max="10752" width="9" style="2029"/>
    <col min="10753" max="10753" width="47.125" style="2029" customWidth="1"/>
    <col min="10754" max="10754" width="6.25" style="2029" customWidth="1"/>
    <col min="10755" max="10755" width="11.75" style="2029" customWidth="1"/>
    <col min="10756" max="10756" width="12.25" style="2029" customWidth="1"/>
    <col min="10757" max="10757" width="10.75" style="2029" customWidth="1"/>
    <col min="10758" max="10758" width="11.75" style="2029" customWidth="1"/>
    <col min="10759" max="10759" width="7.875" style="2029" customWidth="1"/>
    <col min="10760" max="10760" width="9" style="2029" customWidth="1"/>
    <col min="10761" max="10762" width="10.625" style="2029" customWidth="1"/>
    <col min="10763" max="10763" width="14.375" style="2029" customWidth="1"/>
    <col min="10764" max="10764" width="6.25" style="2029" customWidth="1"/>
    <col min="10765" max="10765" width="66.125" style="2029" customWidth="1"/>
    <col min="10766" max="10766" width="7.875" style="2029" customWidth="1"/>
    <col min="10767" max="11008" width="9" style="2029"/>
    <col min="11009" max="11009" width="47.125" style="2029" customWidth="1"/>
    <col min="11010" max="11010" width="6.25" style="2029" customWidth="1"/>
    <col min="11011" max="11011" width="11.75" style="2029" customWidth="1"/>
    <col min="11012" max="11012" width="12.25" style="2029" customWidth="1"/>
    <col min="11013" max="11013" width="10.75" style="2029" customWidth="1"/>
    <col min="11014" max="11014" width="11.75" style="2029" customWidth="1"/>
    <col min="11015" max="11015" width="7.875" style="2029" customWidth="1"/>
    <col min="11016" max="11016" width="9" style="2029" customWidth="1"/>
    <col min="11017" max="11018" width="10.625" style="2029" customWidth="1"/>
    <col min="11019" max="11019" width="14.375" style="2029" customWidth="1"/>
    <col min="11020" max="11020" width="6.25" style="2029" customWidth="1"/>
    <col min="11021" max="11021" width="66.125" style="2029" customWidth="1"/>
    <col min="11022" max="11022" width="7.875" style="2029" customWidth="1"/>
    <col min="11023" max="11264" width="9" style="2029"/>
    <col min="11265" max="11265" width="47.125" style="2029" customWidth="1"/>
    <col min="11266" max="11266" width="6.25" style="2029" customWidth="1"/>
    <col min="11267" max="11267" width="11.75" style="2029" customWidth="1"/>
    <col min="11268" max="11268" width="12.25" style="2029" customWidth="1"/>
    <col min="11269" max="11269" width="10.75" style="2029" customWidth="1"/>
    <col min="11270" max="11270" width="11.75" style="2029" customWidth="1"/>
    <col min="11271" max="11271" width="7.875" style="2029" customWidth="1"/>
    <col min="11272" max="11272" width="9" style="2029" customWidth="1"/>
    <col min="11273" max="11274" width="10.625" style="2029" customWidth="1"/>
    <col min="11275" max="11275" width="14.375" style="2029" customWidth="1"/>
    <col min="11276" max="11276" width="6.25" style="2029" customWidth="1"/>
    <col min="11277" max="11277" width="66.125" style="2029" customWidth="1"/>
    <col min="11278" max="11278" width="7.875" style="2029" customWidth="1"/>
    <col min="11279" max="11520" width="9" style="2029"/>
    <col min="11521" max="11521" width="47.125" style="2029" customWidth="1"/>
    <col min="11522" max="11522" width="6.25" style="2029" customWidth="1"/>
    <col min="11523" max="11523" width="11.75" style="2029" customWidth="1"/>
    <col min="11524" max="11524" width="12.25" style="2029" customWidth="1"/>
    <col min="11525" max="11525" width="10.75" style="2029" customWidth="1"/>
    <col min="11526" max="11526" width="11.75" style="2029" customWidth="1"/>
    <col min="11527" max="11527" width="7.875" style="2029" customWidth="1"/>
    <col min="11528" max="11528" width="9" style="2029" customWidth="1"/>
    <col min="11529" max="11530" width="10.625" style="2029" customWidth="1"/>
    <col min="11531" max="11531" width="14.375" style="2029" customWidth="1"/>
    <col min="11532" max="11532" width="6.25" style="2029" customWidth="1"/>
    <col min="11533" max="11533" width="66.125" style="2029" customWidth="1"/>
    <col min="11534" max="11534" width="7.875" style="2029" customWidth="1"/>
    <col min="11535" max="11776" width="9" style="2029"/>
    <col min="11777" max="11777" width="47.125" style="2029" customWidth="1"/>
    <col min="11778" max="11778" width="6.25" style="2029" customWidth="1"/>
    <col min="11779" max="11779" width="11.75" style="2029" customWidth="1"/>
    <col min="11780" max="11780" width="12.25" style="2029" customWidth="1"/>
    <col min="11781" max="11781" width="10.75" style="2029" customWidth="1"/>
    <col min="11782" max="11782" width="11.75" style="2029" customWidth="1"/>
    <col min="11783" max="11783" width="7.875" style="2029" customWidth="1"/>
    <col min="11784" max="11784" width="9" style="2029" customWidth="1"/>
    <col min="11785" max="11786" width="10.625" style="2029" customWidth="1"/>
    <col min="11787" max="11787" width="14.375" style="2029" customWidth="1"/>
    <col min="11788" max="11788" width="6.25" style="2029" customWidth="1"/>
    <col min="11789" max="11789" width="66.125" style="2029" customWidth="1"/>
    <col min="11790" max="11790" width="7.875" style="2029" customWidth="1"/>
    <col min="11791" max="12032" width="9" style="2029"/>
    <col min="12033" max="12033" width="47.125" style="2029" customWidth="1"/>
    <col min="12034" max="12034" width="6.25" style="2029" customWidth="1"/>
    <col min="12035" max="12035" width="11.75" style="2029" customWidth="1"/>
    <col min="12036" max="12036" width="12.25" style="2029" customWidth="1"/>
    <col min="12037" max="12037" width="10.75" style="2029" customWidth="1"/>
    <col min="12038" max="12038" width="11.75" style="2029" customWidth="1"/>
    <col min="12039" max="12039" width="7.875" style="2029" customWidth="1"/>
    <col min="12040" max="12040" width="9" style="2029" customWidth="1"/>
    <col min="12041" max="12042" width="10.625" style="2029" customWidth="1"/>
    <col min="12043" max="12043" width="14.375" style="2029" customWidth="1"/>
    <col min="12044" max="12044" width="6.25" style="2029" customWidth="1"/>
    <col min="12045" max="12045" width="66.125" style="2029" customWidth="1"/>
    <col min="12046" max="12046" width="7.875" style="2029" customWidth="1"/>
    <col min="12047" max="12288" width="9" style="2029"/>
    <col min="12289" max="12289" width="47.125" style="2029" customWidth="1"/>
    <col min="12290" max="12290" width="6.25" style="2029" customWidth="1"/>
    <col min="12291" max="12291" width="11.75" style="2029" customWidth="1"/>
    <col min="12292" max="12292" width="12.25" style="2029" customWidth="1"/>
    <col min="12293" max="12293" width="10.75" style="2029" customWidth="1"/>
    <col min="12294" max="12294" width="11.75" style="2029" customWidth="1"/>
    <col min="12295" max="12295" width="7.875" style="2029" customWidth="1"/>
    <col min="12296" max="12296" width="9" style="2029" customWidth="1"/>
    <col min="12297" max="12298" width="10.625" style="2029" customWidth="1"/>
    <col min="12299" max="12299" width="14.375" style="2029" customWidth="1"/>
    <col min="12300" max="12300" width="6.25" style="2029" customWidth="1"/>
    <col min="12301" max="12301" width="66.125" style="2029" customWidth="1"/>
    <col min="12302" max="12302" width="7.875" style="2029" customWidth="1"/>
    <col min="12303" max="12544" width="9" style="2029"/>
    <col min="12545" max="12545" width="47.125" style="2029" customWidth="1"/>
    <col min="12546" max="12546" width="6.25" style="2029" customWidth="1"/>
    <col min="12547" max="12547" width="11.75" style="2029" customWidth="1"/>
    <col min="12548" max="12548" width="12.25" style="2029" customWidth="1"/>
    <col min="12549" max="12549" width="10.75" style="2029" customWidth="1"/>
    <col min="12550" max="12550" width="11.75" style="2029" customWidth="1"/>
    <col min="12551" max="12551" width="7.875" style="2029" customWidth="1"/>
    <col min="12552" max="12552" width="9" style="2029" customWidth="1"/>
    <col min="12553" max="12554" width="10.625" style="2029" customWidth="1"/>
    <col min="12555" max="12555" width="14.375" style="2029" customWidth="1"/>
    <col min="12556" max="12556" width="6.25" style="2029" customWidth="1"/>
    <col min="12557" max="12557" width="66.125" style="2029" customWidth="1"/>
    <col min="12558" max="12558" width="7.875" style="2029" customWidth="1"/>
    <col min="12559" max="12800" width="9" style="2029"/>
    <col min="12801" max="12801" width="47.125" style="2029" customWidth="1"/>
    <col min="12802" max="12802" width="6.25" style="2029" customWidth="1"/>
    <col min="12803" max="12803" width="11.75" style="2029" customWidth="1"/>
    <col min="12804" max="12804" width="12.25" style="2029" customWidth="1"/>
    <col min="12805" max="12805" width="10.75" style="2029" customWidth="1"/>
    <col min="12806" max="12806" width="11.75" style="2029" customWidth="1"/>
    <col min="12807" max="12807" width="7.875" style="2029" customWidth="1"/>
    <col min="12808" max="12808" width="9" style="2029" customWidth="1"/>
    <col min="12809" max="12810" width="10.625" style="2029" customWidth="1"/>
    <col min="12811" max="12811" width="14.375" style="2029" customWidth="1"/>
    <col min="12812" max="12812" width="6.25" style="2029" customWidth="1"/>
    <col min="12813" max="12813" width="66.125" style="2029" customWidth="1"/>
    <col min="12814" max="12814" width="7.875" style="2029" customWidth="1"/>
    <col min="12815" max="13056" width="9" style="2029"/>
    <col min="13057" max="13057" width="47.125" style="2029" customWidth="1"/>
    <col min="13058" max="13058" width="6.25" style="2029" customWidth="1"/>
    <col min="13059" max="13059" width="11.75" style="2029" customWidth="1"/>
    <col min="13060" max="13060" width="12.25" style="2029" customWidth="1"/>
    <col min="13061" max="13061" width="10.75" style="2029" customWidth="1"/>
    <col min="13062" max="13062" width="11.75" style="2029" customWidth="1"/>
    <col min="13063" max="13063" width="7.875" style="2029" customWidth="1"/>
    <col min="13064" max="13064" width="9" style="2029" customWidth="1"/>
    <col min="13065" max="13066" width="10.625" style="2029" customWidth="1"/>
    <col min="13067" max="13067" width="14.375" style="2029" customWidth="1"/>
    <col min="13068" max="13068" width="6.25" style="2029" customWidth="1"/>
    <col min="13069" max="13069" width="66.125" style="2029" customWidth="1"/>
    <col min="13070" max="13070" width="7.875" style="2029" customWidth="1"/>
    <col min="13071" max="13312" width="9" style="2029"/>
    <col min="13313" max="13313" width="47.125" style="2029" customWidth="1"/>
    <col min="13314" max="13314" width="6.25" style="2029" customWidth="1"/>
    <col min="13315" max="13315" width="11.75" style="2029" customWidth="1"/>
    <col min="13316" max="13316" width="12.25" style="2029" customWidth="1"/>
    <col min="13317" max="13317" width="10.75" style="2029" customWidth="1"/>
    <col min="13318" max="13318" width="11.75" style="2029" customWidth="1"/>
    <col min="13319" max="13319" width="7.875" style="2029" customWidth="1"/>
    <col min="13320" max="13320" width="9" style="2029" customWidth="1"/>
    <col min="13321" max="13322" width="10.625" style="2029" customWidth="1"/>
    <col min="13323" max="13323" width="14.375" style="2029" customWidth="1"/>
    <col min="13324" max="13324" width="6.25" style="2029" customWidth="1"/>
    <col min="13325" max="13325" width="66.125" style="2029" customWidth="1"/>
    <col min="13326" max="13326" width="7.875" style="2029" customWidth="1"/>
    <col min="13327" max="13568" width="9" style="2029"/>
    <col min="13569" max="13569" width="47.125" style="2029" customWidth="1"/>
    <col min="13570" max="13570" width="6.25" style="2029" customWidth="1"/>
    <col min="13571" max="13571" width="11.75" style="2029" customWidth="1"/>
    <col min="13572" max="13572" width="12.25" style="2029" customWidth="1"/>
    <col min="13573" max="13573" width="10.75" style="2029" customWidth="1"/>
    <col min="13574" max="13574" width="11.75" style="2029" customWidth="1"/>
    <col min="13575" max="13575" width="7.875" style="2029" customWidth="1"/>
    <col min="13576" max="13576" width="9" style="2029" customWidth="1"/>
    <col min="13577" max="13578" width="10.625" style="2029" customWidth="1"/>
    <col min="13579" max="13579" width="14.375" style="2029" customWidth="1"/>
    <col min="13580" max="13580" width="6.25" style="2029" customWidth="1"/>
    <col min="13581" max="13581" width="66.125" style="2029" customWidth="1"/>
    <col min="13582" max="13582" width="7.875" style="2029" customWidth="1"/>
    <col min="13583" max="13824" width="9" style="2029"/>
    <col min="13825" max="13825" width="47.125" style="2029" customWidth="1"/>
    <col min="13826" max="13826" width="6.25" style="2029" customWidth="1"/>
    <col min="13827" max="13827" width="11.75" style="2029" customWidth="1"/>
    <col min="13828" max="13828" width="12.25" style="2029" customWidth="1"/>
    <col min="13829" max="13829" width="10.75" style="2029" customWidth="1"/>
    <col min="13830" max="13830" width="11.75" style="2029" customWidth="1"/>
    <col min="13831" max="13831" width="7.875" style="2029" customWidth="1"/>
    <col min="13832" max="13832" width="9" style="2029" customWidth="1"/>
    <col min="13833" max="13834" width="10.625" style="2029" customWidth="1"/>
    <col min="13835" max="13835" width="14.375" style="2029" customWidth="1"/>
    <col min="13836" max="13836" width="6.25" style="2029" customWidth="1"/>
    <col min="13837" max="13837" width="66.125" style="2029" customWidth="1"/>
    <col min="13838" max="13838" width="7.875" style="2029" customWidth="1"/>
    <col min="13839" max="14080" width="9" style="2029"/>
    <col min="14081" max="14081" width="47.125" style="2029" customWidth="1"/>
    <col min="14082" max="14082" width="6.25" style="2029" customWidth="1"/>
    <col min="14083" max="14083" width="11.75" style="2029" customWidth="1"/>
    <col min="14084" max="14084" width="12.25" style="2029" customWidth="1"/>
    <col min="14085" max="14085" width="10.75" style="2029" customWidth="1"/>
    <col min="14086" max="14086" width="11.75" style="2029" customWidth="1"/>
    <col min="14087" max="14087" width="7.875" style="2029" customWidth="1"/>
    <col min="14088" max="14088" width="9" style="2029" customWidth="1"/>
    <col min="14089" max="14090" width="10.625" style="2029" customWidth="1"/>
    <col min="14091" max="14091" width="14.375" style="2029" customWidth="1"/>
    <col min="14092" max="14092" width="6.25" style="2029" customWidth="1"/>
    <col min="14093" max="14093" width="66.125" style="2029" customWidth="1"/>
    <col min="14094" max="14094" width="7.875" style="2029" customWidth="1"/>
    <col min="14095" max="14336" width="9" style="2029"/>
    <col min="14337" max="14337" width="47.125" style="2029" customWidth="1"/>
    <col min="14338" max="14338" width="6.25" style="2029" customWidth="1"/>
    <col min="14339" max="14339" width="11.75" style="2029" customWidth="1"/>
    <col min="14340" max="14340" width="12.25" style="2029" customWidth="1"/>
    <col min="14341" max="14341" width="10.75" style="2029" customWidth="1"/>
    <col min="14342" max="14342" width="11.75" style="2029" customWidth="1"/>
    <col min="14343" max="14343" width="7.875" style="2029" customWidth="1"/>
    <col min="14344" max="14344" width="9" style="2029" customWidth="1"/>
    <col min="14345" max="14346" width="10.625" style="2029" customWidth="1"/>
    <col min="14347" max="14347" width="14.375" style="2029" customWidth="1"/>
    <col min="14348" max="14348" width="6.25" style="2029" customWidth="1"/>
    <col min="14349" max="14349" width="66.125" style="2029" customWidth="1"/>
    <col min="14350" max="14350" width="7.875" style="2029" customWidth="1"/>
    <col min="14351" max="14592" width="9" style="2029"/>
    <col min="14593" max="14593" width="47.125" style="2029" customWidth="1"/>
    <col min="14594" max="14594" width="6.25" style="2029" customWidth="1"/>
    <col min="14595" max="14595" width="11.75" style="2029" customWidth="1"/>
    <col min="14596" max="14596" width="12.25" style="2029" customWidth="1"/>
    <col min="14597" max="14597" width="10.75" style="2029" customWidth="1"/>
    <col min="14598" max="14598" width="11.75" style="2029" customWidth="1"/>
    <col min="14599" max="14599" width="7.875" style="2029" customWidth="1"/>
    <col min="14600" max="14600" width="9" style="2029" customWidth="1"/>
    <col min="14601" max="14602" width="10.625" style="2029" customWidth="1"/>
    <col min="14603" max="14603" width="14.375" style="2029" customWidth="1"/>
    <col min="14604" max="14604" width="6.25" style="2029" customWidth="1"/>
    <col min="14605" max="14605" width="66.125" style="2029" customWidth="1"/>
    <col min="14606" max="14606" width="7.875" style="2029" customWidth="1"/>
    <col min="14607" max="14848" width="9" style="2029"/>
    <col min="14849" max="14849" width="47.125" style="2029" customWidth="1"/>
    <col min="14850" max="14850" width="6.25" style="2029" customWidth="1"/>
    <col min="14851" max="14851" width="11.75" style="2029" customWidth="1"/>
    <col min="14852" max="14852" width="12.25" style="2029" customWidth="1"/>
    <col min="14853" max="14853" width="10.75" style="2029" customWidth="1"/>
    <col min="14854" max="14854" width="11.75" style="2029" customWidth="1"/>
    <col min="14855" max="14855" width="7.875" style="2029" customWidth="1"/>
    <col min="14856" max="14856" width="9" style="2029" customWidth="1"/>
    <col min="14857" max="14858" width="10.625" style="2029" customWidth="1"/>
    <col min="14859" max="14859" width="14.375" style="2029" customWidth="1"/>
    <col min="14860" max="14860" width="6.25" style="2029" customWidth="1"/>
    <col min="14861" max="14861" width="66.125" style="2029" customWidth="1"/>
    <col min="14862" max="14862" width="7.875" style="2029" customWidth="1"/>
    <col min="14863" max="15104" width="9" style="2029"/>
    <col min="15105" max="15105" width="47.125" style="2029" customWidth="1"/>
    <col min="15106" max="15106" width="6.25" style="2029" customWidth="1"/>
    <col min="15107" max="15107" width="11.75" style="2029" customWidth="1"/>
    <col min="15108" max="15108" width="12.25" style="2029" customWidth="1"/>
    <col min="15109" max="15109" width="10.75" style="2029" customWidth="1"/>
    <col min="15110" max="15110" width="11.75" style="2029" customWidth="1"/>
    <col min="15111" max="15111" width="7.875" style="2029" customWidth="1"/>
    <col min="15112" max="15112" width="9" style="2029" customWidth="1"/>
    <col min="15113" max="15114" width="10.625" style="2029" customWidth="1"/>
    <col min="15115" max="15115" width="14.375" style="2029" customWidth="1"/>
    <col min="15116" max="15116" width="6.25" style="2029" customWidth="1"/>
    <col min="15117" max="15117" width="66.125" style="2029" customWidth="1"/>
    <col min="15118" max="15118" width="7.875" style="2029" customWidth="1"/>
    <col min="15119" max="15360" width="9" style="2029"/>
    <col min="15361" max="15361" width="47.125" style="2029" customWidth="1"/>
    <col min="15362" max="15362" width="6.25" style="2029" customWidth="1"/>
    <col min="15363" max="15363" width="11.75" style="2029" customWidth="1"/>
    <col min="15364" max="15364" width="12.25" style="2029" customWidth="1"/>
    <col min="15365" max="15365" width="10.75" style="2029" customWidth="1"/>
    <col min="15366" max="15366" width="11.75" style="2029" customWidth="1"/>
    <col min="15367" max="15367" width="7.875" style="2029" customWidth="1"/>
    <col min="15368" max="15368" width="9" style="2029" customWidth="1"/>
    <col min="15369" max="15370" width="10.625" style="2029" customWidth="1"/>
    <col min="15371" max="15371" width="14.375" style="2029" customWidth="1"/>
    <col min="15372" max="15372" width="6.25" style="2029" customWidth="1"/>
    <col min="15373" max="15373" width="66.125" style="2029" customWidth="1"/>
    <col min="15374" max="15374" width="7.875" style="2029" customWidth="1"/>
    <col min="15375" max="15616" width="9" style="2029"/>
    <col min="15617" max="15617" width="47.125" style="2029" customWidth="1"/>
    <col min="15618" max="15618" width="6.25" style="2029" customWidth="1"/>
    <col min="15619" max="15619" width="11.75" style="2029" customWidth="1"/>
    <col min="15620" max="15620" width="12.25" style="2029" customWidth="1"/>
    <col min="15621" max="15621" width="10.75" style="2029" customWidth="1"/>
    <col min="15622" max="15622" width="11.75" style="2029" customWidth="1"/>
    <col min="15623" max="15623" width="7.875" style="2029" customWidth="1"/>
    <col min="15624" max="15624" width="9" style="2029" customWidth="1"/>
    <col min="15625" max="15626" width="10.625" style="2029" customWidth="1"/>
    <col min="15627" max="15627" width="14.375" style="2029" customWidth="1"/>
    <col min="15628" max="15628" width="6.25" style="2029" customWidth="1"/>
    <col min="15629" max="15629" width="66.125" style="2029" customWidth="1"/>
    <col min="15630" max="15630" width="7.875" style="2029" customWidth="1"/>
    <col min="15631" max="15872" width="9" style="2029"/>
    <col min="15873" max="15873" width="47.125" style="2029" customWidth="1"/>
    <col min="15874" max="15874" width="6.25" style="2029" customWidth="1"/>
    <col min="15875" max="15875" width="11.75" style="2029" customWidth="1"/>
    <col min="15876" max="15876" width="12.25" style="2029" customWidth="1"/>
    <col min="15877" max="15877" width="10.75" style="2029" customWidth="1"/>
    <col min="15878" max="15878" width="11.75" style="2029" customWidth="1"/>
    <col min="15879" max="15879" width="7.875" style="2029" customWidth="1"/>
    <col min="15880" max="15880" width="9" style="2029" customWidth="1"/>
    <col min="15881" max="15882" width="10.625" style="2029" customWidth="1"/>
    <col min="15883" max="15883" width="14.375" style="2029" customWidth="1"/>
    <col min="15884" max="15884" width="6.25" style="2029" customWidth="1"/>
    <col min="15885" max="15885" width="66.125" style="2029" customWidth="1"/>
    <col min="15886" max="15886" width="7.875" style="2029" customWidth="1"/>
    <col min="15887" max="16128" width="9" style="2029"/>
    <col min="16129" max="16129" width="47.125" style="2029" customWidth="1"/>
    <col min="16130" max="16130" width="6.25" style="2029" customWidth="1"/>
    <col min="16131" max="16131" width="11.75" style="2029" customWidth="1"/>
    <col min="16132" max="16132" width="12.25" style="2029" customWidth="1"/>
    <col min="16133" max="16133" width="10.75" style="2029" customWidth="1"/>
    <col min="16134" max="16134" width="11.75" style="2029" customWidth="1"/>
    <col min="16135" max="16135" width="7.875" style="2029" customWidth="1"/>
    <col min="16136" max="16136" width="9" style="2029" customWidth="1"/>
    <col min="16137" max="16138" width="10.625" style="2029" customWidth="1"/>
    <col min="16139" max="16139" width="14.375" style="2029" customWidth="1"/>
    <col min="16140" max="16140" width="6.25" style="2029" customWidth="1"/>
    <col min="16141" max="16141" width="66.125" style="2029" customWidth="1"/>
    <col min="16142" max="16142" width="7.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3190" t="s">
        <v>2449</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2450</v>
      </c>
      <c r="B16" s="2028" t="s">
        <v>1026</v>
      </c>
      <c r="C16" s="2028" t="s">
        <v>1027</v>
      </c>
      <c r="D16" s="2028">
        <v>33337.599999999999</v>
      </c>
      <c r="E16" s="2028">
        <v>166688</v>
      </c>
      <c r="F16" s="2028" t="s">
        <v>1076</v>
      </c>
      <c r="G16" s="2028" t="s">
        <v>1029</v>
      </c>
      <c r="H16" s="2028" t="s">
        <v>1077</v>
      </c>
      <c r="I16" s="2028" t="s">
        <v>1063</v>
      </c>
      <c r="J16" s="2028">
        <v>38421.58</v>
      </c>
      <c r="K16" s="2028">
        <v>2305</v>
      </c>
      <c r="L16" s="2028" t="s">
        <v>1063</v>
      </c>
      <c r="M16" s="2028" t="s">
        <v>1078</v>
      </c>
      <c r="N16" s="2028" t="s">
        <v>1041</v>
      </c>
    </row>
    <row r="203" spans="10:11">
      <c r="K203" s="3182" t="s">
        <v>2445</v>
      </c>
    </row>
    <row r="204" spans="10:11">
      <c r="J204" s="2029">
        <v>2019.4</v>
      </c>
      <c r="K204" s="2029">
        <v>0.61</v>
      </c>
    </row>
    <row r="205" spans="10:11">
      <c r="J205" s="2029">
        <v>2019.3</v>
      </c>
      <c r="K205" s="2029">
        <v>1.01</v>
      </c>
    </row>
    <row r="206" spans="10:11">
      <c r="J206" s="2029">
        <v>2019.2</v>
      </c>
      <c r="K206" s="2029">
        <v>0.43</v>
      </c>
    </row>
    <row r="207" spans="10:11">
      <c r="J207" s="2029">
        <v>2019.1</v>
      </c>
      <c r="K207" s="2029">
        <v>0.49</v>
      </c>
    </row>
    <row r="208" spans="10:11">
      <c r="J208" s="2029">
        <v>2018.4</v>
      </c>
      <c r="K208" s="2029">
        <v>1.1100000000000001</v>
      </c>
    </row>
    <row r="209" spans="10:11">
      <c r="J209" s="2029">
        <v>2018.3</v>
      </c>
      <c r="K209" s="2029">
        <v>1.08</v>
      </c>
    </row>
    <row r="210" spans="10:11">
      <c r="J210" s="2029">
        <v>2018.2</v>
      </c>
      <c r="K210" s="2029">
        <v>0.95</v>
      </c>
    </row>
    <row r="211" spans="10:11">
      <c r="J211" s="2029">
        <v>2018.1</v>
      </c>
      <c r="K211" s="2029">
        <v>0.67</v>
      </c>
    </row>
    <row r="212" spans="10:11">
      <c r="J212" s="2029">
        <v>2017.4</v>
      </c>
      <c r="K212" s="2029">
        <v>1.17</v>
      </c>
    </row>
    <row r="213" spans="10:11">
      <c r="J213" s="2029">
        <v>2017.3</v>
      </c>
      <c r="K213" s="2029">
        <v>1.23</v>
      </c>
    </row>
    <row r="214" spans="10:11">
      <c r="J214" s="2029">
        <v>2017.2</v>
      </c>
      <c r="K214" s="2029">
        <v>1.0900000000000001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9"/>
  <sheetViews>
    <sheetView topLeftCell="B4" workbookViewId="0">
      <selection activeCell="E43" sqref="E43"/>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11.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350" customFormat="1" ht="20.25">
      <c r="A1" s="1948" t="s">
        <v>1079</v>
      </c>
      <c r="B1" s="1847"/>
      <c r="C1" s="1848"/>
      <c r="D1" s="1848"/>
      <c r="E1" s="1848"/>
      <c r="F1" s="1848"/>
      <c r="G1" s="1848"/>
      <c r="H1" s="1848"/>
      <c r="I1" s="1848"/>
      <c r="J1" s="1848"/>
      <c r="K1" s="1932">
        <f>MATCH(B1,'数据-取费表'!A6:A16,0)+5</f>
        <v>11</v>
      </c>
    </row>
    <row r="2" spans="1:31" s="350" customFormat="1" ht="18" customHeight="1">
      <c r="A2" s="1949" t="s">
        <v>926</v>
      </c>
      <c r="B2" s="1950">
        <f ca="1">C36</f>
        <v>142805</v>
      </c>
      <c r="C2" s="1848"/>
      <c r="D2" s="1848"/>
      <c r="E2" s="1848"/>
      <c r="F2" s="1848"/>
      <c r="G2" s="1848"/>
      <c r="H2" s="1848"/>
      <c r="I2" s="1848"/>
      <c r="J2" s="1848"/>
      <c r="K2" s="1848"/>
    </row>
    <row r="3" spans="1:31" s="350" customFormat="1" ht="18" customHeight="1">
      <c r="A3" s="1951" t="s">
        <v>927</v>
      </c>
      <c r="B3" s="1952">
        <f ca="1">ROUND(B2*10000/IF(B1="",'数据-汇总表'!E3,INDIRECT("'数据-取费表'!K"&amp;$K$1)),0)</f>
        <v>2721</v>
      </c>
      <c r="C3" s="1848"/>
      <c r="D3" s="1848"/>
      <c r="E3" s="1848"/>
      <c r="F3" s="1848"/>
      <c r="G3" s="1848"/>
      <c r="H3" s="1848"/>
      <c r="I3" s="1848"/>
      <c r="J3" s="1848"/>
      <c r="K3" s="1848"/>
    </row>
    <row r="4" spans="1:31" s="350" customFormat="1" ht="18" customHeight="1">
      <c r="A4" s="840" t="s">
        <v>1080</v>
      </c>
      <c r="B4" s="841">
        <f ca="1">ROUND(B2*10000/IF(B1="",'数据-汇总表'!D3,INDIRECT("'数据-取费表'!R"&amp;$K$1)),0)</f>
        <v>12884</v>
      </c>
      <c r="C4" s="726"/>
      <c r="D4" s="1932"/>
      <c r="E4" s="1932"/>
      <c r="F4" s="1932"/>
      <c r="G4" s="1932"/>
      <c r="H4" s="1932"/>
      <c r="I4" s="1932"/>
      <c r="J4" s="1932"/>
      <c r="K4" s="1932"/>
    </row>
    <row r="5" spans="1:31" s="350" customFormat="1" ht="18" customHeight="1">
      <c r="A5" s="843"/>
      <c r="B5" s="844">
        <f ca="1">ROUND(B2/(IF(B1="",'数据-汇总表'!D3,INDIRECT("'数据-取费表'!R"&amp;$K$1))/666.67),0)</f>
        <v>859</v>
      </c>
      <c r="C5" s="845" t="s">
        <v>929</v>
      </c>
      <c r="D5" s="1932"/>
      <c r="E5" s="1932"/>
      <c r="F5" s="1932"/>
      <c r="G5" s="1932"/>
      <c r="H5" s="1932"/>
      <c r="I5" s="1932"/>
      <c r="J5" s="1932"/>
      <c r="K5" s="1932"/>
    </row>
    <row r="6" spans="1:31" s="1835" customFormat="1" ht="16.5" customHeight="1">
      <c r="A6" s="1953" t="s">
        <v>1081</v>
      </c>
      <c r="B6" s="1954"/>
      <c r="C6" s="1955">
        <f ca="1">SUM(C10:K10)</f>
        <v>427935</v>
      </c>
      <c r="D6" s="1954"/>
      <c r="E6" s="1954"/>
      <c r="F6" s="1954"/>
      <c r="G6" s="1954"/>
      <c r="H6" s="1954"/>
      <c r="I6" s="1954"/>
      <c r="J6" s="1954"/>
      <c r="K6" s="2018"/>
    </row>
    <row r="7" spans="1:31" s="1836" customFormat="1" ht="15">
      <c r="A7" s="1956" t="s">
        <v>1082</v>
      </c>
      <c r="B7" s="1957" t="s">
        <v>1083</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1084</v>
      </c>
      <c r="C8" s="1958">
        <f>典型户型修正!R24</f>
        <v>10483</v>
      </c>
      <c r="D8" s="1958">
        <f>典型户型修正!R25</f>
        <v>9435</v>
      </c>
      <c r="E8" s="3184">
        <f ca="1">'不动产收益法-办公'!B3</f>
        <v>8623</v>
      </c>
      <c r="F8" s="1958">
        <f>'典型户型修正 (2)'!B21</f>
        <v>18216</v>
      </c>
      <c r="G8" s="1958">
        <f ca="1">'不动产收益法-车库'!B3</f>
        <v>2034</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1085</v>
      </c>
      <c r="B10" s="1960" t="s">
        <v>1086</v>
      </c>
      <c r="C10" s="1961">
        <f>典型户型修正!S24</f>
        <v>113324</v>
      </c>
      <c r="D10" s="1961">
        <f>典型户型修正!S25</f>
        <v>102603</v>
      </c>
      <c r="E10" s="3185">
        <f ca="1">'不动产收益法-办公'!B2</f>
        <v>130632</v>
      </c>
      <c r="F10" s="1962">
        <f>'典型户型修正 (2)'!B20</f>
        <v>55876</v>
      </c>
      <c r="G10" s="1962">
        <f ca="1">'不动产收益法-车库'!B2</f>
        <v>25500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1087</v>
      </c>
      <c r="B11" s="1954"/>
      <c r="C11" s="1954"/>
      <c r="D11" s="1954"/>
      <c r="E11" s="1954"/>
      <c r="F11" s="1954"/>
      <c r="G11" s="1954"/>
      <c r="H11" s="1954"/>
      <c r="I11" s="1954"/>
      <c r="J11" s="1954"/>
      <c r="K11" s="2018"/>
    </row>
    <row r="12" spans="1:31" s="137" customFormat="1" ht="13.5" customHeight="1">
      <c r="A12" s="1964" t="s">
        <v>1082</v>
      </c>
      <c r="B12" s="1965" t="s">
        <v>1083</v>
      </c>
      <c r="C12" s="1966" t="s">
        <v>1088</v>
      </c>
      <c r="D12" s="1967" t="s">
        <v>1089</v>
      </c>
      <c r="E12" s="1967" t="s">
        <v>1090</v>
      </c>
      <c r="F12" s="1967" t="s">
        <v>1091</v>
      </c>
      <c r="G12" s="1965"/>
      <c r="H12" s="1968"/>
      <c r="I12" s="1968"/>
      <c r="J12" s="1968"/>
      <c r="K12" s="2021"/>
    </row>
    <row r="13" spans="1:31" s="1838" customFormat="1" ht="13.5" customHeight="1">
      <c r="A13" s="1969" t="s">
        <v>886</v>
      </c>
      <c r="B13" s="1970" t="s">
        <v>1092</v>
      </c>
      <c r="C13" s="1873">
        <f ca="1">IF(B1="",'数据-取费表'!P16,INDIRECT("'数据-取费表'!p"&amp;$K$1)+INDIRECT("'数据-取费表'!t"&amp;$K$1))</f>
        <v>142960</v>
      </c>
      <c r="D13" s="1971"/>
      <c r="E13" s="1972"/>
      <c r="F13" s="1973"/>
      <c r="G13" s="1965"/>
      <c r="H13" s="1968"/>
      <c r="I13" s="1968"/>
      <c r="J13" s="1968"/>
      <c r="K13" s="2021"/>
    </row>
    <row r="14" spans="1:31" s="1838" customFormat="1" ht="13.5" customHeight="1">
      <c r="A14" s="1969" t="s">
        <v>1093</v>
      </c>
      <c r="B14" s="1970" t="s">
        <v>1094</v>
      </c>
      <c r="C14" s="79">
        <f ca="1">ROUND(C13*F14,0)</f>
        <v>5718</v>
      </c>
      <c r="D14" s="1971"/>
      <c r="E14" s="1972"/>
      <c r="F14" s="1974">
        <f>'数据-取费表'!B33</f>
        <v>0.04</v>
      </c>
      <c r="G14" s="1965" t="s">
        <v>1095</v>
      </c>
      <c r="H14" s="1968"/>
      <c r="I14" s="1968"/>
      <c r="J14" s="1968"/>
      <c r="K14" s="2021"/>
    </row>
    <row r="15" spans="1:31" s="1838" customFormat="1" ht="13.5" customHeight="1">
      <c r="A15" s="1969" t="s">
        <v>1096</v>
      </c>
      <c r="B15" s="1970" t="s">
        <v>1097</v>
      </c>
      <c r="C15" s="79">
        <f ca="1">ROUND(IF(B1="",SUMIF('数据-取费表'!C:C,"住宅",'数据-取费表'!P:P)*F15,IF(INDIRECT("'数据-取费表'!c"&amp;$K$1)="住宅",INDIRECT("'数据-取费表'!P"&amp;$K$1)*F15,0)),0)</f>
        <v>0</v>
      </c>
      <c r="D15" s="1971"/>
      <c r="E15" s="1972"/>
      <c r="F15" s="1974">
        <f>'数据-取费表'!B34</f>
        <v>0</v>
      </c>
      <c r="G15" s="1965" t="s">
        <v>1098</v>
      </c>
      <c r="H15" s="1968"/>
      <c r="I15" s="1968"/>
      <c r="J15" s="1968"/>
      <c r="K15" s="2021"/>
    </row>
    <row r="16" spans="1:31" s="1839" customFormat="1" ht="13.5" customHeight="1">
      <c r="A16" s="1969" t="s">
        <v>1099</v>
      </c>
      <c r="B16" s="1970" t="s">
        <v>1100</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1101</v>
      </c>
      <c r="B17" s="1970" t="s">
        <v>1102</v>
      </c>
      <c r="C17" s="1975">
        <f ca="1">ROUND(C13*F17,0)</f>
        <v>2144</v>
      </c>
      <c r="D17" s="1976"/>
      <c r="E17" s="1975"/>
      <c r="F17" s="1977">
        <f>'数据-取费表'!B36</f>
        <v>1.4999999999999999E-2</v>
      </c>
      <c r="G17" s="85" t="s">
        <v>1103</v>
      </c>
      <c r="H17" s="1978"/>
      <c r="I17" s="1978"/>
      <c r="J17" s="1978"/>
      <c r="K17" s="2022"/>
    </row>
    <row r="18" spans="1:14" s="1838" customFormat="1" ht="13.5" customHeight="1">
      <c r="A18" s="1979" t="s">
        <v>1104</v>
      </c>
      <c r="B18" s="1980" t="s">
        <v>1105</v>
      </c>
      <c r="C18" s="1981">
        <f ca="1">SUM(C13:C17)</f>
        <v>158696</v>
      </c>
      <c r="D18" s="1982"/>
      <c r="E18" s="1983"/>
      <c r="F18" s="1983"/>
      <c r="G18" s="1984" t="s">
        <v>1106</v>
      </c>
      <c r="H18" s="1985"/>
      <c r="I18" s="1985"/>
      <c r="J18" s="1985"/>
      <c r="K18" s="2023"/>
    </row>
    <row r="19" spans="1:14" s="1838" customFormat="1" ht="13.5" customHeight="1">
      <c r="A19" s="1979" t="s">
        <v>1107</v>
      </c>
      <c r="B19" s="1980" t="s">
        <v>1108</v>
      </c>
      <c r="C19" s="1967">
        <f ca="1">ROUND(D19*E19/10000,0)</f>
        <v>0</v>
      </c>
      <c r="D19" s="1986">
        <f ca="1">D16</f>
        <v>524902.89999999991</v>
      </c>
      <c r="E19" s="1967">
        <f>'数据-取费表'!B32</f>
        <v>0</v>
      </c>
      <c r="F19" s="1983"/>
      <c r="G19" s="1965" t="s">
        <v>1109</v>
      </c>
      <c r="H19" s="1968"/>
      <c r="I19" s="1985"/>
      <c r="J19" s="1985"/>
      <c r="K19" s="2023"/>
    </row>
    <row r="20" spans="1:14" s="1838" customFormat="1" ht="13.5" customHeight="1">
      <c r="A20" s="1979" t="s">
        <v>1110</v>
      </c>
      <c r="B20" s="1980" t="s">
        <v>1111</v>
      </c>
      <c r="C20" s="1967">
        <f ca="1">C21+C22-IF(B1="",'数据-取费表'!B29,IF(G20="已全部缴纳",C21+C22,H20))</f>
        <v>4724</v>
      </c>
      <c r="D20" s="1986"/>
      <c r="E20" s="1967"/>
      <c r="F20" s="1987"/>
      <c r="G20" s="1988"/>
      <c r="H20" s="1989"/>
      <c r="I20" s="2024" t="s">
        <v>1112</v>
      </c>
      <c r="J20" s="1985"/>
      <c r="K20" s="2023"/>
    </row>
    <row r="21" spans="1:14" s="1838" customFormat="1" ht="13.5" customHeight="1">
      <c r="A21" s="1969" t="s">
        <v>886</v>
      </c>
      <c r="B21" s="1970" t="s">
        <v>1113</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1114</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1115</v>
      </c>
      <c r="B23" s="1991" t="s">
        <v>1116</v>
      </c>
      <c r="C23" s="1981">
        <f ca="1">ROUND((C18+C19+C20)*F23,0)</f>
        <v>3268</v>
      </c>
      <c r="D23" s="1983"/>
      <c r="E23" s="1983"/>
      <c r="F23" s="1992">
        <f>'数据-取费表'!B37</f>
        <v>0.02</v>
      </c>
      <c r="G23" s="1965" t="s">
        <v>1117</v>
      </c>
      <c r="H23" s="1968"/>
      <c r="I23" s="1968"/>
      <c r="J23" s="1968"/>
      <c r="K23" s="2021"/>
      <c r="L23" s="1942"/>
      <c r="M23" s="1942"/>
      <c r="N23" s="1942"/>
    </row>
    <row r="24" spans="1:14" s="1838" customFormat="1" ht="13.5" customHeight="1">
      <c r="A24" s="1979" t="s">
        <v>1118</v>
      </c>
      <c r="B24" s="1991" t="s">
        <v>1119</v>
      </c>
      <c r="C24" s="1981">
        <f ca="1">ROUND(C6*F24,0)</f>
        <v>8559</v>
      </c>
      <c r="D24" s="1976"/>
      <c r="E24" s="1897"/>
      <c r="F24" s="1992">
        <f>'数据-取费表'!B38</f>
        <v>0.02</v>
      </c>
      <c r="G24" s="1993" t="s">
        <v>1120</v>
      </c>
      <c r="H24" s="1978"/>
      <c r="I24" s="1978"/>
      <c r="J24" s="1978"/>
      <c r="K24" s="2022"/>
      <c r="L24" s="1942"/>
      <c r="M24" s="1942"/>
      <c r="N24" s="1942"/>
    </row>
    <row r="25" spans="1:14" s="1840" customFormat="1" ht="13.5" customHeight="1">
      <c r="A25" s="1979" t="s">
        <v>1121</v>
      </c>
      <c r="B25" s="1991" t="s">
        <v>1122</v>
      </c>
      <c r="C25" s="1892">
        <f>ROUND(F25/(1+'数据-取费表'!C42),4)</f>
        <v>2.9000000000000001E-2</v>
      </c>
      <c r="D25" s="1885" t="s">
        <v>1123</v>
      </c>
      <c r="E25" s="1889"/>
      <c r="F25" s="1992">
        <f>IF(项目基本情况!B8="出让",0,'数据-取费表'!B48+'数据-取费表'!B49)</f>
        <v>3.0499999999999999E-2</v>
      </c>
      <c r="G25" s="1994" t="s">
        <v>1124</v>
      </c>
      <c r="H25" s="1968"/>
      <c r="I25" s="1968"/>
      <c r="J25" s="1968"/>
      <c r="K25" s="2021"/>
    </row>
    <row r="26" spans="1:14" s="1942" customFormat="1" ht="13.5" customHeight="1">
      <c r="A26" s="1979" t="s">
        <v>1125</v>
      </c>
      <c r="B26" s="1995" t="s">
        <v>1126</v>
      </c>
      <c r="C26" s="1996">
        <f ca="1">C28</f>
        <v>12633</v>
      </c>
      <c r="D26" s="1892">
        <f ca="1">C27</f>
        <v>0.1537</v>
      </c>
      <c r="E26" s="1889" t="s">
        <v>1123</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1127</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1128</v>
      </c>
      <c r="C28" s="1999">
        <f ca="1">ROUND(IF('数据-取费表'!B22&lt;=1,(C18+C19+C20+C23+C24)*F26*'数据-取费表'!B24/2,(C18+C19+C20+C23+C24)*(POWER((1+F26),'数据-取费表'!B24/2)-1)),0)</f>
        <v>12633</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1129</v>
      </c>
      <c r="B29" s="1980" t="s">
        <v>1130</v>
      </c>
      <c r="C29" s="1981">
        <f ca="1">ROUND(C6*F29/(1+'数据-取费表'!C42),0)</f>
        <v>22823</v>
      </c>
      <c r="D29" s="1983"/>
      <c r="E29" s="1983"/>
      <c r="F29" s="2001">
        <f>'数据-取费表'!B41</f>
        <v>5.6000000000000001E-2</v>
      </c>
      <c r="G29" s="1993" t="s">
        <v>1131</v>
      </c>
      <c r="H29" s="1968"/>
      <c r="I29" s="1968"/>
      <c r="J29" s="1968"/>
      <c r="K29" s="2021"/>
    </row>
    <row r="30" spans="1:14" s="1841" customFormat="1" ht="13.5" customHeight="1">
      <c r="A30" s="2002" t="s">
        <v>1132</v>
      </c>
      <c r="B30" s="2003" t="s">
        <v>1133</v>
      </c>
      <c r="C30" s="1996">
        <f ca="1">C31</f>
        <v>210703</v>
      </c>
      <c r="D30" s="1911">
        <f ca="1">C32</f>
        <v>0.1827</v>
      </c>
      <c r="E30" s="1889" t="s">
        <v>1123</v>
      </c>
      <c r="F30" s="1893"/>
      <c r="G30" s="1994" t="s">
        <v>1134</v>
      </c>
      <c r="H30" s="1968"/>
      <c r="I30" s="1968"/>
      <c r="J30" s="1968"/>
      <c r="K30" s="2021"/>
    </row>
    <row r="31" spans="1:14" s="1842" customFormat="1" ht="13.5" customHeight="1">
      <c r="A31" s="1073" t="s">
        <v>886</v>
      </c>
      <c r="B31" s="1997"/>
      <c r="C31" s="1873">
        <f ca="1">C18+C19+C20+C23+C24+C26+C29</f>
        <v>210703</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1135</v>
      </c>
      <c r="B33" s="1901" t="s">
        <v>1136</v>
      </c>
      <c r="C33" s="1902">
        <f ca="1">C35</f>
        <v>26287</v>
      </c>
      <c r="D33" s="1892">
        <f ca="1">C34</f>
        <v>0.15440000000000001</v>
      </c>
      <c r="E33" s="1889" t="s">
        <v>1123</v>
      </c>
      <c r="F33" s="1820">
        <f ca="1">IF(B1="",'数据-取费表'!Q16,INDIRECT("'数据-取费表'!q"&amp;$K$1))</f>
        <v>0.15</v>
      </c>
      <c r="G33" s="1984"/>
      <c r="H33" s="1985"/>
      <c r="I33" s="1985"/>
      <c r="J33" s="1985"/>
      <c r="K33" s="2023"/>
    </row>
    <row r="34" spans="1:11" s="1947" customFormat="1" ht="13.5" customHeight="1">
      <c r="A34" s="2005" t="s">
        <v>886</v>
      </c>
      <c r="B34" s="2006" t="s">
        <v>1137</v>
      </c>
      <c r="C34" s="1896">
        <f ca="1">ROUND((1+C25)*F33,4)</f>
        <v>0.15440000000000001</v>
      </c>
      <c r="D34" s="1896"/>
      <c r="E34" s="1897"/>
      <c r="F34" s="1904"/>
      <c r="G34" s="85" t="s">
        <v>1138</v>
      </c>
      <c r="H34" s="1978"/>
      <c r="I34" s="1978"/>
      <c r="J34" s="1978"/>
      <c r="K34" s="2022"/>
    </row>
    <row r="35" spans="1:11" s="1947" customFormat="1" ht="13.5" customHeight="1">
      <c r="A35" s="2007" t="s">
        <v>891</v>
      </c>
      <c r="B35" s="2008" t="s">
        <v>1139</v>
      </c>
      <c r="C35" s="2009">
        <f ca="1">ROUND((C18+C19+C20+C23+C24)*F33,0)</f>
        <v>26287</v>
      </c>
      <c r="D35" s="2010"/>
      <c r="E35" s="2011"/>
      <c r="F35" s="2012"/>
      <c r="G35" s="1960"/>
      <c r="H35" s="2013"/>
      <c r="I35" s="2013"/>
      <c r="J35" s="2013"/>
      <c r="K35" s="2026"/>
    </row>
    <row r="36" spans="1:11" s="137" customFormat="1" ht="13.5" customHeight="1">
      <c r="A36" s="2014" t="s">
        <v>1140</v>
      </c>
      <c r="B36" s="2015"/>
      <c r="C36" s="2016">
        <f ca="1">ROUND((C6-C30-C33)/(1+D30+D33),0)</f>
        <v>142805</v>
      </c>
      <c r="D36" s="2015"/>
      <c r="E36" s="2015"/>
      <c r="F36" s="2015"/>
      <c r="G36" s="2017" t="s">
        <v>1141</v>
      </c>
      <c r="H36" s="2015"/>
      <c r="I36" s="2015"/>
      <c r="J36" s="2015"/>
      <c r="K36" s="2027"/>
    </row>
    <row r="38" spans="1:11" ht="12.75" customHeight="1"/>
    <row r="39" spans="1:11">
      <c r="E39" s="1844" t="s">
        <v>2454</v>
      </c>
    </row>
  </sheetData>
  <sheetProtection password="C66D" sheet="1" objects="1" scenarios="1" formatCells="0" formatColumns="0" formatRows="0"/>
  <phoneticPr fontId="22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350" customFormat="1" ht="20.25">
      <c r="A1" s="834" t="s">
        <v>1079</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1080</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1142</v>
      </c>
      <c r="B6" s="1851"/>
      <c r="C6" s="1852">
        <f>SUM(C10:K10)</f>
        <v>0</v>
      </c>
      <c r="D6" s="1853"/>
      <c r="E6" s="1853"/>
      <c r="F6" s="1853"/>
      <c r="G6" s="1853"/>
      <c r="H6" s="1853"/>
      <c r="I6" s="1853"/>
      <c r="J6" s="1853"/>
      <c r="K6" s="1933"/>
    </row>
    <row r="7" spans="1:41" s="1836" customFormat="1" ht="15">
      <c r="A7" s="1854" t="s">
        <v>1082</v>
      </c>
      <c r="B7" s="1855" t="s">
        <v>1083</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1084</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1085</v>
      </c>
      <c r="B10" s="1862" t="s">
        <v>1086</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1143</v>
      </c>
      <c r="B11" s="1866"/>
      <c r="C11" s="1866"/>
      <c r="D11" s="1866"/>
      <c r="E11" s="1866"/>
      <c r="F11" s="1866"/>
      <c r="G11" s="1866"/>
      <c r="H11" s="1866"/>
      <c r="I11" s="1866"/>
      <c r="J11" s="1866"/>
      <c r="K11" s="1939"/>
    </row>
    <row r="12" spans="1:41" s="137" customFormat="1" ht="13.5" customHeight="1">
      <c r="A12" s="1854" t="s">
        <v>1082</v>
      </c>
      <c r="B12" s="1867" t="s">
        <v>1083</v>
      </c>
      <c r="C12" s="1868" t="s">
        <v>1088</v>
      </c>
      <c r="D12" s="1869" t="s">
        <v>1089</v>
      </c>
      <c r="E12" s="1869" t="s">
        <v>1090</v>
      </c>
      <c r="F12" s="1869" t="s">
        <v>1091</v>
      </c>
      <c r="G12" s="1867"/>
      <c r="H12" s="1870"/>
      <c r="I12" s="1870"/>
      <c r="J12" s="1870"/>
      <c r="K12" s="1940"/>
    </row>
    <row r="13" spans="1:41" s="1838" customFormat="1" ht="13.5" customHeight="1">
      <c r="A13" s="1871" t="s">
        <v>886</v>
      </c>
      <c r="B13" s="1872" t="s">
        <v>1092</v>
      </c>
      <c r="C13" s="1873">
        <f ca="1">IF(B1="",'数据-取费表'!M16,INDIRECT("'数据-取费表'!M"&amp;$K$1)+INDIRECT("'数据-取费表'!t"&amp;$K$1))</f>
        <v>142960</v>
      </c>
      <c r="D13" s="1874"/>
      <c r="E13" s="278"/>
      <c r="F13" s="1875"/>
      <c r="G13" s="1867"/>
      <c r="H13" s="1870"/>
      <c r="I13" s="1870"/>
      <c r="J13" s="1870"/>
      <c r="K13" s="1940"/>
    </row>
    <row r="14" spans="1:41" s="1838" customFormat="1" ht="13.5" customHeight="1">
      <c r="A14" s="1871" t="s">
        <v>1093</v>
      </c>
      <c r="B14" s="1872" t="s">
        <v>1094</v>
      </c>
      <c r="C14" s="79">
        <f ca="1">ROUND(C13*F14,0)</f>
        <v>5718</v>
      </c>
      <c r="D14" s="1874"/>
      <c r="E14" s="278"/>
      <c r="F14" s="1876">
        <f>'数据-取费表'!B33</f>
        <v>0.04</v>
      </c>
      <c r="G14" s="1867" t="s">
        <v>1095</v>
      </c>
      <c r="H14" s="1870"/>
      <c r="I14" s="1870"/>
      <c r="J14" s="1870"/>
      <c r="K14" s="1940"/>
    </row>
    <row r="15" spans="1:41" s="1838" customFormat="1" ht="13.5" customHeight="1">
      <c r="A15" s="1871" t="s">
        <v>1096</v>
      </c>
      <c r="B15" s="1872" t="s">
        <v>1097</v>
      </c>
      <c r="C15" s="79">
        <f ca="1">ROUND(IF(B1="",SUMIF('数据-取费表'!C:C,"住宅",'数据-取费表'!M:M)*F15,IF(INDIRECT("'数据-取费表'!c"&amp;$K$1)="住宅",INDIRECT("'数据-取费表'!M"&amp;$K$1)*F15,0)),0)</f>
        <v>0</v>
      </c>
      <c r="D15" s="1874"/>
      <c r="E15" s="278"/>
      <c r="F15" s="1876">
        <f>'数据-取费表'!B34</f>
        <v>0</v>
      </c>
      <c r="G15" s="1867" t="s">
        <v>1095</v>
      </c>
      <c r="H15" s="1870"/>
      <c r="I15" s="1870"/>
      <c r="J15" s="1870"/>
      <c r="K15" s="1940"/>
    </row>
    <row r="16" spans="1:41" s="1839" customFormat="1" ht="13.5" customHeight="1">
      <c r="A16" s="1871" t="s">
        <v>1099</v>
      </c>
      <c r="B16" s="1872" t="s">
        <v>1100</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1101</v>
      </c>
      <c r="B17" s="1872" t="s">
        <v>1102</v>
      </c>
      <c r="C17" s="1877">
        <f ca="1">ROUND(C13*F17,0)</f>
        <v>2144</v>
      </c>
      <c r="D17" s="1878"/>
      <c r="E17" s="1877"/>
      <c r="F17" s="1879">
        <f>'数据-取费表'!B36</f>
        <v>1.4999999999999999E-2</v>
      </c>
      <c r="G17" s="1867" t="s">
        <v>1095</v>
      </c>
      <c r="H17" s="1880"/>
      <c r="I17" s="1880"/>
      <c r="J17" s="1880"/>
      <c r="K17" s="1941"/>
    </row>
    <row r="18" spans="1:14" s="1840" customFormat="1" ht="13.5" customHeight="1">
      <c r="A18" s="1881" t="s">
        <v>1104</v>
      </c>
      <c r="B18" s="1882" t="s">
        <v>1105</v>
      </c>
      <c r="C18" s="1883">
        <f ca="1">SUM(C13:C17)</f>
        <v>158696</v>
      </c>
      <c r="D18" s="1884"/>
      <c r="E18" s="1885"/>
      <c r="F18" s="1885"/>
      <c r="G18" s="1886" t="s">
        <v>1144</v>
      </c>
      <c r="H18" s="1870"/>
      <c r="I18" s="1870"/>
      <c r="J18" s="1870"/>
      <c r="K18" s="1940"/>
    </row>
    <row r="19" spans="1:14" s="1840" customFormat="1" ht="13.5" customHeight="1">
      <c r="A19" s="1881" t="s">
        <v>1107</v>
      </c>
      <c r="B19" s="1882" t="s">
        <v>1145</v>
      </c>
      <c r="C19" s="1883">
        <f ca="1">ROUND(C18*F19,0)</f>
        <v>3174</v>
      </c>
      <c r="D19" s="1885"/>
      <c r="E19" s="1885"/>
      <c r="F19" s="1887">
        <f>'数据-取费表'!B37</f>
        <v>0.02</v>
      </c>
      <c r="G19" s="1867" t="s">
        <v>1146</v>
      </c>
      <c r="H19" s="1870"/>
      <c r="I19" s="1870"/>
      <c r="J19" s="1870"/>
      <c r="K19" s="1940"/>
      <c r="L19" s="1841"/>
      <c r="M19" s="1841"/>
      <c r="N19" s="1841"/>
    </row>
    <row r="20" spans="1:14" s="1840" customFormat="1" ht="13.5" customHeight="1">
      <c r="A20" s="1881" t="s">
        <v>1110</v>
      </c>
      <c r="B20" s="1882" t="s">
        <v>1147</v>
      </c>
      <c r="C20" s="1888">
        <f>F20</f>
        <v>0.02</v>
      </c>
      <c r="D20" s="1889" t="s">
        <v>1148</v>
      </c>
      <c r="E20" s="1889"/>
      <c r="F20" s="1890">
        <f>'数据-取费表'!B38</f>
        <v>0.02</v>
      </c>
      <c r="G20" s="1886" t="s">
        <v>1149</v>
      </c>
      <c r="H20" s="1870"/>
      <c r="I20" s="1870"/>
      <c r="J20" s="1870"/>
      <c r="K20" s="1940"/>
      <c r="L20" s="1841"/>
      <c r="M20" s="1841"/>
      <c r="N20" s="1841"/>
    </row>
    <row r="21" spans="1:14" s="1841" customFormat="1" ht="13.5" customHeight="1">
      <c r="A21" s="1881" t="s">
        <v>1115</v>
      </c>
      <c r="B21" s="1884" t="s">
        <v>1150</v>
      </c>
      <c r="C21" s="1891">
        <f ca="1">C22</f>
        <v>11669</v>
      </c>
      <c r="D21" s="1892">
        <f ca="1">C23</f>
        <v>1.4E-3</v>
      </c>
      <c r="E21" s="1889" t="s">
        <v>1151</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1152</v>
      </c>
    </row>
    <row r="22" spans="1:14" s="1842" customFormat="1" ht="13.5" customHeight="1">
      <c r="A22" s="1871" t="s">
        <v>886</v>
      </c>
      <c r="B22" s="1894" t="s">
        <v>1153</v>
      </c>
      <c r="C22" s="1895">
        <f ca="1">ROUND(IF('数据-取费表'!B22&lt;=1,(C18+C19)*F21*'数据-取费表'!B20/2,(C18+C19)*(POWER((1+F21),'数据-取费表'!B20/2)-1)),0)</f>
        <v>11669</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1093</v>
      </c>
      <c r="B23" s="1894" t="s">
        <v>1154</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1118</v>
      </c>
      <c r="B24" s="1901" t="s">
        <v>1136</v>
      </c>
      <c r="C24" s="1902">
        <f ca="1">C25</f>
        <v>24281</v>
      </c>
      <c r="D24" s="1903">
        <f ca="1">C26</f>
        <v>3.0000000000000001E-3</v>
      </c>
      <c r="E24" s="1889" t="s">
        <v>1151</v>
      </c>
      <c r="F24" s="1820">
        <f ca="1">IF(B1="",'数据-取费表'!Q16,INDIRECT("'数据-取费表'!q"&amp;$K$1))</f>
        <v>0.15</v>
      </c>
      <c r="G24" s="1867"/>
      <c r="H24" s="1870"/>
      <c r="I24" s="1870"/>
      <c r="J24" s="1870"/>
      <c r="K24" s="1940"/>
    </row>
    <row r="25" spans="1:14" s="1842" customFormat="1" ht="13.5" customHeight="1">
      <c r="A25" s="1871" t="s">
        <v>886</v>
      </c>
      <c r="B25" s="1894" t="s">
        <v>1155</v>
      </c>
      <c r="C25" s="379">
        <f ca="1">ROUND((C18+C19)*F24,0)</f>
        <v>24281</v>
      </c>
      <c r="D25" s="1896"/>
      <c r="E25" s="1897"/>
      <c r="F25" s="1904"/>
      <c r="G25" s="1905" t="s">
        <v>1156</v>
      </c>
      <c r="H25" s="1880"/>
      <c r="I25" s="1880"/>
      <c r="J25" s="1880"/>
      <c r="K25" s="1941"/>
    </row>
    <row r="26" spans="1:14" s="1842" customFormat="1" ht="13.5" customHeight="1">
      <c r="A26" s="1871" t="s">
        <v>1093</v>
      </c>
      <c r="B26" s="1894" t="s">
        <v>1157</v>
      </c>
      <c r="C26" s="380">
        <f ca="1">ROUND(F20*F24,4)</f>
        <v>3.0000000000000001E-3</v>
      </c>
      <c r="D26" s="1896"/>
      <c r="E26" s="1906"/>
      <c r="F26" s="1904"/>
      <c r="G26" s="1905" t="s">
        <v>1158</v>
      </c>
      <c r="H26" s="1880"/>
      <c r="I26" s="1880"/>
      <c r="J26" s="1880"/>
      <c r="K26" s="1941"/>
    </row>
    <row r="27" spans="1:14" s="1842" customFormat="1" ht="13.5" customHeight="1">
      <c r="A27" s="1907" t="s">
        <v>920</v>
      </c>
      <c r="B27" s="1882" t="s">
        <v>1130</v>
      </c>
      <c r="C27" s="1908">
        <f>ROUND(F27/(1+'数据-取费表'!C42),4)</f>
        <v>5.33E-2</v>
      </c>
      <c r="D27" s="1885" t="s">
        <v>1151</v>
      </c>
      <c r="E27" s="1885"/>
      <c r="F27" s="1887">
        <f>'数据-取费表'!B41</f>
        <v>5.6000000000000001E-2</v>
      </c>
      <c r="G27" s="1909" t="s">
        <v>1159</v>
      </c>
      <c r="H27" s="1870"/>
      <c r="I27" s="1870"/>
      <c r="J27" s="1870"/>
      <c r="K27" s="1940"/>
    </row>
    <row r="28" spans="1:14" s="1841" customFormat="1" ht="13.5" customHeight="1">
      <c r="A28" s="1907" t="s">
        <v>1160</v>
      </c>
      <c r="B28" s="1910" t="s">
        <v>1161</v>
      </c>
      <c r="C28" s="1891">
        <f ca="1">ROUND((C18+C19+C21+C24)/(1-C20-D21-D24-C27),0)</f>
        <v>214486</v>
      </c>
      <c r="D28" s="1911"/>
      <c r="E28" s="1889"/>
      <c r="F28" s="1893"/>
      <c r="G28" s="1886" t="s">
        <v>1162</v>
      </c>
      <c r="H28" s="1870"/>
      <c r="I28" s="1870"/>
      <c r="J28" s="1870"/>
      <c r="K28" s="1940"/>
    </row>
    <row r="29" spans="1:14" s="1841" customFormat="1" ht="13.5" customHeight="1">
      <c r="A29" s="1907" t="s">
        <v>1163</v>
      </c>
      <c r="B29" s="1910" t="s">
        <v>1164</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1165</v>
      </c>
      <c r="C30" s="1917">
        <f ca="1">ROUND(C28*C29,0)</f>
        <v>0</v>
      </c>
      <c r="D30" s="1913"/>
      <c r="E30" s="1918"/>
      <c r="F30" s="1919"/>
      <c r="G30" s="1920" t="s">
        <v>1166</v>
      </c>
      <c r="H30" s="1921"/>
      <c r="I30" s="1921"/>
      <c r="J30" s="1870"/>
      <c r="K30" s="1940"/>
    </row>
    <row r="31" spans="1:14" s="1843" customFormat="1" ht="13.5" customHeight="1">
      <c r="A31" s="1922" t="s">
        <v>1167</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1168</v>
      </c>
      <c r="B32" s="1929"/>
      <c r="C32" s="1930">
        <f ca="1">IF('数据-取费表'!B20&lt;=1,(C6-C30-C31)/(1+F21*'数据-取费表'!B20+F24)/(1+'数据-取费表'!B48+'数据-取费表'!B49),(C6-C30-C31)/(1+(POWER((1+F21),'数据-取费表'!B20)-1)+F24)/(1+'数据-取费表'!B48+'数据-取费表'!B49))</f>
        <v>0</v>
      </c>
      <c r="D32" s="1929"/>
      <c r="E32" s="1929"/>
      <c r="F32" s="1929"/>
      <c r="G32" s="1931" t="s">
        <v>1169</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923</v>
      </c>
      <c r="B1" s="793"/>
      <c r="C1" s="465" t="s">
        <v>1170</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5">
      <c r="A6" s="478" t="s">
        <v>930</v>
      </c>
      <c r="B6" s="479"/>
      <c r="C6" s="3358" t="s">
        <v>931</v>
      </c>
      <c r="D6" s="3359"/>
      <c r="E6" s="3399" t="s">
        <v>932</v>
      </c>
      <c r="F6" s="3400"/>
      <c r="G6" s="3358" t="s">
        <v>933</v>
      </c>
      <c r="H6" s="3359"/>
      <c r="I6" s="3358" t="s">
        <v>934</v>
      </c>
      <c r="J6" s="3359"/>
      <c r="K6" s="640" t="s">
        <v>935</v>
      </c>
      <c r="L6" s="641"/>
      <c r="M6" s="642"/>
      <c r="N6" s="642"/>
      <c r="O6" s="642"/>
      <c r="P6" s="3386" t="s">
        <v>936</v>
      </c>
      <c r="Q6" s="3387"/>
      <c r="R6" s="3392" t="s">
        <v>932</v>
      </c>
      <c r="S6" s="3393"/>
      <c r="T6" s="3392" t="s">
        <v>933</v>
      </c>
      <c r="U6" s="3393"/>
      <c r="V6" s="3378" t="s">
        <v>934</v>
      </c>
      <c r="W6" s="3378"/>
      <c r="X6" s="707"/>
      <c r="Y6" s="3392" t="s">
        <v>936</v>
      </c>
      <c r="Z6" s="3393"/>
      <c r="AA6" s="3379" t="s">
        <v>932</v>
      </c>
      <c r="AB6" s="3380" t="s">
        <v>933</v>
      </c>
      <c r="AC6" s="3379" t="s">
        <v>934</v>
      </c>
    </row>
    <row r="7" spans="1:29" ht="15">
      <c r="A7" s="480"/>
      <c r="B7" s="481"/>
      <c r="C7" s="3360" t="s">
        <v>937</v>
      </c>
      <c r="D7" s="3361"/>
      <c r="E7" s="3401" t="s">
        <v>1171</v>
      </c>
      <c r="F7" s="3402"/>
      <c r="G7" s="3360" t="s">
        <v>1172</v>
      </c>
      <c r="H7" s="3361"/>
      <c r="I7" s="3360" t="s">
        <v>1173</v>
      </c>
      <c r="J7" s="3361"/>
      <c r="K7" s="640"/>
      <c r="L7" s="641"/>
      <c r="M7" s="642"/>
      <c r="N7" s="642"/>
      <c r="O7" s="642"/>
      <c r="P7" s="3388"/>
      <c r="Q7" s="3389"/>
      <c r="R7" s="3394"/>
      <c r="S7" s="3395"/>
      <c r="T7" s="3394"/>
      <c r="U7" s="3395"/>
      <c r="V7" s="3378"/>
      <c r="W7" s="3378"/>
      <c r="X7" s="707"/>
      <c r="Y7" s="3394"/>
      <c r="Z7" s="3395"/>
      <c r="AA7" s="3380"/>
      <c r="AB7" s="3380"/>
      <c r="AC7" s="3380"/>
    </row>
    <row r="8" spans="1:29" ht="15">
      <c r="A8" s="482"/>
      <c r="B8" s="483"/>
      <c r="C8" s="3364" t="s">
        <v>938</v>
      </c>
      <c r="D8" s="3365"/>
      <c r="E8" s="3403" t="s">
        <v>938</v>
      </c>
      <c r="F8" s="3404"/>
      <c r="G8" s="3364" t="s">
        <v>938</v>
      </c>
      <c r="H8" s="3365"/>
      <c r="I8" s="3364" t="s">
        <v>938</v>
      </c>
      <c r="J8" s="3365"/>
      <c r="K8" s="640" t="s">
        <v>939</v>
      </c>
      <c r="L8" s="641"/>
      <c r="M8" s="642"/>
      <c r="N8" s="642"/>
      <c r="O8" s="642"/>
      <c r="P8" s="3390"/>
      <c r="Q8" s="3391"/>
      <c r="R8" s="3394"/>
      <c r="S8" s="3395"/>
      <c r="T8" s="3396"/>
      <c r="U8" s="3397"/>
      <c r="V8" s="3378"/>
      <c r="W8" s="3378"/>
      <c r="X8" s="707"/>
      <c r="Y8" s="3396"/>
      <c r="Z8" s="3397"/>
      <c r="AA8" s="3381"/>
      <c r="AB8" s="3381"/>
      <c r="AC8" s="3381"/>
    </row>
    <row r="9" spans="1:29" s="455" customFormat="1" ht="15">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66" t="s">
        <v>941</v>
      </c>
      <c r="Q9" s="3367"/>
      <c r="R9" s="708" t="s">
        <v>942</v>
      </c>
      <c r="S9" s="709">
        <f t="shared" ref="S9:S17" si="0">F9</f>
        <v>0</v>
      </c>
      <c r="T9" s="708" t="s">
        <v>942</v>
      </c>
      <c r="U9" s="709">
        <f t="shared" ref="U9:U17" si="1">H9</f>
        <v>0</v>
      </c>
      <c r="V9" s="708" t="s">
        <v>942</v>
      </c>
      <c r="W9" s="709">
        <f t="shared" ref="W9:W17" si="2">J9</f>
        <v>0</v>
      </c>
      <c r="X9" s="710"/>
      <c r="Y9" s="3366" t="s">
        <v>941</v>
      </c>
      <c r="Z9" s="3398"/>
      <c r="AA9" s="727" t="e">
        <f>D9/F9</f>
        <v>#DIV/0!</v>
      </c>
      <c r="AB9" s="727" t="e">
        <f>D9/H9</f>
        <v>#DIV/0!</v>
      </c>
      <c r="AC9" s="727" t="e">
        <f>D9/J9</f>
        <v>#DIV/0!</v>
      </c>
    </row>
    <row r="10" spans="1:29" s="455" customFormat="1" ht="15">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66" t="s">
        <v>945</v>
      </c>
      <c r="Q10" s="3398"/>
      <c r="R10" s="708" t="s">
        <v>942</v>
      </c>
      <c r="S10" s="709">
        <f t="shared" si="0"/>
        <v>0</v>
      </c>
      <c r="T10" s="708" t="s">
        <v>942</v>
      </c>
      <c r="U10" s="709">
        <f t="shared" si="1"/>
        <v>0</v>
      </c>
      <c r="V10" s="708" t="s">
        <v>942</v>
      </c>
      <c r="W10" s="709">
        <f t="shared" si="2"/>
        <v>0</v>
      </c>
      <c r="X10" s="710"/>
      <c r="Y10" s="3366" t="s">
        <v>945</v>
      </c>
      <c r="Z10" s="3398"/>
      <c r="AA10" s="727" t="e">
        <f t="shared" ref="AA10:AA42" si="3">D10/F10</f>
        <v>#DIV/0!</v>
      </c>
      <c r="AB10" s="727" t="e">
        <f t="shared" ref="AB10:AB42" si="4">D10/H10</f>
        <v>#DIV/0!</v>
      </c>
      <c r="AC10" s="727" t="e">
        <f t="shared" ref="AC10:AC42" si="5">D10/J10</f>
        <v>#DIV/0!</v>
      </c>
    </row>
    <row r="11" spans="1:29" s="455" customFormat="1" ht="15">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69" t="s">
        <v>948</v>
      </c>
      <c r="Q11" s="711" t="str">
        <f t="shared" ref="Q11:Q17" si="6">B11</f>
        <v>用途</v>
      </c>
      <c r="R11" s="708" t="s">
        <v>942</v>
      </c>
      <c r="S11" s="709">
        <f t="shared" si="0"/>
        <v>100</v>
      </c>
      <c r="T11" s="708" t="s">
        <v>942</v>
      </c>
      <c r="U11" s="709">
        <f t="shared" si="1"/>
        <v>100</v>
      </c>
      <c r="V11" s="708" t="s">
        <v>942</v>
      </c>
      <c r="W11" s="709">
        <f t="shared" si="2"/>
        <v>100</v>
      </c>
      <c r="X11" s="710"/>
      <c r="Y11" s="3357" t="s">
        <v>949</v>
      </c>
      <c r="Z11" s="728" t="str">
        <f t="shared" ref="Z11:Z17" si="7">Q11</f>
        <v>用途</v>
      </c>
      <c r="AA11" s="727">
        <f t="shared" si="3"/>
        <v>1</v>
      </c>
      <c r="AB11" s="727">
        <f t="shared" si="4"/>
        <v>1</v>
      </c>
      <c r="AC11" s="727">
        <f t="shared" si="5"/>
        <v>1</v>
      </c>
    </row>
    <row r="12" spans="1:29" s="456" customFormat="1" ht="27">
      <c r="A12" s="499"/>
      <c r="B12" s="492" t="s">
        <v>950</v>
      </c>
      <c r="C12" s="505"/>
      <c r="D12" s="501">
        <v>100</v>
      </c>
      <c r="E12" s="505"/>
      <c r="F12" s="501">
        <f>ROUND(100/'数据-取费表'!G16,0)</f>
        <v>109</v>
      </c>
      <c r="G12" s="505"/>
      <c r="H12" s="501">
        <f>ROUND(100/'数据-取费表'!G16,0)</f>
        <v>109</v>
      </c>
      <c r="I12" s="505"/>
      <c r="J12" s="501">
        <f>ROUND(100/'数据-取费表'!G16,0)</f>
        <v>109</v>
      </c>
      <c r="K12" s="1800"/>
      <c r="L12" s="649"/>
      <c r="M12" s="650"/>
      <c r="N12" s="650"/>
      <c r="O12" s="651"/>
      <c r="P12" s="3369"/>
      <c r="Q12" s="711" t="str">
        <f t="shared" si="6"/>
        <v>土地使用年限（年）</v>
      </c>
      <c r="R12" s="708" t="s">
        <v>942</v>
      </c>
      <c r="S12" s="709">
        <f t="shared" si="0"/>
        <v>109</v>
      </c>
      <c r="T12" s="708" t="s">
        <v>942</v>
      </c>
      <c r="U12" s="709">
        <f t="shared" si="1"/>
        <v>109</v>
      </c>
      <c r="V12" s="708" t="s">
        <v>942</v>
      </c>
      <c r="W12" s="709">
        <f t="shared" si="2"/>
        <v>109</v>
      </c>
      <c r="X12" s="710"/>
      <c r="Y12" s="3357"/>
      <c r="Z12" s="728" t="str">
        <f t="shared" si="7"/>
        <v>土地使用年限（年）</v>
      </c>
      <c r="AA12" s="727">
        <f t="shared" si="3"/>
        <v>0.91743119266055051</v>
      </c>
      <c r="AB12" s="727">
        <f t="shared" si="4"/>
        <v>0.91743119266055051</v>
      </c>
      <c r="AC12" s="727">
        <f t="shared" si="5"/>
        <v>0.91743119266055051</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69"/>
      <c r="Q13" s="711" t="str">
        <f t="shared" si="6"/>
        <v>容积率</v>
      </c>
      <c r="R13" s="708" t="s">
        <v>942</v>
      </c>
      <c r="S13" s="709" t="e">
        <f t="shared" si="0"/>
        <v>#N/A</v>
      </c>
      <c r="T13" s="708" t="s">
        <v>942</v>
      </c>
      <c r="U13" s="709" t="e">
        <f t="shared" si="1"/>
        <v>#N/A</v>
      </c>
      <c r="V13" s="708" t="s">
        <v>942</v>
      </c>
      <c r="W13" s="709" t="e">
        <f t="shared" si="2"/>
        <v>#N/A</v>
      </c>
      <c r="X13" s="710"/>
      <c r="Y13" s="3357"/>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69"/>
      <c r="Q14" s="711">
        <f t="shared" si="6"/>
        <v>111</v>
      </c>
      <c r="R14" s="708" t="s">
        <v>942</v>
      </c>
      <c r="S14" s="709">
        <f t="shared" si="0"/>
        <v>100</v>
      </c>
      <c r="T14" s="708" t="s">
        <v>942</v>
      </c>
      <c r="U14" s="709">
        <f t="shared" si="1"/>
        <v>100</v>
      </c>
      <c r="V14" s="708" t="s">
        <v>942</v>
      </c>
      <c r="W14" s="709">
        <f t="shared" si="2"/>
        <v>100</v>
      </c>
      <c r="X14" s="710"/>
      <c r="Y14" s="3357"/>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69"/>
      <c r="Q15" s="711">
        <f t="shared" si="6"/>
        <v>111</v>
      </c>
      <c r="R15" s="708" t="s">
        <v>942</v>
      </c>
      <c r="S15" s="709">
        <f t="shared" si="0"/>
        <v>100</v>
      </c>
      <c r="T15" s="708" t="s">
        <v>942</v>
      </c>
      <c r="U15" s="709">
        <f t="shared" si="1"/>
        <v>100</v>
      </c>
      <c r="V15" s="708" t="s">
        <v>942</v>
      </c>
      <c r="W15" s="709">
        <f t="shared" si="2"/>
        <v>100</v>
      </c>
      <c r="X15" s="710"/>
      <c r="Y15" s="3357"/>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69"/>
      <c r="Q16" s="711">
        <f t="shared" si="6"/>
        <v>111</v>
      </c>
      <c r="R16" s="708" t="s">
        <v>942</v>
      </c>
      <c r="S16" s="709">
        <f t="shared" si="0"/>
        <v>100</v>
      </c>
      <c r="T16" s="708" t="s">
        <v>942</v>
      </c>
      <c r="U16" s="709">
        <f t="shared" si="1"/>
        <v>100</v>
      </c>
      <c r="V16" s="708" t="s">
        <v>942</v>
      </c>
      <c r="W16" s="709">
        <f t="shared" si="2"/>
        <v>100</v>
      </c>
      <c r="X16" s="710"/>
      <c r="Y16" s="3357"/>
      <c r="Z16" s="728">
        <f t="shared" si="7"/>
        <v>111</v>
      </c>
      <c r="AA16" s="727">
        <f t="shared" si="3"/>
        <v>1</v>
      </c>
      <c r="AB16" s="727">
        <f t="shared" si="4"/>
        <v>1</v>
      </c>
      <c r="AC16" s="727">
        <f t="shared" si="5"/>
        <v>1</v>
      </c>
    </row>
    <row r="17" spans="1:29" ht="57">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70" t="s">
        <v>955</v>
      </c>
      <c r="Q17" s="647" t="str">
        <f t="shared" si="6"/>
        <v>产业集聚程度</v>
      </c>
      <c r="R17" s="712" t="s">
        <v>942</v>
      </c>
      <c r="S17" s="713">
        <f t="shared" si="0"/>
        <v>100</v>
      </c>
      <c r="T17" s="712" t="s">
        <v>942</v>
      </c>
      <c r="U17" s="713">
        <f t="shared" si="1"/>
        <v>100</v>
      </c>
      <c r="V17" s="712" t="s">
        <v>942</v>
      </c>
      <c r="W17" s="713">
        <f t="shared" si="2"/>
        <v>100</v>
      </c>
      <c r="X17" s="707"/>
      <c r="Y17" s="3370"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71"/>
      <c r="Q18" s="647"/>
      <c r="R18" s="712"/>
      <c r="S18" s="713"/>
      <c r="T18" s="712"/>
      <c r="U18" s="713"/>
      <c r="V18" s="712"/>
      <c r="W18" s="713"/>
      <c r="X18" s="707"/>
      <c r="Y18" s="3371"/>
      <c r="Z18" s="706"/>
      <c r="AA18" s="718">
        <v>1</v>
      </c>
      <c r="AB18" s="718">
        <v>1</v>
      </c>
      <c r="AC18" s="718">
        <v>1</v>
      </c>
    </row>
    <row r="19" spans="1:29" ht="85.5">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71"/>
      <c r="Q19" s="647" t="str">
        <f>B19</f>
        <v>交通便捷度</v>
      </c>
      <c r="R19" s="712" t="s">
        <v>942</v>
      </c>
      <c r="S19" s="713">
        <f>F19</f>
        <v>100</v>
      </c>
      <c r="T19" s="712" t="s">
        <v>942</v>
      </c>
      <c r="U19" s="713">
        <f>H19</f>
        <v>100</v>
      </c>
      <c r="V19" s="712" t="s">
        <v>942</v>
      </c>
      <c r="W19" s="713">
        <f>J19</f>
        <v>100</v>
      </c>
      <c r="X19" s="707"/>
      <c r="Y19" s="3371"/>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71"/>
      <c r="Q20" s="647"/>
      <c r="R20" s="712"/>
      <c r="S20" s="713"/>
      <c r="T20" s="712"/>
      <c r="U20" s="713"/>
      <c r="V20" s="712"/>
      <c r="W20" s="713"/>
      <c r="X20" s="707"/>
      <c r="Y20" s="3371"/>
      <c r="Z20" s="706"/>
      <c r="AA20" s="718">
        <v>1</v>
      </c>
      <c r="AB20" s="718">
        <v>1</v>
      </c>
      <c r="AC20" s="718">
        <v>1</v>
      </c>
    </row>
    <row r="21" spans="1:29" ht="27">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71"/>
      <c r="Q21" s="647" t="str">
        <f t="shared" ref="Q21:Q36" si="8">B21</f>
        <v>区域土地利用方向</v>
      </c>
      <c r="R21" s="712" t="s">
        <v>942</v>
      </c>
      <c r="S21" s="713">
        <f>F21</f>
        <v>100</v>
      </c>
      <c r="T21" s="712" t="s">
        <v>942</v>
      </c>
      <c r="U21" s="713">
        <f>H21</f>
        <v>100</v>
      </c>
      <c r="V21" s="712" t="s">
        <v>942</v>
      </c>
      <c r="W21" s="713">
        <f>J21</f>
        <v>100</v>
      </c>
      <c r="X21" s="707"/>
      <c r="Y21" s="3371"/>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71"/>
      <c r="Q22" s="647"/>
      <c r="R22" s="712"/>
      <c r="S22" s="713"/>
      <c r="T22" s="712"/>
      <c r="U22" s="713"/>
      <c r="V22" s="712"/>
      <c r="W22" s="713"/>
      <c r="X22" s="707"/>
      <c r="Y22" s="3371"/>
      <c r="Z22" s="706"/>
      <c r="AA22" s="718"/>
      <c r="AB22" s="718"/>
      <c r="AC22" s="718"/>
    </row>
    <row r="23" spans="1:29" ht="71.25">
      <c r="A23" s="480"/>
      <c r="B23" s="802" t="s">
        <v>1174</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71"/>
      <c r="Q23" s="647" t="str">
        <f t="shared" si="8"/>
        <v>环境状况</v>
      </c>
      <c r="R23" s="712" t="s">
        <v>942</v>
      </c>
      <c r="S23" s="713">
        <f>F23</f>
        <v>100</v>
      </c>
      <c r="T23" s="712" t="s">
        <v>942</v>
      </c>
      <c r="U23" s="713">
        <f>H23</f>
        <v>100</v>
      </c>
      <c r="V23" s="712" t="s">
        <v>942</v>
      </c>
      <c r="W23" s="713">
        <f>J23</f>
        <v>100</v>
      </c>
      <c r="X23" s="707"/>
      <c r="Y23" s="3371"/>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71"/>
      <c r="Q24" s="647"/>
      <c r="R24" s="712"/>
      <c r="S24" s="713"/>
      <c r="T24" s="712"/>
      <c r="U24" s="713"/>
      <c r="V24" s="712"/>
      <c r="W24" s="713"/>
      <c r="X24" s="707"/>
      <c r="Y24" s="3371"/>
      <c r="Z24" s="706"/>
      <c r="AA24" s="718">
        <v>1</v>
      </c>
      <c r="AB24" s="718">
        <v>1</v>
      </c>
      <c r="AC24" s="718">
        <v>1</v>
      </c>
    </row>
    <row r="25" spans="1:29" s="455" customFormat="1" ht="42.75">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71"/>
      <c r="Q25" s="711" t="str">
        <f t="shared" si="8"/>
        <v>公共配套设施</v>
      </c>
      <c r="R25" s="708" t="s">
        <v>942</v>
      </c>
      <c r="S25" s="709">
        <f>F25</f>
        <v>100</v>
      </c>
      <c r="T25" s="708" t="s">
        <v>942</v>
      </c>
      <c r="U25" s="709">
        <f>H25</f>
        <v>100</v>
      </c>
      <c r="V25" s="708" t="s">
        <v>942</v>
      </c>
      <c r="W25" s="709">
        <f>J25</f>
        <v>100</v>
      </c>
      <c r="X25" s="710"/>
      <c r="Y25" s="3371"/>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71"/>
      <c r="Q26" s="711"/>
      <c r="R26" s="708"/>
      <c r="S26" s="709"/>
      <c r="T26" s="708"/>
      <c r="U26" s="709"/>
      <c r="V26" s="708"/>
      <c r="W26" s="709"/>
      <c r="X26" s="710"/>
      <c r="Y26" s="3371"/>
      <c r="Z26" s="728"/>
      <c r="AA26" s="727">
        <v>1</v>
      </c>
      <c r="AB26" s="727">
        <v>1</v>
      </c>
      <c r="AC26" s="727">
        <v>1</v>
      </c>
    </row>
    <row r="27" spans="1:29" s="455" customFormat="1" ht="28.5">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71"/>
      <c r="Q27" s="711" t="str">
        <f t="shared" ref="Q27" si="9">B27</f>
        <v>基础设施水平</v>
      </c>
      <c r="R27" s="708" t="s">
        <v>942</v>
      </c>
      <c r="S27" s="709">
        <f>F27</f>
        <v>100</v>
      </c>
      <c r="T27" s="708" t="s">
        <v>942</v>
      </c>
      <c r="U27" s="709">
        <f>H27</f>
        <v>100</v>
      </c>
      <c r="V27" s="708" t="s">
        <v>942</v>
      </c>
      <c r="W27" s="709">
        <f>J27</f>
        <v>100</v>
      </c>
      <c r="X27" s="710"/>
      <c r="Y27" s="3371"/>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71"/>
      <c r="Q28" s="711"/>
      <c r="R28" s="708"/>
      <c r="S28" s="709"/>
      <c r="T28" s="708"/>
      <c r="U28" s="709"/>
      <c r="V28" s="708"/>
      <c r="W28" s="709"/>
      <c r="X28" s="710"/>
      <c r="Y28" s="3371"/>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71"/>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71"/>
      <c r="Z29" s="706" t="str">
        <f t="shared" ref="Z29:Z42" si="13">Q29</f>
        <v>临街状况</v>
      </c>
      <c r="AA29" s="718">
        <f t="shared" si="3"/>
        <v>1</v>
      </c>
      <c r="AB29" s="718">
        <f t="shared" si="4"/>
        <v>1</v>
      </c>
      <c r="AC29" s="718">
        <f t="shared" si="5"/>
        <v>1</v>
      </c>
    </row>
    <row r="30" spans="1:29" ht="27">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71"/>
      <c r="Q30" s="647" t="str">
        <f t="shared" si="8"/>
        <v>毗邻道路的类型与等级</v>
      </c>
      <c r="R30" s="712" t="s">
        <v>942</v>
      </c>
      <c r="S30" s="713">
        <f t="shared" si="10"/>
        <v>100</v>
      </c>
      <c r="T30" s="712" t="s">
        <v>942</v>
      </c>
      <c r="U30" s="713">
        <f t="shared" si="11"/>
        <v>100</v>
      </c>
      <c r="V30" s="712" t="s">
        <v>942</v>
      </c>
      <c r="W30" s="713">
        <f t="shared" si="12"/>
        <v>100</v>
      </c>
      <c r="X30" s="707"/>
      <c r="Y30" s="3371"/>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71"/>
      <c r="Q31" s="647"/>
      <c r="R31" s="712"/>
      <c r="S31" s="713"/>
      <c r="T31" s="712"/>
      <c r="U31" s="713"/>
      <c r="V31" s="712"/>
      <c r="W31" s="713"/>
      <c r="X31" s="707"/>
      <c r="Y31" s="3371"/>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71"/>
      <c r="Q32" s="647" t="str">
        <f t="shared" si="8"/>
        <v>土地级别</v>
      </c>
      <c r="R32" s="712" t="s">
        <v>942</v>
      </c>
      <c r="S32" s="713">
        <f t="shared" si="10"/>
        <v>100</v>
      </c>
      <c r="T32" s="712" t="s">
        <v>942</v>
      </c>
      <c r="U32" s="713">
        <f t="shared" si="11"/>
        <v>100</v>
      </c>
      <c r="V32" s="712" t="s">
        <v>942</v>
      </c>
      <c r="W32" s="713">
        <f t="shared" si="12"/>
        <v>100</v>
      </c>
      <c r="X32" s="707"/>
      <c r="Y32" s="3371"/>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71"/>
      <c r="Q33" s="647">
        <f t="shared" si="8"/>
        <v>111</v>
      </c>
      <c r="R33" s="712" t="s">
        <v>942</v>
      </c>
      <c r="S33" s="713">
        <f t="shared" si="10"/>
        <v>100</v>
      </c>
      <c r="T33" s="712" t="s">
        <v>942</v>
      </c>
      <c r="U33" s="713">
        <f t="shared" si="11"/>
        <v>100</v>
      </c>
      <c r="V33" s="712" t="s">
        <v>942</v>
      </c>
      <c r="W33" s="713">
        <f t="shared" si="12"/>
        <v>100</v>
      </c>
      <c r="X33" s="707"/>
      <c r="Y33" s="3371"/>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72" t="s">
        <v>960</v>
      </c>
      <c r="Q34" s="647">
        <f t="shared" si="8"/>
        <v>111</v>
      </c>
      <c r="R34" s="712" t="s">
        <v>942</v>
      </c>
      <c r="S34" s="713">
        <f t="shared" si="10"/>
        <v>100</v>
      </c>
      <c r="T34" s="712" t="s">
        <v>942</v>
      </c>
      <c r="U34" s="713">
        <f t="shared" si="11"/>
        <v>100</v>
      </c>
      <c r="V34" s="712" t="s">
        <v>942</v>
      </c>
      <c r="W34" s="713">
        <f t="shared" si="12"/>
        <v>100</v>
      </c>
      <c r="X34" s="707"/>
      <c r="Y34" s="3373"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73"/>
      <c r="Q35" s="647">
        <f t="shared" si="8"/>
        <v>111</v>
      </c>
      <c r="R35" s="715" t="s">
        <v>942</v>
      </c>
      <c r="S35" s="716">
        <f t="shared" si="10"/>
        <v>100</v>
      </c>
      <c r="T35" s="715" t="s">
        <v>942</v>
      </c>
      <c r="U35" s="716">
        <f t="shared" si="11"/>
        <v>100</v>
      </c>
      <c r="V35" s="715" t="s">
        <v>942</v>
      </c>
      <c r="W35" s="716">
        <f t="shared" si="12"/>
        <v>100</v>
      </c>
      <c r="X35" s="717"/>
      <c r="Y35" s="3373"/>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73"/>
      <c r="Q36" s="647" t="str">
        <f t="shared" si="8"/>
        <v>宗地面积</v>
      </c>
      <c r="R36" s="712" t="s">
        <v>942</v>
      </c>
      <c r="S36" s="713" t="e">
        <f t="shared" si="10"/>
        <v>#N/A</v>
      </c>
      <c r="T36" s="712" t="s">
        <v>942</v>
      </c>
      <c r="U36" s="713" t="e">
        <f t="shared" si="11"/>
        <v>#N/A</v>
      </c>
      <c r="V36" s="712" t="s">
        <v>942</v>
      </c>
      <c r="W36" s="713" t="e">
        <f t="shared" si="12"/>
        <v>#N/A</v>
      </c>
      <c r="X36" s="707"/>
      <c r="Y36" s="3373"/>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73"/>
      <c r="Q37" s="647" t="str">
        <f t="shared" ref="Q37:Q42" si="14">B37</f>
        <v>宗地形状</v>
      </c>
      <c r="R37" s="712" t="s">
        <v>942</v>
      </c>
      <c r="S37" s="713">
        <f t="shared" si="10"/>
        <v>100</v>
      </c>
      <c r="T37" s="712" t="s">
        <v>942</v>
      </c>
      <c r="U37" s="713">
        <f t="shared" si="11"/>
        <v>100</v>
      </c>
      <c r="V37" s="712" t="s">
        <v>942</v>
      </c>
      <c r="W37" s="713">
        <f t="shared" si="12"/>
        <v>100</v>
      </c>
      <c r="X37" s="707"/>
      <c r="Y37" s="3373"/>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73"/>
      <c r="Q38" s="647" t="str">
        <f t="shared" si="14"/>
        <v>宗地开发程度</v>
      </c>
      <c r="R38" s="708" t="s">
        <v>942</v>
      </c>
      <c r="S38" s="709">
        <f t="shared" si="10"/>
        <v>100</v>
      </c>
      <c r="T38" s="708" t="s">
        <v>942</v>
      </c>
      <c r="U38" s="709">
        <f t="shared" si="11"/>
        <v>100</v>
      </c>
      <c r="V38" s="708" t="s">
        <v>942</v>
      </c>
      <c r="W38" s="709">
        <f t="shared" si="12"/>
        <v>100</v>
      </c>
      <c r="X38" s="710"/>
      <c r="Y38" s="3373"/>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3" t="s">
        <v>960</v>
      </c>
      <c r="Q39" s="647" t="str">
        <f t="shared" si="14"/>
        <v>工程地质条件</v>
      </c>
      <c r="R39" s="712" t="s">
        <v>942</v>
      </c>
      <c r="S39" s="713">
        <f t="shared" si="10"/>
        <v>100</v>
      </c>
      <c r="T39" s="712" t="s">
        <v>942</v>
      </c>
      <c r="U39" s="713">
        <f t="shared" si="11"/>
        <v>100</v>
      </c>
      <c r="V39" s="712" t="s">
        <v>942</v>
      </c>
      <c r="W39" s="713">
        <f t="shared" si="12"/>
        <v>100</v>
      </c>
      <c r="X39" s="707"/>
      <c r="Y39" s="3373"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73"/>
      <c r="Q40" s="647">
        <f t="shared" si="14"/>
        <v>111</v>
      </c>
      <c r="R40" s="712" t="s">
        <v>942</v>
      </c>
      <c r="S40" s="713">
        <f t="shared" si="10"/>
        <v>100</v>
      </c>
      <c r="T40" s="712" t="s">
        <v>942</v>
      </c>
      <c r="U40" s="713">
        <f t="shared" si="11"/>
        <v>100</v>
      </c>
      <c r="V40" s="712" t="s">
        <v>942</v>
      </c>
      <c r="W40" s="713">
        <f t="shared" si="12"/>
        <v>100</v>
      </c>
      <c r="X40" s="707"/>
      <c r="Y40" s="3373"/>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73"/>
      <c r="Q41" s="647">
        <f t="shared" si="14"/>
        <v>111</v>
      </c>
      <c r="R41" s="712" t="s">
        <v>942</v>
      </c>
      <c r="S41" s="713">
        <f t="shared" si="10"/>
        <v>100</v>
      </c>
      <c r="T41" s="712" t="s">
        <v>942</v>
      </c>
      <c r="U41" s="713">
        <f t="shared" si="11"/>
        <v>100</v>
      </c>
      <c r="V41" s="712" t="s">
        <v>942</v>
      </c>
      <c r="W41" s="713">
        <f t="shared" si="12"/>
        <v>100</v>
      </c>
      <c r="X41" s="707"/>
      <c r="Y41" s="3373"/>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73"/>
      <c r="Q42" s="647">
        <f t="shared" si="14"/>
        <v>111</v>
      </c>
      <c r="R42" s="715" t="s">
        <v>942</v>
      </c>
      <c r="S42" s="716">
        <f t="shared" si="10"/>
        <v>100</v>
      </c>
      <c r="T42" s="715" t="s">
        <v>942</v>
      </c>
      <c r="U42" s="716">
        <f t="shared" si="11"/>
        <v>100</v>
      </c>
      <c r="V42" s="715" t="s">
        <v>942</v>
      </c>
      <c r="W42" s="716">
        <f t="shared" si="12"/>
        <v>100</v>
      </c>
      <c r="X42" s="717"/>
      <c r="Y42" s="3373"/>
      <c r="Z42" s="729">
        <f t="shared" si="13"/>
        <v>111</v>
      </c>
      <c r="AA42" s="718">
        <f t="shared" si="3"/>
        <v>1</v>
      </c>
      <c r="AB42" s="718">
        <f t="shared" si="4"/>
        <v>1</v>
      </c>
      <c r="AC42" s="718">
        <f t="shared" si="5"/>
        <v>1</v>
      </c>
    </row>
    <row r="43" spans="1:29" ht="15">
      <c r="A43" s="567" t="s">
        <v>970</v>
      </c>
      <c r="B43" s="1759" t="s">
        <v>1175</v>
      </c>
      <c r="C43" s="1760" t="s">
        <v>138</v>
      </c>
      <c r="D43" s="1761"/>
      <c r="E43" s="1762"/>
      <c r="F43" s="1763"/>
      <c r="G43" s="1764"/>
      <c r="H43" s="1765"/>
      <c r="I43" s="1762"/>
      <c r="J43" s="1765"/>
      <c r="K43" s="1805"/>
      <c r="L43" s="662"/>
      <c r="M43" s="642"/>
      <c r="N43" s="642"/>
      <c r="O43" s="583"/>
      <c r="P43" s="3369" t="str">
        <f>A43</f>
        <v>成交单价</v>
      </c>
      <c r="Q43" s="3369"/>
      <c r="R43" s="3378">
        <f>E43</f>
        <v>0</v>
      </c>
      <c r="S43" s="3378"/>
      <c r="T43" s="3378">
        <f>G43</f>
        <v>0</v>
      </c>
      <c r="U43" s="3378"/>
      <c r="V43" s="3378">
        <f>I43</f>
        <v>0</v>
      </c>
      <c r="W43" s="3378"/>
      <c r="X43" s="594"/>
      <c r="Y43" s="730"/>
      <c r="Z43" s="594"/>
      <c r="AA43" s="594"/>
      <c r="AB43" s="594"/>
      <c r="AC43" s="594"/>
    </row>
    <row r="44" spans="1:29" ht="15">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69" t="str">
        <f>A44</f>
        <v>比较价格（元/平方米）</v>
      </c>
      <c r="Q44" s="3369"/>
      <c r="R44" s="3374" t="e">
        <f>ROUND(PRODUCT(R43,AA9:AA42),0)</f>
        <v>#DIV/0!</v>
      </c>
      <c r="S44" s="3374"/>
      <c r="T44" s="3374" t="e">
        <f>ROUND(PRODUCT(T43,AB9:AB42),0)</f>
        <v>#DIV/0!</v>
      </c>
      <c r="U44" s="3374"/>
      <c r="V44" s="3374" t="e">
        <f>ROUND(PRODUCT(V43,AC9:AC42),0)</f>
        <v>#DIV/0!</v>
      </c>
      <c r="W44" s="3374"/>
      <c r="X44" s="594"/>
      <c r="Y44" s="594"/>
      <c r="Z44" s="594"/>
      <c r="AA44" s="594"/>
      <c r="AB44" s="594"/>
      <c r="AC44" s="594"/>
    </row>
    <row r="45" spans="1:29" ht="15">
      <c r="A45" s="580" t="s">
        <v>972</v>
      </c>
      <c r="B45" s="581"/>
      <c r="C45" s="1771" t="e">
        <f>R45</f>
        <v>#DIV/0!</v>
      </c>
      <c r="D45" s="1771"/>
      <c r="E45" s="1771"/>
      <c r="F45" s="1771"/>
      <c r="G45" s="1771"/>
      <c r="H45" s="1771"/>
      <c r="I45" s="1771"/>
      <c r="J45" s="1771"/>
      <c r="K45" s="1807"/>
      <c r="L45" s="662"/>
      <c r="M45" s="642"/>
      <c r="N45" s="642"/>
      <c r="O45" s="583"/>
      <c r="P45" s="3375" t="str">
        <f>A45</f>
        <v>估价对象XX用房的比较价格（楼面单价，元/平方米）</v>
      </c>
      <c r="Q45" s="3376"/>
      <c r="R45" s="3377" t="e">
        <f>ROUND(AVERAGE(R44:V44),0)</f>
        <v>#DIV/0!</v>
      </c>
      <c r="S45" s="3377"/>
      <c r="T45" s="3377"/>
      <c r="U45" s="3377"/>
      <c r="V45" s="3377"/>
      <c r="W45" s="3377"/>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7">
      <c r="A52" s="1772" t="s">
        <v>976</v>
      </c>
      <c r="B52" s="1773" t="s">
        <v>977</v>
      </c>
      <c r="C52" s="1774" t="s">
        <v>978</v>
      </c>
      <c r="D52" s="1775" t="s">
        <v>979</v>
      </c>
      <c r="E52" s="1776" t="s">
        <v>980</v>
      </c>
      <c r="F52" s="1777" t="s">
        <v>981</v>
      </c>
      <c r="G52" s="3406" t="s">
        <v>982</v>
      </c>
      <c r="H52" s="3407"/>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2.75">
      <c r="A53" s="1778" t="s">
        <v>984</v>
      </c>
      <c r="B53" s="1779" t="e">
        <f>C45</f>
        <v>#DIV/0!</v>
      </c>
      <c r="C53" s="1780">
        <v>1</v>
      </c>
      <c r="D53" s="1781">
        <v>1</v>
      </c>
      <c r="E53" s="1780">
        <f>'数据-汇总表'!E8+'数据-汇总表'!E9</f>
        <v>399009.6</v>
      </c>
      <c r="F53" s="1782" t="e">
        <f t="shared" ref="F53:F62" si="15">ROUND(B53*E53/10000,0)</f>
        <v>#DIV/0!</v>
      </c>
      <c r="G53" s="3408"/>
      <c r="H53" s="3409"/>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985</v>
      </c>
      <c r="B54" s="1784" t="e">
        <f>ROUND($C$45*C54*D54,0)</f>
        <v>#DIV/0!</v>
      </c>
      <c r="C54" s="1547">
        <f t="shared" ref="C54:C62" si="16">IF($C$52="北京市系数",I54,J54)</f>
        <v>0</v>
      </c>
      <c r="D54" s="1785">
        <v>0.25</v>
      </c>
      <c r="E54" s="1786"/>
      <c r="F54" s="1782" t="e">
        <f t="shared" si="15"/>
        <v>#DIV/0!</v>
      </c>
      <c r="G54" s="3405"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987</v>
      </c>
      <c r="B55" s="1784" t="e">
        <f t="shared" ref="B55:B62" si="17">ROUND($C$45*C55*D55,0)</f>
        <v>#DIV/0!</v>
      </c>
      <c r="C55" s="1547">
        <f t="shared" si="16"/>
        <v>0</v>
      </c>
      <c r="D55" s="1785">
        <v>0.25</v>
      </c>
      <c r="E55" s="1786"/>
      <c r="F55" s="1782" t="e">
        <f t="shared" si="15"/>
        <v>#DIV/0!</v>
      </c>
      <c r="G55" s="3405"/>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988</v>
      </c>
      <c r="B56" s="1784" t="e">
        <f t="shared" si="17"/>
        <v>#DIV/0!</v>
      </c>
      <c r="C56" s="1547">
        <f t="shared" si="16"/>
        <v>0</v>
      </c>
      <c r="D56" s="1785">
        <v>0.25</v>
      </c>
      <c r="E56" s="1786"/>
      <c r="F56" s="1782" t="e">
        <f t="shared" si="15"/>
        <v>#DIV/0!</v>
      </c>
      <c r="G56" s="3405"/>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989</v>
      </c>
      <c r="B57" s="1784" t="e">
        <f t="shared" si="17"/>
        <v>#DIV/0!</v>
      </c>
      <c r="C57" s="1547">
        <f t="shared" si="16"/>
        <v>0</v>
      </c>
      <c r="D57" s="1785">
        <v>0.25</v>
      </c>
      <c r="E57" s="1786"/>
      <c r="F57" s="1782" t="e">
        <f t="shared" si="15"/>
        <v>#DIV/0!</v>
      </c>
      <c r="G57" s="3405"/>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5">
      <c r="A67" s="1817" t="s">
        <v>1176</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5">
      <c r="A69" s="605" t="s">
        <v>1177</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5">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ht="15">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ht="15">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7">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ht="15">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ht="15">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ht="15">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ht="15">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ht="15">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ht="15">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ht="15">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ht="15">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ht="15">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5">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ht="15">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7">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ht="15">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7">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ht="15">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5">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ht="15">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5">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ht="15">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5">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ht="15">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7">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ht="15">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5">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ht="15">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ht="15">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ht="15">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ht="15">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ht="15">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ht="15">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ht="15">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ht="15">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ht="15">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60">
      <formula1>"住宅,工业"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1178</v>
      </c>
      <c r="B1" s="1396"/>
      <c r="C1" s="1397" t="s">
        <v>383</v>
      </c>
      <c r="D1" s="1398">
        <f>SUM(D29:D30,D33:D39)</f>
        <v>0</v>
      </c>
      <c r="E1" s="1397" t="s">
        <v>386</v>
      </c>
      <c r="F1" s="1399"/>
      <c r="G1" s="1400"/>
      <c r="H1" s="1400"/>
      <c r="I1" s="1400"/>
      <c r="J1" s="1400"/>
      <c r="K1" s="1400"/>
      <c r="L1" s="1585" t="s">
        <v>1179</v>
      </c>
      <c r="M1" s="1586">
        <f>SUMPRODUCT((区片价!B5:B9=I2)*(区片价!C3:F3=E2)*(区片价!C5:F9))</f>
        <v>0</v>
      </c>
      <c r="N1" s="1587">
        <f>SUMPRODUCT((因素修正幅度!B5:B9=I2)*(因素修正幅度!C3:F3=E2)*(因素修正幅度!C5:F9))</f>
        <v>0</v>
      </c>
      <c r="O1" s="1400"/>
      <c r="P1" s="1400"/>
      <c r="Q1" s="1663"/>
      <c r="R1" s="1673" t="s">
        <v>1180</v>
      </c>
      <c r="S1" s="1673" t="s">
        <v>1181</v>
      </c>
      <c r="T1" s="1673" t="s">
        <v>1182</v>
      </c>
      <c r="U1" s="1673" t="s">
        <v>1183</v>
      </c>
      <c r="V1" s="1673" t="s">
        <v>628</v>
      </c>
      <c r="W1" s="1663"/>
      <c r="X1" s="1663"/>
      <c r="Y1" s="1663"/>
      <c r="Z1" s="1663"/>
      <c r="AA1" s="1663"/>
      <c r="AB1" s="1663"/>
      <c r="AC1" s="1684"/>
    </row>
    <row r="2" spans="1:39" ht="15.75">
      <c r="A2" s="1397" t="s">
        <v>1184</v>
      </c>
      <c r="B2" s="1401" t="e">
        <f>C26</f>
        <v>#DIV/0!</v>
      </c>
      <c r="C2" s="1402" t="s">
        <v>1112</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1185</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75">
      <c r="A3" s="1406" t="s">
        <v>927</v>
      </c>
      <c r="B3" s="1401" t="e">
        <f>ROUND(B2*10000/D1,0)</f>
        <v>#DIV/0!</v>
      </c>
      <c r="C3" s="1402" t="s">
        <v>1186</v>
      </c>
      <c r="D3" s="1403" t="s">
        <v>1187</v>
      </c>
      <c r="E3" s="1407"/>
      <c r="F3" s="1408"/>
      <c r="G3" s="1409">
        <f>IF(F3="宗地容积率",'数据-汇总表'!I4,IF(F3="估价对象容积率",'数据-汇总表'!I6,'数据-汇总表'!I7))</f>
        <v>3.6</v>
      </c>
      <c r="H3" s="1410" t="s">
        <v>1188</v>
      </c>
      <c r="I3" s="1593">
        <v>8</v>
      </c>
      <c r="J3" s="1589" t="s">
        <v>1189</v>
      </c>
      <c r="K3" s="1589"/>
      <c r="L3" s="1590" t="s">
        <v>1190</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1191</v>
      </c>
      <c r="B4" s="1412" t="e">
        <f>ROUND(B2*10000/F1,0)</f>
        <v>#DIV/0!</v>
      </c>
      <c r="C4" s="1413" t="s">
        <v>1186</v>
      </c>
      <c r="D4" s="1413" t="e">
        <f>ROUND(B2/(F1/666.67),0)</f>
        <v>#DIV/0!</v>
      </c>
      <c r="E4" s="1413" t="s">
        <v>1192</v>
      </c>
      <c r="F4" s="1414"/>
      <c r="G4" s="1414"/>
      <c r="H4" s="1414"/>
      <c r="I4" s="1414"/>
      <c r="J4" s="1594"/>
      <c r="K4" s="1595"/>
      <c r="L4" s="1590" t="s">
        <v>1193</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1194</v>
      </c>
      <c r="C5" s="1417" t="e">
        <f>ROUND(IF(E2="商业",C6*C7+C16,(IF(E2="住宅",C6*C12+C16,C6+C16))),0)</f>
        <v>#DIV/0!</v>
      </c>
      <c r="D5" s="1418" t="e">
        <f>ROUND(C6+C16,0)</f>
        <v>#DIV/0!</v>
      </c>
      <c r="E5" s="1418"/>
      <c r="F5" s="1419"/>
      <c r="G5" s="1420"/>
      <c r="H5" s="1420"/>
      <c r="I5" s="1420"/>
      <c r="J5" s="1596"/>
      <c r="K5" s="1475"/>
      <c r="L5" s="1590" t="s">
        <v>1195</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1196</v>
      </c>
      <c r="B6" s="1422" t="s">
        <v>1194</v>
      </c>
      <c r="C6" s="1423">
        <f>SUMIF(L1:L12,基准地价!G2,M1:M12)</f>
        <v>0</v>
      </c>
      <c r="D6" s="1424" t="s">
        <v>1197</v>
      </c>
      <c r="E6" s="1425"/>
      <c r="F6" s="1425"/>
      <c r="G6" s="1426"/>
      <c r="H6" s="1426"/>
      <c r="I6" s="1426"/>
      <c r="J6" s="1598"/>
      <c r="K6" s="1458"/>
      <c r="L6" s="1590" t="s">
        <v>1198</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16" t="str">
        <f>IF(E2="商业",IF(C8="不临58条商业街","",2),"")</f>
        <v/>
      </c>
      <c r="B7" s="1427" t="s">
        <v>1199</v>
      </c>
      <c r="C7" s="1428" t="e">
        <f>IF(C8="不临58条商业街",1,ROUND(1+(1.6*E8+1.2*E9+0.8*E10+0.4*E11)*C9,4))</f>
        <v>#DIV/0!</v>
      </c>
      <c r="D7" s="1429" t="s">
        <v>1200</v>
      </c>
      <c r="E7" s="1430"/>
      <c r="F7" s="1431"/>
      <c r="G7" s="1432"/>
      <c r="H7" s="1432"/>
      <c r="I7" s="1432"/>
      <c r="J7" s="1600"/>
      <c r="K7" s="1458"/>
      <c r="L7" s="1590" t="s">
        <v>1201</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1202</v>
      </c>
      <c r="X7" s="1677">
        <f>G2</f>
        <v>0</v>
      </c>
      <c r="Y7" s="1677" t="s">
        <v>1203</v>
      </c>
      <c r="Z7" s="1688">
        <f>G3</f>
        <v>3.6</v>
      </c>
      <c r="AA7" s="1680"/>
      <c r="AB7" s="1680"/>
      <c r="AC7" s="1681"/>
      <c r="AD7" s="1689"/>
      <c r="AE7" s="1689"/>
      <c r="AF7" s="1689"/>
      <c r="AG7" s="1689"/>
      <c r="AH7" s="1689"/>
      <c r="AI7" s="1689"/>
      <c r="AJ7" s="1697"/>
    </row>
    <row r="8" spans="1:39" ht="15">
      <c r="A8" s="3417"/>
      <c r="B8" s="1410" t="s">
        <v>1204</v>
      </c>
      <c r="C8" s="1433"/>
      <c r="D8" s="1434" t="s">
        <v>1205</v>
      </c>
      <c r="E8" s="1435" t="e">
        <f>ROUND(C11/E7,4)</f>
        <v>#DIV/0!</v>
      </c>
      <c r="F8" s="1436" t="s">
        <v>1206</v>
      </c>
      <c r="G8" s="1437"/>
      <c r="H8" s="1437"/>
      <c r="I8" s="1437"/>
      <c r="J8" s="1601"/>
      <c r="K8" s="1458"/>
      <c r="L8" s="1590" t="s">
        <v>1207</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0" t="s">
        <v>1208</v>
      </c>
      <c r="X8" s="3411"/>
      <c r="Y8" s="1524" t="s">
        <v>1209</v>
      </c>
      <c r="Z8" s="1524" t="s">
        <v>1210</v>
      </c>
      <c r="AA8" s="1524" t="s">
        <v>1211</v>
      </c>
      <c r="AB8" s="1524" t="s">
        <v>1212</v>
      </c>
      <c r="AC8" s="1524" t="s">
        <v>1213</v>
      </c>
      <c r="AD8" s="1524" t="s">
        <v>1214</v>
      </c>
      <c r="AE8" s="1524" t="s">
        <v>1215</v>
      </c>
      <c r="AF8" s="1524" t="s">
        <v>1216</v>
      </c>
      <c r="AG8" s="1524" t="s">
        <v>1217</v>
      </c>
      <c r="AH8" s="1524" t="s">
        <v>1218</v>
      </c>
      <c r="AI8" s="1524" t="s">
        <v>1219</v>
      </c>
      <c r="AJ8" s="1524" t="s">
        <v>1220</v>
      </c>
    </row>
    <row r="9" spans="1:39" ht="15">
      <c r="A9" s="3417"/>
      <c r="B9" s="1410" t="s">
        <v>1221</v>
      </c>
      <c r="C9" s="1438">
        <f>SUMIF(修正!C59:C119,C8,修正!E59:E119)</f>
        <v>0</v>
      </c>
      <c r="D9" s="1439" t="s">
        <v>1222</v>
      </c>
      <c r="E9" s="1439" t="e">
        <f>ROUND(C11/E7,4)</f>
        <v>#DIV/0!</v>
      </c>
      <c r="F9" s="1436" t="s">
        <v>1223</v>
      </c>
      <c r="G9" s="1437"/>
      <c r="H9" s="1437"/>
      <c r="I9" s="1437"/>
      <c r="J9" s="1601"/>
      <c r="K9" s="1458"/>
      <c r="L9" s="1590" t="s">
        <v>1224</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0" t="s">
        <v>1225</v>
      </c>
      <c r="X9" s="1678" t="s">
        <v>1226</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7"/>
      <c r="B10" s="1410" t="s">
        <v>1227</v>
      </c>
      <c r="C10" s="1439">
        <f>SUMIF(修正!C59:C119,C8,修正!F59:F119)</f>
        <v>0</v>
      </c>
      <c r="D10" s="1439" t="s">
        <v>1228</v>
      </c>
      <c r="E10" s="1439" t="e">
        <f>ROUND(C11/E7,4)</f>
        <v>#DIV/0!</v>
      </c>
      <c r="F10" s="1436" t="s">
        <v>1229</v>
      </c>
      <c r="G10" s="1437"/>
      <c r="H10" s="1437"/>
      <c r="I10" s="1437"/>
      <c r="J10" s="1601"/>
      <c r="K10" s="1458"/>
      <c r="L10" s="1590" t="s">
        <v>1230</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0"/>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7"/>
      <c r="B11" s="1440" t="s">
        <v>1231</v>
      </c>
      <c r="C11" s="1441">
        <f>C10/4</f>
        <v>0</v>
      </c>
      <c r="D11" s="1441" t="s">
        <v>1232</v>
      </c>
      <c r="E11" s="1441" t="e">
        <f>ROUND(C11/E7,4)</f>
        <v>#DIV/0!</v>
      </c>
      <c r="F11" s="1442" t="s">
        <v>1233</v>
      </c>
      <c r="G11" s="1443"/>
      <c r="H11" s="1443"/>
      <c r="I11" s="1443"/>
      <c r="J11" s="1602"/>
      <c r="K11" s="1458"/>
      <c r="L11" s="1590" t="s">
        <v>1234</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0" t="s">
        <v>1235</v>
      </c>
      <c r="X11" s="1439" t="s">
        <v>1203</v>
      </c>
      <c r="Y11" s="1588">
        <f>$G$3</f>
        <v>3.6</v>
      </c>
      <c r="Z11" s="1588">
        <f t="shared" ref="Z11:AJ11" si="3">$G$3</f>
        <v>3.6</v>
      </c>
      <c r="AA11" s="1588">
        <f t="shared" si="3"/>
        <v>3.6</v>
      </c>
      <c r="AB11" s="1588">
        <f t="shared" si="3"/>
        <v>3.6</v>
      </c>
      <c r="AC11" s="1588">
        <f t="shared" si="3"/>
        <v>3.6</v>
      </c>
      <c r="AD11" s="1588">
        <f t="shared" si="3"/>
        <v>3.6</v>
      </c>
      <c r="AE11" s="1588">
        <f t="shared" si="3"/>
        <v>3.6</v>
      </c>
      <c r="AF11" s="1588">
        <f t="shared" si="3"/>
        <v>3.6</v>
      </c>
      <c r="AG11" s="1588">
        <f t="shared" si="3"/>
        <v>3.6</v>
      </c>
      <c r="AH11" s="1588">
        <f t="shared" si="3"/>
        <v>3.6</v>
      </c>
      <c r="AI11" s="1588">
        <f t="shared" si="3"/>
        <v>3.6</v>
      </c>
      <c r="AJ11" s="1588">
        <f t="shared" si="3"/>
        <v>3.6</v>
      </c>
    </row>
    <row r="12" spans="1:39" ht="24.75">
      <c r="A12" s="3416" t="s">
        <v>1236</v>
      </c>
      <c r="B12" s="1444" t="s">
        <v>1237</v>
      </c>
      <c r="C12" s="1428">
        <f>ROUND(C15*D15*E15*F15*G15*H15*I15*J15,4)</f>
        <v>1</v>
      </c>
      <c r="D12" s="1445" t="s">
        <v>1238</v>
      </c>
      <c r="E12" s="1446"/>
      <c r="F12" s="1446"/>
      <c r="G12" s="1447"/>
      <c r="H12" s="1447"/>
      <c r="I12" s="1447"/>
      <c r="J12" s="1603"/>
      <c r="K12" s="1458"/>
      <c r="L12" s="1604" t="s">
        <v>1239</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0"/>
      <c r="X12" s="1679" t="s">
        <v>1240</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8"/>
      <c r="B13" s="1448" t="s">
        <v>1241</v>
      </c>
      <c r="C13" s="1449" t="s">
        <v>1242</v>
      </c>
      <c r="D13" s="1326" t="s">
        <v>1243</v>
      </c>
      <c r="E13" s="1326" t="s">
        <v>1244</v>
      </c>
      <c r="F13" s="1450" t="s">
        <v>1245</v>
      </c>
      <c r="G13" s="1451" t="s">
        <v>1246</v>
      </c>
      <c r="H13" s="1452" t="s">
        <v>1246</v>
      </c>
      <c r="I13" s="1607" t="s">
        <v>1246</v>
      </c>
      <c r="J13" s="1608" t="s">
        <v>1246</v>
      </c>
      <c r="K13" s="1609"/>
      <c r="L13" s="1609"/>
      <c r="M13" s="1609"/>
      <c r="N13" s="1609"/>
      <c r="O13" s="1609"/>
      <c r="P13" s="1400"/>
      <c r="Q13" s="1663"/>
      <c r="R13" s="1674">
        <v>12</v>
      </c>
      <c r="S13" s="1675"/>
      <c r="T13" s="1674" t="e">
        <f t="shared" si="0"/>
        <v>#DIV/0!</v>
      </c>
      <c r="U13" s="1675"/>
      <c r="V13" s="1674" t="e">
        <f t="shared" si="1"/>
        <v>#DIV/0!</v>
      </c>
      <c r="W13" s="3430"/>
      <c r="X13" s="1679"/>
      <c r="Y13" s="1692">
        <f>(-0.163*(Y12^2)-0.59*Y12+7617)*(10^(-4))/Y11</f>
        <v>0.21158333333333335</v>
      </c>
      <c r="Z13" s="1692">
        <f t="shared" ref="Z13:AJ13" si="5">(-0.163*(Z12^2)-0.59*Z12+7617)*(10^(-4))/Z11</f>
        <v>0.21158333333333335</v>
      </c>
      <c r="AA13" s="1692">
        <f t="shared" si="5"/>
        <v>0.21158333333333335</v>
      </c>
      <c r="AB13" s="1692">
        <f t="shared" si="5"/>
        <v>0.21158333333333335</v>
      </c>
      <c r="AC13" s="1692">
        <f t="shared" si="5"/>
        <v>0.21158333333333335</v>
      </c>
      <c r="AD13" s="1692">
        <f t="shared" si="5"/>
        <v>0.21158333333333335</v>
      </c>
      <c r="AE13" s="1692">
        <f t="shared" si="5"/>
        <v>0.21158333333333335</v>
      </c>
      <c r="AF13" s="1692">
        <f t="shared" si="5"/>
        <v>0.21158333333333335</v>
      </c>
      <c r="AG13" s="1692">
        <f t="shared" si="5"/>
        <v>0.21158333333333335</v>
      </c>
      <c r="AH13" s="1692">
        <f t="shared" si="5"/>
        <v>0.21158333333333335</v>
      </c>
      <c r="AI13" s="1692">
        <f t="shared" si="5"/>
        <v>0.21158333333333335</v>
      </c>
      <c r="AJ13" s="1692">
        <f t="shared" si="5"/>
        <v>0.21158333333333335</v>
      </c>
    </row>
    <row r="14" spans="1:39" ht="12.75" customHeight="1">
      <c r="A14" s="3418"/>
      <c r="B14" s="1453"/>
      <c r="C14" s="1454"/>
      <c r="D14" s="1455"/>
      <c r="E14" s="1455"/>
      <c r="F14" s="1456"/>
      <c r="G14" s="1457" t="s">
        <v>1247</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9"/>
      <c r="B15" s="1459" t="s">
        <v>1248</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16" t="s">
        <v>912</v>
      </c>
      <c r="B16" s="1427" t="s">
        <v>1249</v>
      </c>
      <c r="C16" s="1461" t="e">
        <f>ROUND(IF(F17="与级别开发程度一致",0,(G17-E17)/C17),0)</f>
        <v>#DIV/0!</v>
      </c>
      <c r="D16" s="3412" t="s">
        <v>1250</v>
      </c>
      <c r="E16" s="3413"/>
      <c r="F16" s="3412" t="s">
        <v>1251</v>
      </c>
      <c r="G16" s="3413"/>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420"/>
      <c r="B17" s="1463" t="s">
        <v>1252</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868</v>
      </c>
      <c r="B18" s="1470" t="s">
        <v>1253</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873</v>
      </c>
      <c r="B19" s="1477" t="s">
        <v>1254</v>
      </c>
      <c r="C19" s="1478">
        <f>ROUND(IF(H19="按公示增长率计算",SUMPRODUCT((地价!A3:A29=YEAR(G19)&amp;"-"&amp;ROUNDUP(MONTH(G19)/3,0))*(地价!X2:AB2=E2)*(地价!X3:AB29)),IF(H19="地价指数",M20/M19,(1+I19)^O19)),4)</f>
        <v>0</v>
      </c>
      <c r="D19" s="1479" t="s">
        <v>1255</v>
      </c>
      <c r="E19" s="1480">
        <v>41640</v>
      </c>
      <c r="F19" s="1479" t="s">
        <v>351</v>
      </c>
      <c r="G19" s="1481">
        <f>'数据-取费表'!B2</f>
        <v>43871</v>
      </c>
      <c r="H19" s="1482" t="s">
        <v>1256</v>
      </c>
      <c r="I19" s="1618" t="str">
        <f>IF(H19="季度增幅（自定义）",SUMIF(N21:N24,E2,O21:O24),"")</f>
        <v/>
      </c>
      <c r="J19" s="1619"/>
      <c r="K19" s="1475"/>
      <c r="L19" s="1620" t="s">
        <v>1257</v>
      </c>
      <c r="M19" s="1621">
        <f>ROUND(SUMIF(地价!B2:F2,E2,地价!B29:F29),0)</f>
        <v>0</v>
      </c>
      <c r="N19" s="1622" t="s">
        <v>1258</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876</v>
      </c>
      <c r="B20" s="1483" t="s">
        <v>1259</v>
      </c>
      <c r="C20" s="1484" t="e">
        <f>ROUND(POWER(1+G20,J20-I20)*(POWER(1+G20,I20)-1)/(POWER(1+G20,J20)-1),4)</f>
        <v>#DIV/0!</v>
      </c>
      <c r="D20" s="1485" t="s">
        <v>1260</v>
      </c>
      <c r="E20" s="1486">
        <f ca="1">存贷款利率!I4/100</f>
        <v>4.3499999999999997E-2</v>
      </c>
      <c r="F20" s="1485" t="s">
        <v>1261</v>
      </c>
      <c r="G20" s="1487">
        <f>SUMIF(M26:P26,E2,M28:P28)</f>
        <v>0</v>
      </c>
      <c r="H20" s="1485" t="s">
        <v>1262</v>
      </c>
      <c r="I20" s="1625" t="e">
        <f>SUMIF('数据-取费表'!C6:C15,E2,'数据-取费表'!F6:F15)/COUNTIF('数据-取费表'!C6:C15,E2)</f>
        <v>#DIV/0!</v>
      </c>
      <c r="J20" s="1626">
        <f>IF(E2="住宅",70,IF(E2="商业",40,50))</f>
        <v>50</v>
      </c>
      <c r="K20" s="1627"/>
      <c r="L20" s="1628" t="s">
        <v>1263</v>
      </c>
      <c r="M20" s="1629">
        <f>ROUND(SUMPRODUCT((地价!A4:A29=YEAR(G19)&amp;"-"&amp;ROUNDUP(MONTH(G19)/3,0))*(地价!B2:F2=E2)*(地价!B4:F29)),0)</f>
        <v>0</v>
      </c>
      <c r="N20" s="1630" t="s">
        <v>1264</v>
      </c>
      <c r="O20" s="1631" t="s">
        <v>1265</v>
      </c>
      <c r="P20" s="1632" t="s">
        <v>1266</v>
      </c>
      <c r="Q20" s="1683"/>
      <c r="R20" s="1641"/>
      <c r="S20" s="1641"/>
      <c r="T20" s="1641"/>
      <c r="U20" s="1641"/>
      <c r="V20" s="1641"/>
      <c r="W20" s="1641"/>
      <c r="X20" s="1641"/>
      <c r="Y20" s="1693"/>
      <c r="Z20" s="1693"/>
      <c r="AA20" s="1693"/>
      <c r="AB20" s="1693"/>
      <c r="AC20" s="1693"/>
      <c r="AD20" s="1693"/>
    </row>
    <row r="21" spans="1:40" s="1389" customFormat="1" ht="14.25">
      <c r="A21" s="1488" t="s">
        <v>902</v>
      </c>
      <c r="B21" s="1489" t="s">
        <v>1267</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25">
      <c r="A22" s="1492" t="s">
        <v>1196</v>
      </c>
      <c r="B22" s="1493" t="s">
        <v>1268</v>
      </c>
      <c r="C22" s="1494" t="s">
        <v>1269</v>
      </c>
      <c r="D22" s="1494" t="b">
        <f>IF(E22=G22,F22,IF(G3&lt;=10,ROUND(F22+(H22-F22)*(G3-E22)/(G22-E22),4),"——"))</f>
        <v>0</v>
      </c>
      <c r="E22" s="1409">
        <f>ROUNDDOWN(G3,1)</f>
        <v>3.6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3.6</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1270</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5">
      <c r="A23" s="1492" t="s">
        <v>1236</v>
      </c>
      <c r="B23" s="1493" t="s">
        <v>1271</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1272</v>
      </c>
      <c r="B24" s="1416" t="s">
        <v>1273</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25">
      <c r="A25" s="1500" t="s">
        <v>1274</v>
      </c>
      <c r="B25" s="1504" t="s">
        <v>1275</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1276</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1277</v>
      </c>
      <c r="C27" s="1512" t="e">
        <f>E30+SUM(I33:I39)</f>
        <v>#DIV/0!</v>
      </c>
      <c r="D27" s="1513"/>
      <c r="E27" s="1514"/>
      <c r="F27" s="1515"/>
      <c r="G27" s="1514"/>
      <c r="H27" s="1514"/>
      <c r="I27" s="1514"/>
      <c r="J27" s="1648"/>
      <c r="K27" s="1458"/>
      <c r="L27" s="1649" t="s">
        <v>1278</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1279</v>
      </c>
      <c r="C28" s="1518" t="s">
        <v>1280</v>
      </c>
      <c r="D28" s="1518" t="s">
        <v>383</v>
      </c>
      <c r="E28" s="1519" t="s">
        <v>628</v>
      </c>
      <c r="F28" s="1520"/>
      <c r="G28" s="1447"/>
      <c r="H28" s="1447"/>
      <c r="I28" s="1447"/>
      <c r="J28" s="1603"/>
      <c r="K28" s="1458"/>
      <c r="L28" s="1651" t="s">
        <v>1261</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1281</v>
      </c>
      <c r="C29" s="1508" t="e">
        <f>ROUND(C5*C18*C19*C20*C21*C24,0)</f>
        <v>#DIV/0!</v>
      </c>
      <c r="D29" s="1523"/>
      <c r="E29" s="1524" t="e">
        <f>ROUND(C29*D29/10000,0)</f>
        <v>#DIV/0!</v>
      </c>
      <c r="F29" s="1525" t="s">
        <v>1282</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1283</v>
      </c>
      <c r="C30" s="1468" t="e">
        <f>ROUND(IF(E2="工业",C29*M39,C29*M38),0)</f>
        <v>#DIV/0!</v>
      </c>
      <c r="D30" s="1529"/>
      <c r="E30" s="1524" t="e">
        <f>ROUND(C30*D30/10000,0)</f>
        <v>#DIV/0!</v>
      </c>
      <c r="F30" s="1530" t="s">
        <v>1284</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1285</v>
      </c>
      <c r="C31" s="1534" t="s">
        <v>1286</v>
      </c>
      <c r="D31" s="1447"/>
      <c r="E31" s="1534"/>
      <c r="F31" s="1534"/>
      <c r="G31" s="1445" t="s">
        <v>1284</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1280</v>
      </c>
      <c r="D32" s="1537" t="s">
        <v>383</v>
      </c>
      <c r="E32" s="1537" t="s">
        <v>628</v>
      </c>
      <c r="F32" s="1398" t="s">
        <v>1287</v>
      </c>
      <c r="G32" s="1538" t="s">
        <v>1280</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421" t="s">
        <v>1288</v>
      </c>
      <c r="B33" s="1539" t="s">
        <v>1289</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22"/>
      <c r="B34" s="1449" t="s">
        <v>1290</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22"/>
      <c r="B35" s="1449" t="s">
        <v>1291</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23"/>
      <c r="B36" s="1449" t="s">
        <v>1292</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1293</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1294</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1295</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1296</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1297</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1298</v>
      </c>
      <c r="C41" s="197" t="e">
        <f>ROUND(POWER(1+E41,H41-G41)*(POWER(1+E41,G41)-1)/(POWER(1+E41,H41)-1),4)</f>
        <v>#DIV/0!</v>
      </c>
      <c r="D41" s="1547" t="s">
        <v>1299</v>
      </c>
      <c r="E41" s="1548">
        <f>G20</f>
        <v>0</v>
      </c>
      <c r="F41" s="1547" t="s">
        <v>1300</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1301</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1302</v>
      </c>
      <c r="B46" s="1562" t="s">
        <v>1303</v>
      </c>
      <c r="C46" s="1563" t="s">
        <v>1304</v>
      </c>
      <c r="D46" s="1564" t="s">
        <v>1305</v>
      </c>
      <c r="E46" s="1565" t="s">
        <v>1306</v>
      </c>
      <c r="F46" s="1566" t="s">
        <v>1307</v>
      </c>
      <c r="G46" s="1564" t="s">
        <v>1308</v>
      </c>
      <c r="H46" s="1567" t="s">
        <v>1309</v>
      </c>
      <c r="I46" s="1564" t="s">
        <v>1310</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1311</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1312</v>
      </c>
      <c r="B50" s="1576" t="s">
        <v>1313</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1314</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1315</v>
      </c>
      <c r="B52" s="1577" t="s">
        <v>1316</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1317</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1318</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1319</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1302</v>
      </c>
      <c r="B57" s="1562"/>
      <c r="C57" s="1563" t="s">
        <v>1304</v>
      </c>
      <c r="D57" s="1564" t="s">
        <v>1305</v>
      </c>
      <c r="E57" s="1565" t="s">
        <v>1306</v>
      </c>
      <c r="F57" s="1566" t="s">
        <v>1307</v>
      </c>
      <c r="G57" s="1564" t="s">
        <v>1308</v>
      </c>
      <c r="H57" s="1567" t="s">
        <v>1309</v>
      </c>
      <c r="I57" s="1564" t="s">
        <v>1310</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1312</v>
      </c>
      <c r="B61" s="1576" t="s">
        <v>1313</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1314</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1315</v>
      </c>
      <c r="B63" s="1577" t="s">
        <v>1316</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1317</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1318</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1319</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1302</v>
      </c>
      <c r="B68" s="1562"/>
      <c r="C68" s="1563" t="s">
        <v>1304</v>
      </c>
      <c r="D68" s="1564" t="s">
        <v>1305</v>
      </c>
      <c r="E68" s="1565" t="s">
        <v>1306</v>
      </c>
      <c r="F68" s="1566" t="s">
        <v>1307</v>
      </c>
      <c r="G68" s="1564" t="s">
        <v>1308</v>
      </c>
      <c r="H68" s="1567" t="s">
        <v>1309</v>
      </c>
      <c r="I68" s="1564" t="s">
        <v>1310</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1320</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1317</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1318</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1315</v>
      </c>
      <c r="B75" s="1577" t="s">
        <v>1316</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1319</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24">
      <c r="A77" s="1580" t="s">
        <v>1321</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1302</v>
      </c>
      <c r="B79" s="1562"/>
      <c r="C79" s="1563" t="s">
        <v>1304</v>
      </c>
      <c r="D79" s="1564" t="s">
        <v>1305</v>
      </c>
      <c r="E79" s="1565" t="s">
        <v>1306</v>
      </c>
      <c r="F79" s="1566" t="s">
        <v>1307</v>
      </c>
      <c r="G79" s="1564" t="s">
        <v>1308</v>
      </c>
      <c r="H79" s="1567" t="s">
        <v>1309</v>
      </c>
      <c r="I79" s="1564" t="s">
        <v>1310</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4.25">
      <c r="A83" s="1359" t="s">
        <v>1320</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1317</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1318</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24">
      <c r="A86" s="1359" t="s">
        <v>1315</v>
      </c>
      <c r="B86" s="1577" t="s">
        <v>1316</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36">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14" t="s">
        <v>1322</v>
      </c>
      <c r="B90" s="3414"/>
      <c r="C90" s="3414"/>
      <c r="D90" s="3414"/>
      <c r="E90" s="3414"/>
      <c r="F90" s="3414"/>
      <c r="G90" s="3414"/>
      <c r="H90" s="3414"/>
      <c r="I90" s="3414"/>
      <c r="J90" s="3414"/>
      <c r="K90" s="1388"/>
      <c r="L90" s="1388"/>
      <c r="M90" s="1388"/>
      <c r="N90" s="1388"/>
    </row>
    <row r="91" spans="1:40">
      <c r="A91" s="3424" t="s">
        <v>345</v>
      </c>
      <c r="B91" s="3424" t="s">
        <v>1323</v>
      </c>
      <c r="C91" s="1706" t="s">
        <v>1181</v>
      </c>
      <c r="D91" s="1707"/>
      <c r="E91" s="1707"/>
      <c r="F91" s="1707"/>
      <c r="G91" s="1707"/>
      <c r="H91" s="1707"/>
      <c r="I91" s="1707"/>
      <c r="J91" s="1731"/>
      <c r="K91" s="1374"/>
      <c r="L91" s="1374"/>
      <c r="M91" s="1374"/>
      <c r="N91" s="1374"/>
    </row>
    <row r="92" spans="1:40">
      <c r="A92" s="3424"/>
      <c r="B92" s="3424"/>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25" t="s">
        <v>1324</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26"/>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26"/>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26"/>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26"/>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26"/>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26"/>
      <c r="B99" s="1708" t="s">
        <v>1325</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27"/>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25" t="s">
        <v>1326</v>
      </c>
      <c r="B101" s="1712" t="s">
        <v>105</v>
      </c>
      <c r="C101" s="1713">
        <f>$G$3</f>
        <v>3.6</v>
      </c>
      <c r="D101" s="1713">
        <f t="shared" ref="D101:N101" si="31">$G$3</f>
        <v>3.6</v>
      </c>
      <c r="E101" s="1713">
        <f t="shared" si="31"/>
        <v>3.6</v>
      </c>
      <c r="F101" s="1713">
        <f t="shared" si="31"/>
        <v>3.6</v>
      </c>
      <c r="G101" s="1713">
        <f t="shared" si="31"/>
        <v>3.6</v>
      </c>
      <c r="H101" s="1713">
        <f t="shared" si="31"/>
        <v>3.6</v>
      </c>
      <c r="I101" s="1713">
        <f t="shared" si="31"/>
        <v>3.6</v>
      </c>
      <c r="J101" s="1713">
        <f t="shared" si="31"/>
        <v>3.6</v>
      </c>
      <c r="K101" s="1713">
        <f t="shared" si="31"/>
        <v>3.6</v>
      </c>
      <c r="L101" s="1713">
        <f t="shared" si="31"/>
        <v>3.6</v>
      </c>
      <c r="M101" s="1713">
        <f t="shared" si="31"/>
        <v>3.6</v>
      </c>
      <c r="N101" s="1713">
        <f t="shared" si="31"/>
        <v>3.6</v>
      </c>
    </row>
    <row r="102" spans="1:14">
      <c r="A102" s="3426"/>
      <c r="B102" s="1708">
        <v>1</v>
      </c>
      <c r="C102" s="1709">
        <f>1.9362/C101</f>
        <v>0.53783333333333327</v>
      </c>
      <c r="D102" s="1709">
        <f>1.9362/D101</f>
        <v>0.53783333333333327</v>
      </c>
      <c r="E102" s="1709">
        <f>1.8629/E101</f>
        <v>0.51747222222222222</v>
      </c>
      <c r="F102" s="1709">
        <f>1.8629/F101</f>
        <v>0.51747222222222222</v>
      </c>
      <c r="G102" s="1709">
        <f>1.8629/G101</f>
        <v>0.51747222222222222</v>
      </c>
      <c r="H102" s="1709">
        <f>1.8629/H101</f>
        <v>0.51747222222222222</v>
      </c>
      <c r="I102" s="1709">
        <f>1.8629/I101</f>
        <v>0.51747222222222222</v>
      </c>
      <c r="J102" s="1709">
        <f>1.942/J101</f>
        <v>0.53944444444444439</v>
      </c>
      <c r="K102" s="1709">
        <f>1.942/K101</f>
        <v>0.53944444444444439</v>
      </c>
      <c r="L102" s="1709">
        <f>1.942/L101</f>
        <v>0.53944444444444439</v>
      </c>
      <c r="M102" s="1709">
        <f>1.942/M101</f>
        <v>0.53944444444444439</v>
      </c>
      <c r="N102" s="1709">
        <f>1.942/N101</f>
        <v>0.53944444444444439</v>
      </c>
    </row>
    <row r="103" spans="1:14">
      <c r="A103" s="3426"/>
      <c r="B103" s="1708">
        <v>2</v>
      </c>
      <c r="C103" s="1709">
        <f>1.4198/C101</f>
        <v>0.39438888888888884</v>
      </c>
      <c r="D103" s="1709">
        <f>1.4198/D101</f>
        <v>0.39438888888888884</v>
      </c>
      <c r="E103" s="1709">
        <f>1.3372/E101</f>
        <v>0.37144444444444441</v>
      </c>
      <c r="F103" s="1709">
        <f>1.3372/F101</f>
        <v>0.37144444444444441</v>
      </c>
      <c r="G103" s="1709">
        <f>1.3372/G101</f>
        <v>0.37144444444444441</v>
      </c>
      <c r="H103" s="1709">
        <f>1.3372/H101</f>
        <v>0.37144444444444441</v>
      </c>
      <c r="I103" s="1709">
        <f>1.3372/I101</f>
        <v>0.37144444444444441</v>
      </c>
      <c r="J103" s="1709">
        <f>1.2799/J101</f>
        <v>0.35552777777777778</v>
      </c>
      <c r="K103" s="1709">
        <f>1.2799/K101</f>
        <v>0.35552777777777778</v>
      </c>
      <c r="L103" s="1709">
        <f>1.2799/L101</f>
        <v>0.35552777777777778</v>
      </c>
      <c r="M103" s="1709">
        <f>1.2799/M101</f>
        <v>0.35552777777777778</v>
      </c>
      <c r="N103" s="1709">
        <f>1.2799/N101</f>
        <v>0.35552777777777778</v>
      </c>
    </row>
    <row r="104" spans="1:14">
      <c r="A104" s="3426"/>
      <c r="B104" s="1708">
        <v>3</v>
      </c>
      <c r="C104" s="1709">
        <f>1.1594/C101</f>
        <v>0.32205555555555554</v>
      </c>
      <c r="D104" s="1709">
        <f>1.1594/D101</f>
        <v>0.32205555555555554</v>
      </c>
      <c r="E104" s="1709">
        <f>1.0788/E101</f>
        <v>0.29966666666666664</v>
      </c>
      <c r="F104" s="1709">
        <f>1.0788/F101</f>
        <v>0.29966666666666664</v>
      </c>
      <c r="G104" s="1709">
        <f>1.0788/G101</f>
        <v>0.29966666666666664</v>
      </c>
      <c r="H104" s="1709">
        <f>1.0788/H101</f>
        <v>0.29966666666666664</v>
      </c>
      <c r="I104" s="1709">
        <f>1.0788/I101</f>
        <v>0.29966666666666664</v>
      </c>
      <c r="J104" s="1709">
        <f>1.0072/J101</f>
        <v>0.27977777777777779</v>
      </c>
      <c r="K104" s="1709">
        <f>1.0072/K101</f>
        <v>0.27977777777777779</v>
      </c>
      <c r="L104" s="1709">
        <f>1.0072/L101</f>
        <v>0.27977777777777779</v>
      </c>
      <c r="M104" s="1709">
        <f>1.0072/M101</f>
        <v>0.27977777777777779</v>
      </c>
      <c r="N104" s="1709">
        <f>1.0072/N101</f>
        <v>0.27977777777777779</v>
      </c>
    </row>
    <row r="105" spans="1:14">
      <c r="A105" s="3426"/>
      <c r="B105" s="1708">
        <v>4</v>
      </c>
      <c r="C105" s="1709">
        <f>0.9622/C101</f>
        <v>0.26727777777777778</v>
      </c>
      <c r="D105" s="1709">
        <f>0.9622/D101</f>
        <v>0.26727777777777778</v>
      </c>
      <c r="E105" s="1709">
        <f>0.8656/E101</f>
        <v>0.24044444444444446</v>
      </c>
      <c r="F105" s="1709">
        <f>0.8656/F101</f>
        <v>0.24044444444444446</v>
      </c>
      <c r="G105" s="1709">
        <f>0.8656/G101</f>
        <v>0.24044444444444446</v>
      </c>
      <c r="H105" s="1709">
        <f>0.8656/H101</f>
        <v>0.24044444444444446</v>
      </c>
      <c r="I105" s="1709">
        <f>0.8656/I101</f>
        <v>0.24044444444444446</v>
      </c>
      <c r="J105" s="1709">
        <f>0.7525/J101</f>
        <v>0.20902777777777776</v>
      </c>
      <c r="K105" s="1709">
        <f>0.7525/K101</f>
        <v>0.20902777777777776</v>
      </c>
      <c r="L105" s="1709">
        <f>0.7525/L101</f>
        <v>0.20902777777777776</v>
      </c>
      <c r="M105" s="1709">
        <f>0.7525/M101</f>
        <v>0.20902777777777776</v>
      </c>
      <c r="N105" s="1709">
        <f>0.7525/N101</f>
        <v>0.20902777777777776</v>
      </c>
    </row>
    <row r="106" spans="1:14">
      <c r="A106" s="3426"/>
      <c r="B106" s="1708">
        <v>5</v>
      </c>
      <c r="C106" s="1709">
        <f>0.8417/C101</f>
        <v>0.23380555555555554</v>
      </c>
      <c r="D106" s="1709">
        <f>0.8417/D101</f>
        <v>0.23380555555555554</v>
      </c>
      <c r="E106" s="1709">
        <f>0.7371/E101</f>
        <v>0.20474999999999999</v>
      </c>
      <c r="F106" s="1709">
        <f>0.7371/F101</f>
        <v>0.20474999999999999</v>
      </c>
      <c r="G106" s="1709">
        <f>0.7371/G101</f>
        <v>0.20474999999999999</v>
      </c>
      <c r="H106" s="1709">
        <f>0.7371/H101</f>
        <v>0.20474999999999999</v>
      </c>
      <c r="I106" s="1709">
        <f>0.7371/I101</f>
        <v>0.20474999999999999</v>
      </c>
      <c r="J106" s="1709">
        <f>0.5659/J101</f>
        <v>0.15719444444444444</v>
      </c>
      <c r="K106" s="1709">
        <f>0.5659/K101</f>
        <v>0.15719444444444444</v>
      </c>
      <c r="L106" s="1709">
        <f>0.5659/L101</f>
        <v>0.15719444444444444</v>
      </c>
      <c r="M106" s="1709">
        <f>0.5659/M101</f>
        <v>0.15719444444444444</v>
      </c>
      <c r="N106" s="1709">
        <f>0.5659/N101</f>
        <v>0.15719444444444444</v>
      </c>
    </row>
    <row r="107" spans="1:14">
      <c r="A107" s="3426"/>
      <c r="B107" s="1708">
        <v>6</v>
      </c>
      <c r="C107" s="1709">
        <f>0.7608/C101</f>
        <v>0.21133333333333335</v>
      </c>
      <c r="D107" s="1709">
        <f>0.7608/D101</f>
        <v>0.21133333333333335</v>
      </c>
      <c r="E107" s="1709">
        <f>0.6482/E101</f>
        <v>0.18005555555555555</v>
      </c>
      <c r="F107" s="1709">
        <f>0.6482/F101</f>
        <v>0.18005555555555555</v>
      </c>
      <c r="G107" s="1709">
        <f>0.6482/G101</f>
        <v>0.18005555555555555</v>
      </c>
      <c r="H107" s="1709">
        <f>0.6482/H101</f>
        <v>0.18005555555555555</v>
      </c>
      <c r="I107" s="1709">
        <f>0.6482/I101</f>
        <v>0.18005555555555555</v>
      </c>
      <c r="J107" s="1709">
        <f>0.4525/J101</f>
        <v>0.12569444444444444</v>
      </c>
      <c r="K107" s="1709">
        <f>0.4525/K101</f>
        <v>0.12569444444444444</v>
      </c>
      <c r="L107" s="1709">
        <f>0.4525/L101</f>
        <v>0.12569444444444444</v>
      </c>
      <c r="M107" s="1709">
        <f>0.4525/M101</f>
        <v>0.12569444444444444</v>
      </c>
      <c r="N107" s="1709">
        <f>0.4525/N101</f>
        <v>0.12569444444444444</v>
      </c>
    </row>
    <row r="108" spans="1:14">
      <c r="A108" s="3426"/>
      <c r="B108" s="3428" t="s">
        <v>1327</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27"/>
      <c r="B109" s="3429"/>
      <c r="C109" s="1711">
        <f>(-0.163*(C108^2)-0.59*C108+7617)*(10^(-4))/C101</f>
        <v>0.21116244444444443</v>
      </c>
      <c r="D109" s="1711">
        <f>(-0.163*(D108^2)-0.59*D108+7617)*(10^(-4))/D101</f>
        <v>0.21116244444444443</v>
      </c>
      <c r="E109" s="1711">
        <f>(-0.161*(E108^2)-7.509*E108+6533)*(10^(-4))/E101</f>
        <v>0.17951733333333333</v>
      </c>
      <c r="F109" s="1711">
        <f>(-0.161*(F108^2)-7.509*F108+6533)*(10^(-4))/F101</f>
        <v>0.17951733333333333</v>
      </c>
      <c r="G109" s="1711">
        <f>(-0.161*(G108^2)-7.509*G108+6533)*(10^(-4))/G101</f>
        <v>0.17951733333333333</v>
      </c>
      <c r="H109" s="1711">
        <f>(-0.161*(H108^2)-7.509*H108+6533)*(10^(-4))/H101</f>
        <v>0.17951733333333333</v>
      </c>
      <c r="I109" s="1711">
        <f>(-0.161*(I108^2)-7.509*I108+6533)*(10^(-4))/I101</f>
        <v>0.17951733333333333</v>
      </c>
      <c r="J109" s="1711">
        <f>(-0.214*(J108^2)-21.991*J108+4665)*(10^(-4))/J101</f>
        <v>0.12431600000000001</v>
      </c>
      <c r="K109" s="1711">
        <f>(-0.214*(K108^2)-21.991*K108+4665)*(10^(-4))/K101</f>
        <v>0.12431600000000001</v>
      </c>
      <c r="L109" s="1711">
        <f>(-0.214*(L108^2)-21.991*L108+4665)*(10^(-4))/L101</f>
        <v>0.12431600000000001</v>
      </c>
      <c r="M109" s="1711">
        <f>(-0.214*(M108^2)-21.991*M108+4665)*(10^(-4))/M101</f>
        <v>0.12431600000000001</v>
      </c>
      <c r="N109" s="1711">
        <f>(-0.214*(N108^2)-21.991*N108+4665)*(10^(-4))/N101</f>
        <v>0.12431600000000001</v>
      </c>
    </row>
    <row r="110" spans="1:14">
      <c r="A110" s="3415" t="s">
        <v>1328</v>
      </c>
      <c r="B110" s="3415"/>
      <c r="C110" s="3415"/>
      <c r="D110" s="3415"/>
      <c r="E110" s="3415"/>
      <c r="F110" s="3415"/>
      <c r="G110" s="3415"/>
      <c r="H110" s="3415"/>
      <c r="I110" s="3415"/>
      <c r="J110" s="3415"/>
      <c r="K110" s="1714"/>
      <c r="L110" s="1714"/>
      <c r="M110" s="1714"/>
      <c r="N110" s="1714"/>
    </row>
    <row r="113" spans="1:13" ht="24.75">
      <c r="A113" s="1715" t="s">
        <v>1329</v>
      </c>
      <c r="B113" s="1716">
        <f>G3</f>
        <v>3.6</v>
      </c>
      <c r="C113" s="1717" t="s">
        <v>1330</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1331</v>
      </c>
      <c r="B115" s="1726">
        <f>ROUND(0.9335-0.0094*B113,4)</f>
        <v>0.89970000000000006</v>
      </c>
      <c r="C115" s="1726">
        <f>B115</f>
        <v>0.89970000000000006</v>
      </c>
      <c r="D115" s="1726">
        <f>ROUND(0.8331-0.0109*B113,4)</f>
        <v>0.79390000000000005</v>
      </c>
      <c r="E115" s="1726">
        <f>D115</f>
        <v>0.79390000000000005</v>
      </c>
      <c r="F115" s="1726">
        <f>E115</f>
        <v>0.79390000000000005</v>
      </c>
      <c r="G115" s="1726">
        <f>F115</f>
        <v>0.79390000000000005</v>
      </c>
      <c r="H115" s="1726">
        <f>G115</f>
        <v>0.79390000000000005</v>
      </c>
      <c r="I115" s="1726">
        <f>ROUND(0.689-0.0155*B113,4)</f>
        <v>0.63319999999999999</v>
      </c>
      <c r="J115" s="1726">
        <f t="shared" ref="J115:M118" si="33">I115</f>
        <v>0.63319999999999999</v>
      </c>
      <c r="K115" s="1726">
        <f t="shared" si="33"/>
        <v>0.63319999999999999</v>
      </c>
      <c r="L115" s="1726">
        <f t="shared" si="33"/>
        <v>0.63319999999999999</v>
      </c>
      <c r="M115" s="1734">
        <f t="shared" si="33"/>
        <v>0.63319999999999999</v>
      </c>
    </row>
    <row r="116" spans="1:13" ht="12.75">
      <c r="A116" s="1725" t="s">
        <v>1332</v>
      </c>
      <c r="B116" s="1726">
        <f>ROUND(0.949-0.012*B113,4)</f>
        <v>0.90580000000000005</v>
      </c>
      <c r="C116" s="1726">
        <f>B116</f>
        <v>0.90580000000000005</v>
      </c>
      <c r="D116" s="1726">
        <f>ROUND(0.8567-0.013*B113,4)</f>
        <v>0.80989999999999995</v>
      </c>
      <c r="E116" s="1726">
        <f t="shared" ref="E116:H117" si="34">D116</f>
        <v>0.80989999999999995</v>
      </c>
      <c r="F116" s="1726">
        <f t="shared" si="34"/>
        <v>0.80989999999999995</v>
      </c>
      <c r="G116" s="1726">
        <f t="shared" si="34"/>
        <v>0.80989999999999995</v>
      </c>
      <c r="H116" s="1726">
        <f t="shared" si="34"/>
        <v>0.80989999999999995</v>
      </c>
      <c r="I116" s="1726">
        <f>ROUND(0.7694-0.014*B113,4)</f>
        <v>0.71899999999999997</v>
      </c>
      <c r="J116" s="1726">
        <f t="shared" si="33"/>
        <v>0.71899999999999997</v>
      </c>
      <c r="K116" s="1726">
        <f t="shared" si="33"/>
        <v>0.71899999999999997</v>
      </c>
      <c r="L116" s="1726">
        <f t="shared" si="33"/>
        <v>0.71899999999999997</v>
      </c>
      <c r="M116" s="1734">
        <f t="shared" si="33"/>
        <v>0.71899999999999997</v>
      </c>
    </row>
    <row r="117" spans="1:13" ht="12.75">
      <c r="A117" s="1727" t="s">
        <v>370</v>
      </c>
      <c r="B117" s="1726">
        <f>ROUND(0.8808-0.006*B113,4)</f>
        <v>0.85919999999999996</v>
      </c>
      <c r="C117" s="1726">
        <f>B117</f>
        <v>0.85919999999999996</v>
      </c>
      <c r="D117" s="1726">
        <f>ROUND(0.8748-0.008*B113,4)</f>
        <v>0.84599999999999997</v>
      </c>
      <c r="E117" s="1726">
        <f t="shared" si="34"/>
        <v>0.84599999999999997</v>
      </c>
      <c r="F117" s="1726">
        <f t="shared" si="34"/>
        <v>0.84599999999999997</v>
      </c>
      <c r="G117" s="1726">
        <f t="shared" si="34"/>
        <v>0.84599999999999997</v>
      </c>
      <c r="H117" s="1726">
        <f t="shared" si="34"/>
        <v>0.84599999999999997</v>
      </c>
      <c r="I117" s="1726">
        <f>ROUND(0.7412-0.0095*B113,4)</f>
        <v>0.70699999999999996</v>
      </c>
      <c r="J117" s="1726">
        <f t="shared" si="33"/>
        <v>0.70699999999999996</v>
      </c>
      <c r="K117" s="1726">
        <f t="shared" si="33"/>
        <v>0.70699999999999996</v>
      </c>
      <c r="L117" s="1726">
        <f t="shared" si="33"/>
        <v>0.70699999999999996</v>
      </c>
      <c r="M117" s="1734">
        <f t="shared" si="33"/>
        <v>0.70699999999999996</v>
      </c>
    </row>
    <row r="118" spans="1:13" ht="12.75">
      <c r="A118" s="1728" t="s">
        <v>1333</v>
      </c>
      <c r="B118" s="1729">
        <f>ROUND(0.7275-0.01*B113,4)</f>
        <v>0.6915</v>
      </c>
      <c r="C118" s="1729">
        <f>B118</f>
        <v>0.6915</v>
      </c>
      <c r="D118" s="1729">
        <f>ROUND(0.7043-0.012*B113,4)</f>
        <v>0.66110000000000002</v>
      </c>
      <c r="E118" s="1729">
        <f>D118</f>
        <v>0.66110000000000002</v>
      </c>
      <c r="F118" s="1729">
        <f>E118</f>
        <v>0.66110000000000002</v>
      </c>
      <c r="G118" s="1729">
        <f>ROUND(0.6299-0.0122*B113,4)</f>
        <v>0.58599999999999997</v>
      </c>
      <c r="H118" s="1729">
        <f>G118</f>
        <v>0.58599999999999997</v>
      </c>
      <c r="I118" s="1729">
        <f>ROUND(0.5667-0.0136*B113,4)</f>
        <v>0.51770000000000005</v>
      </c>
      <c r="J118" s="1729">
        <f t="shared" si="33"/>
        <v>0.51770000000000005</v>
      </c>
      <c r="K118" s="1729">
        <f t="shared" si="33"/>
        <v>0.51770000000000005</v>
      </c>
      <c r="L118" s="1729">
        <f t="shared" si="33"/>
        <v>0.51770000000000005</v>
      </c>
      <c r="M118" s="1735">
        <f t="shared" si="33"/>
        <v>0.51770000000000005</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1334</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1335</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1336</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1337</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1338</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1339</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1340</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1341</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1250</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1342</v>
      </c>
      <c r="B16" s="1365"/>
      <c r="C16" s="1366"/>
      <c r="D16" s="1366"/>
      <c r="E16" s="1365"/>
      <c r="F16" s="1366"/>
      <c r="G16" s="1366"/>
    </row>
    <row r="17" spans="1:9" ht="19.5" customHeight="1">
      <c r="A17" s="1360" t="s">
        <v>345</v>
      </c>
      <c r="B17" s="1367" t="s">
        <v>1343</v>
      </c>
      <c r="C17" s="1367" t="s">
        <v>1344</v>
      </c>
      <c r="D17" s="1368"/>
      <c r="E17" s="1360" t="s">
        <v>1345</v>
      </c>
      <c r="F17" s="1369"/>
      <c r="G17" s="1369"/>
    </row>
    <row r="18" spans="1:9" s="1346" customFormat="1" ht="19.5" customHeight="1">
      <c r="A18" s="3424" t="s">
        <v>371</v>
      </c>
      <c r="B18" s="1370" t="s">
        <v>1346</v>
      </c>
      <c r="C18" s="1371" t="s">
        <v>1347</v>
      </c>
      <c r="D18" s="1372"/>
      <c r="E18" s="1370">
        <v>1</v>
      </c>
      <c r="F18" s="1373" t="s">
        <v>1348</v>
      </c>
      <c r="G18" s="1374"/>
      <c r="H18" s="1310"/>
      <c r="I18" s="1310"/>
    </row>
    <row r="19" spans="1:9" s="1346" customFormat="1" ht="19.5" customHeight="1">
      <c r="A19" s="3424"/>
      <c r="B19" s="3424" t="s">
        <v>1349</v>
      </c>
      <c r="C19" s="1371" t="s">
        <v>1350</v>
      </c>
      <c r="D19" s="1372"/>
      <c r="E19" s="1370">
        <v>0.9</v>
      </c>
      <c r="F19" s="1373" t="s">
        <v>1351</v>
      </c>
      <c r="G19" s="1374"/>
      <c r="H19" s="1310"/>
      <c r="I19" s="1310"/>
    </row>
    <row r="20" spans="1:9" s="1346" customFormat="1" ht="19.5" customHeight="1">
      <c r="A20" s="3424"/>
      <c r="B20" s="3424"/>
      <c r="C20" s="1371" t="s">
        <v>1352</v>
      </c>
      <c r="D20" s="1372"/>
      <c r="E20" s="1370">
        <v>1.1000000000000001</v>
      </c>
      <c r="F20" s="1373" t="s">
        <v>1353</v>
      </c>
      <c r="G20" s="1374"/>
      <c r="H20" s="1310"/>
      <c r="I20" s="1310"/>
    </row>
    <row r="21" spans="1:9" s="1346" customFormat="1" ht="19.5" customHeight="1">
      <c r="A21" s="3424"/>
      <c r="B21" s="3424"/>
      <c r="C21" s="1371" t="s">
        <v>1354</v>
      </c>
      <c r="D21" s="1372"/>
      <c r="E21" s="1370">
        <v>0.8</v>
      </c>
      <c r="F21" s="1373" t="s">
        <v>1355</v>
      </c>
      <c r="G21" s="1374"/>
      <c r="H21" s="1310"/>
      <c r="I21" s="1310"/>
    </row>
    <row r="22" spans="1:9" s="1346" customFormat="1" ht="19.5" customHeight="1">
      <c r="A22" s="3424"/>
      <c r="B22" s="3424"/>
      <c r="C22" s="1371" t="s">
        <v>1356</v>
      </c>
      <c r="D22" s="1372"/>
      <c r="E22" s="1370">
        <v>0.5</v>
      </c>
      <c r="F22" s="1373"/>
      <c r="G22" s="1374"/>
      <c r="H22" s="1310"/>
      <c r="I22" s="1310"/>
    </row>
    <row r="23" spans="1:9" s="1346" customFormat="1" ht="19.5" customHeight="1">
      <c r="A23" s="3424" t="s">
        <v>372</v>
      </c>
      <c r="B23" s="1370" t="s">
        <v>1346</v>
      </c>
      <c r="C23" s="1371" t="s">
        <v>1357</v>
      </c>
      <c r="D23" s="1372"/>
      <c r="E23" s="1370">
        <v>1</v>
      </c>
      <c r="F23" s="1373" t="s">
        <v>1358</v>
      </c>
      <c r="G23" s="1374"/>
      <c r="H23" s="1310"/>
      <c r="I23" s="1310"/>
    </row>
    <row r="24" spans="1:9" s="1346" customFormat="1" ht="19.5" customHeight="1">
      <c r="A24" s="3424"/>
      <c r="B24" s="3424" t="s">
        <v>1349</v>
      </c>
      <c r="C24" s="1371" t="s">
        <v>1359</v>
      </c>
      <c r="D24" s="1372"/>
      <c r="E24" s="1370">
        <v>0.5</v>
      </c>
      <c r="F24" s="1373"/>
      <c r="G24" s="1374"/>
      <c r="H24" s="1310"/>
      <c r="I24" s="1310"/>
    </row>
    <row r="25" spans="1:9" s="1346" customFormat="1" ht="19.5" customHeight="1">
      <c r="A25" s="3424"/>
      <c r="B25" s="3424"/>
      <c r="C25" s="1371" t="s">
        <v>1360</v>
      </c>
      <c r="D25" s="1372"/>
      <c r="E25" s="1370">
        <v>1.1000000000000001</v>
      </c>
      <c r="F25" s="1373"/>
      <c r="G25" s="1374"/>
      <c r="H25" s="1310"/>
      <c r="I25" s="1310"/>
    </row>
    <row r="26" spans="1:9" s="1346" customFormat="1" ht="19.5" customHeight="1">
      <c r="A26" s="3424"/>
      <c r="B26" s="3424"/>
      <c r="C26" s="1371" t="s">
        <v>1361</v>
      </c>
      <c r="D26" s="1372"/>
      <c r="E26" s="1370">
        <v>1.1000000000000001</v>
      </c>
      <c r="F26" s="1373"/>
      <c r="G26" s="1374"/>
      <c r="H26" s="1310"/>
      <c r="I26" s="1310"/>
    </row>
    <row r="27" spans="1:9" s="1346" customFormat="1" ht="19.5" customHeight="1">
      <c r="A27" s="3424"/>
      <c r="B27" s="3424"/>
      <c r="C27" s="1371" t="s">
        <v>1362</v>
      </c>
      <c r="D27" s="1372"/>
      <c r="E27" s="1370">
        <v>0.9</v>
      </c>
      <c r="F27" s="1373" t="s">
        <v>1363</v>
      </c>
      <c r="G27" s="1374"/>
      <c r="H27" s="1310"/>
      <c r="I27" s="1310"/>
    </row>
    <row r="28" spans="1:9" s="1346" customFormat="1" ht="19.5" customHeight="1">
      <c r="A28" s="3424"/>
      <c r="B28" s="3424"/>
      <c r="C28" s="1371" t="s">
        <v>1364</v>
      </c>
      <c r="D28" s="1372"/>
      <c r="E28" s="1370">
        <v>0.9</v>
      </c>
      <c r="F28" s="1373" t="s">
        <v>1365</v>
      </c>
      <c r="G28" s="1374"/>
      <c r="H28" s="1310"/>
      <c r="I28" s="1310"/>
    </row>
    <row r="29" spans="1:9" s="1346" customFormat="1" ht="19.5" customHeight="1">
      <c r="A29" s="3424"/>
      <c r="B29" s="3424"/>
      <c r="C29" s="1371" t="s">
        <v>1366</v>
      </c>
      <c r="D29" s="1372"/>
      <c r="E29" s="1370">
        <v>0.9</v>
      </c>
      <c r="F29" s="1373" t="s">
        <v>1367</v>
      </c>
      <c r="G29" s="1374"/>
      <c r="H29" s="1310"/>
      <c r="I29" s="1310"/>
    </row>
    <row r="30" spans="1:9" s="1346" customFormat="1" ht="19.5" customHeight="1">
      <c r="A30" s="3424"/>
      <c r="B30" s="3424"/>
      <c r="C30" s="1371" t="s">
        <v>1368</v>
      </c>
      <c r="D30" s="1372"/>
      <c r="E30" s="1370">
        <v>0.9</v>
      </c>
      <c r="F30" s="1373" t="s">
        <v>1369</v>
      </c>
      <c r="G30" s="1374"/>
      <c r="H30" s="1310"/>
      <c r="I30" s="1310"/>
    </row>
    <row r="31" spans="1:9" s="1346" customFormat="1" ht="19.5" customHeight="1">
      <c r="A31" s="3424"/>
      <c r="B31" s="3424"/>
      <c r="C31" s="1371" t="s">
        <v>1370</v>
      </c>
      <c r="D31" s="1372"/>
      <c r="E31" s="1370">
        <v>0.8</v>
      </c>
      <c r="F31" s="1373" t="s">
        <v>1371</v>
      </c>
      <c r="G31" s="1374"/>
      <c r="H31" s="1310"/>
      <c r="I31" s="1310"/>
    </row>
    <row r="32" spans="1:9" s="1346" customFormat="1" ht="19.5" customHeight="1">
      <c r="A32" s="3424"/>
      <c r="B32" s="3424"/>
      <c r="C32" s="1371" t="s">
        <v>1372</v>
      </c>
      <c r="D32" s="1372"/>
      <c r="E32" s="1370">
        <v>0.8</v>
      </c>
      <c r="F32" s="1373" t="s">
        <v>1373</v>
      </c>
      <c r="G32" s="1374"/>
      <c r="H32" s="1310"/>
      <c r="I32" s="1310"/>
    </row>
    <row r="33" spans="1:9" s="1346" customFormat="1" ht="19.5" customHeight="1">
      <c r="A33" s="3424" t="s">
        <v>1374</v>
      </c>
      <c r="B33" s="1370" t="s">
        <v>1346</v>
      </c>
      <c r="C33" s="1371" t="s">
        <v>1375</v>
      </c>
      <c r="D33" s="1372"/>
      <c r="E33" s="1370">
        <v>1</v>
      </c>
      <c r="F33" s="1373" t="s">
        <v>1376</v>
      </c>
      <c r="G33" s="1374"/>
      <c r="H33" s="1310"/>
      <c r="I33" s="1310"/>
    </row>
    <row r="34" spans="1:9" s="1346" customFormat="1" ht="19.5" customHeight="1">
      <c r="A34" s="3424"/>
      <c r="B34" s="1370" t="s">
        <v>1349</v>
      </c>
      <c r="C34" s="1371" t="s">
        <v>1377</v>
      </c>
      <c r="D34" s="1372"/>
      <c r="E34" s="1370">
        <v>1.5</v>
      </c>
      <c r="F34" s="1373" t="s">
        <v>1378</v>
      </c>
      <c r="G34" s="1374"/>
      <c r="H34" s="1310"/>
      <c r="I34" s="1310"/>
    </row>
    <row r="35" spans="1:9" s="1346" customFormat="1" ht="19.5" customHeight="1">
      <c r="A35" s="3424" t="s">
        <v>164</v>
      </c>
      <c r="B35" s="1370" t="s">
        <v>1346</v>
      </c>
      <c r="C35" s="1371" t="s">
        <v>1379</v>
      </c>
      <c r="D35" s="1372"/>
      <c r="E35" s="1370">
        <v>1</v>
      </c>
      <c r="F35" s="1373" t="s">
        <v>1380</v>
      </c>
      <c r="G35" s="1374"/>
      <c r="H35" s="1310"/>
      <c r="I35" s="1310"/>
    </row>
    <row r="36" spans="1:9" s="1346" customFormat="1" ht="19.5" customHeight="1">
      <c r="A36" s="3424"/>
      <c r="B36" s="3424" t="s">
        <v>1349</v>
      </c>
      <c r="C36" s="1371" t="s">
        <v>1381</v>
      </c>
      <c r="D36" s="1372"/>
      <c r="E36" s="1370">
        <v>1</v>
      </c>
      <c r="F36" s="1373" t="s">
        <v>1382</v>
      </c>
      <c r="G36" s="1374"/>
      <c r="H36" s="1310"/>
      <c r="I36" s="1310"/>
    </row>
    <row r="37" spans="1:9" s="1346" customFormat="1" ht="19.5" customHeight="1">
      <c r="A37" s="3424"/>
      <c r="B37" s="3424"/>
      <c r="C37" s="1371" t="s">
        <v>1383</v>
      </c>
      <c r="D37" s="1372"/>
      <c r="E37" s="1370">
        <v>1.5</v>
      </c>
      <c r="F37" s="1373" t="s">
        <v>1384</v>
      </c>
      <c r="G37" s="1374"/>
      <c r="H37" s="1310"/>
      <c r="I37" s="1310"/>
    </row>
    <row r="38" spans="1:9" s="1346" customFormat="1" ht="19.5" customHeight="1">
      <c r="A38" s="3424"/>
      <c r="B38" s="3424"/>
      <c r="C38" s="1371" t="s">
        <v>1385</v>
      </c>
      <c r="D38" s="1372"/>
      <c r="E38" s="1370">
        <v>1</v>
      </c>
      <c r="F38" s="1373" t="s">
        <v>1386</v>
      </c>
      <c r="G38" s="1374"/>
      <c r="H38" s="1310"/>
      <c r="I38" s="1310"/>
    </row>
    <row r="39" spans="1:9" s="1346" customFormat="1" ht="19.5" customHeight="1">
      <c r="A39" s="3424"/>
      <c r="B39" s="3424"/>
      <c r="C39" s="1371" t="s">
        <v>1387</v>
      </c>
      <c r="D39" s="1372"/>
      <c r="E39" s="1370">
        <v>1</v>
      </c>
      <c r="F39" s="1373" t="s">
        <v>1388</v>
      </c>
      <c r="G39" s="1374"/>
      <c r="H39" s="1310"/>
      <c r="I39" s="1310"/>
    </row>
    <row r="40" spans="1:9" s="1346" customFormat="1" ht="19.5" customHeight="1">
      <c r="A40" s="1375" t="s">
        <v>1389</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1295</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1390</v>
      </c>
      <c r="G44" s="1368" t="s">
        <v>1390</v>
      </c>
      <c r="H44" s="1368" t="s">
        <v>1390</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1391</v>
      </c>
      <c r="E58" s="1365"/>
      <c r="F58" s="1365"/>
    </row>
    <row r="59" spans="1:8" s="1310" customFormat="1" ht="19.5" customHeight="1">
      <c r="A59" s="1370" t="s">
        <v>1392</v>
      </c>
      <c r="B59" s="1370" t="s">
        <v>1393</v>
      </c>
      <c r="C59" s="1370" t="s">
        <v>1394</v>
      </c>
      <c r="D59" s="1370" t="s">
        <v>1395</v>
      </c>
      <c r="E59" s="1370" t="s">
        <v>1221</v>
      </c>
      <c r="F59" s="1370" t="s">
        <v>1396</v>
      </c>
    </row>
    <row r="60" spans="1:8" s="1310" customFormat="1" ht="19.5" customHeight="1">
      <c r="A60" s="1370"/>
      <c r="B60" s="1370"/>
      <c r="C60" s="1370" t="s">
        <v>1397</v>
      </c>
      <c r="D60" s="1370"/>
      <c r="E60" s="1381" t="s">
        <v>138</v>
      </c>
      <c r="F60" s="1370" t="s">
        <v>138</v>
      </c>
    </row>
    <row r="61" spans="1:8" s="1310" customFormat="1" ht="24">
      <c r="A61" s="1370">
        <v>1</v>
      </c>
      <c r="B61" s="3424" t="s">
        <v>1398</v>
      </c>
      <c r="C61" s="1360" t="s">
        <v>1399</v>
      </c>
      <c r="D61" s="1360" t="s">
        <v>1400</v>
      </c>
      <c r="E61" s="1381">
        <v>0.5</v>
      </c>
      <c r="F61" s="1370">
        <v>80</v>
      </c>
      <c r="H61" s="1310">
        <f>SUMIF(C59:C119,基准地价!C8,E59:E119)</f>
        <v>0</v>
      </c>
    </row>
    <row r="62" spans="1:8" s="1310" customFormat="1" ht="24">
      <c r="A62" s="1370">
        <v>2</v>
      </c>
      <c r="B62" s="3424"/>
      <c r="C62" s="1360" t="s">
        <v>1401</v>
      </c>
      <c r="D62" s="1360" t="s">
        <v>1402</v>
      </c>
      <c r="E62" s="1381">
        <v>0.5</v>
      </c>
      <c r="F62" s="1370">
        <v>80</v>
      </c>
    </row>
    <row r="63" spans="1:8" s="1310" customFormat="1" ht="36">
      <c r="A63" s="1370">
        <v>3</v>
      </c>
      <c r="B63" s="3424"/>
      <c r="C63" s="1360" t="s">
        <v>1403</v>
      </c>
      <c r="D63" s="1360" t="s">
        <v>1404</v>
      </c>
      <c r="E63" s="1381">
        <v>0.5</v>
      </c>
      <c r="F63" s="1370">
        <v>80</v>
      </c>
    </row>
    <row r="64" spans="1:8" s="1310" customFormat="1" ht="36">
      <c r="A64" s="1370">
        <v>4</v>
      </c>
      <c r="B64" s="3424"/>
      <c r="C64" s="1360" t="s">
        <v>1405</v>
      </c>
      <c r="D64" s="1360" t="s">
        <v>1406</v>
      </c>
      <c r="E64" s="1381">
        <v>0.4</v>
      </c>
      <c r="F64" s="1370">
        <v>60</v>
      </c>
    </row>
    <row r="65" spans="1:6" s="1310" customFormat="1" ht="36">
      <c r="A65" s="1370">
        <v>5</v>
      </c>
      <c r="B65" s="3424"/>
      <c r="C65" s="1360" t="s">
        <v>1407</v>
      </c>
      <c r="D65" s="1360" t="s">
        <v>1408</v>
      </c>
      <c r="E65" s="1381">
        <v>0.2</v>
      </c>
      <c r="F65" s="1370">
        <v>30</v>
      </c>
    </row>
    <row r="66" spans="1:6" s="1310" customFormat="1" ht="36">
      <c r="A66" s="1370">
        <v>6</v>
      </c>
      <c r="B66" s="3424"/>
      <c r="C66" s="1360" t="s">
        <v>1409</v>
      </c>
      <c r="D66" s="1360" t="s">
        <v>1410</v>
      </c>
      <c r="E66" s="1381">
        <v>0.3</v>
      </c>
      <c r="F66" s="1370">
        <v>50</v>
      </c>
    </row>
    <row r="67" spans="1:6" s="1310" customFormat="1" ht="36">
      <c r="A67" s="1370">
        <v>7</v>
      </c>
      <c r="B67" s="3424"/>
      <c r="C67" s="1360" t="s">
        <v>1411</v>
      </c>
      <c r="D67" s="1360" t="s">
        <v>1412</v>
      </c>
      <c r="E67" s="1381">
        <v>0.2</v>
      </c>
      <c r="F67" s="1370">
        <v>30</v>
      </c>
    </row>
    <row r="68" spans="1:6" s="1310" customFormat="1" ht="36">
      <c r="A68" s="1370">
        <v>8</v>
      </c>
      <c r="B68" s="3424"/>
      <c r="C68" s="1360" t="s">
        <v>1413</v>
      </c>
      <c r="D68" s="1360" t="s">
        <v>1414</v>
      </c>
      <c r="E68" s="1381">
        <v>0.2</v>
      </c>
      <c r="F68" s="1370">
        <v>30</v>
      </c>
    </row>
    <row r="69" spans="1:6" s="1310" customFormat="1" ht="36">
      <c r="A69" s="1370">
        <v>9</v>
      </c>
      <c r="B69" s="3424"/>
      <c r="C69" s="1360" t="s">
        <v>1415</v>
      </c>
      <c r="D69" s="1360" t="s">
        <v>1416</v>
      </c>
      <c r="E69" s="1381">
        <v>0.2</v>
      </c>
      <c r="F69" s="1370">
        <v>30</v>
      </c>
    </row>
    <row r="70" spans="1:6" s="1310" customFormat="1" ht="48">
      <c r="A70" s="1370">
        <v>10</v>
      </c>
      <c r="B70" s="3424"/>
      <c r="C70" s="1360" t="s">
        <v>1417</v>
      </c>
      <c r="D70" s="1360" t="s">
        <v>1418</v>
      </c>
      <c r="E70" s="1381">
        <v>0.2</v>
      </c>
      <c r="F70" s="1370">
        <v>30</v>
      </c>
    </row>
    <row r="71" spans="1:6" s="1310" customFormat="1" ht="48">
      <c r="A71" s="1370">
        <v>11</v>
      </c>
      <c r="B71" s="3424"/>
      <c r="C71" s="1360" t="s">
        <v>1419</v>
      </c>
      <c r="D71" s="1360" t="s">
        <v>1420</v>
      </c>
      <c r="E71" s="1381">
        <v>0.2</v>
      </c>
      <c r="F71" s="1370">
        <v>30</v>
      </c>
    </row>
    <row r="72" spans="1:6" s="1310" customFormat="1" ht="36">
      <c r="A72" s="1370">
        <v>12</v>
      </c>
      <c r="B72" s="3424"/>
      <c r="C72" s="1360" t="s">
        <v>1421</v>
      </c>
      <c r="D72" s="1360" t="s">
        <v>1422</v>
      </c>
      <c r="E72" s="1381">
        <v>0.5</v>
      </c>
      <c r="F72" s="1370">
        <v>80</v>
      </c>
    </row>
    <row r="73" spans="1:6" s="1310" customFormat="1" ht="24">
      <c r="A73" s="1370">
        <v>13</v>
      </c>
      <c r="B73" s="3424"/>
      <c r="C73" s="1360" t="s">
        <v>1423</v>
      </c>
      <c r="D73" s="1360" t="s">
        <v>1424</v>
      </c>
      <c r="E73" s="1381">
        <v>0.4</v>
      </c>
      <c r="F73" s="1370">
        <v>60</v>
      </c>
    </row>
    <row r="74" spans="1:6" s="1310" customFormat="1" ht="24">
      <c r="A74" s="1370">
        <v>14</v>
      </c>
      <c r="B74" s="3424"/>
      <c r="C74" s="1360" t="s">
        <v>1425</v>
      </c>
      <c r="D74" s="1360" t="s">
        <v>1426</v>
      </c>
      <c r="E74" s="1381">
        <v>0.2</v>
      </c>
      <c r="F74" s="1370">
        <v>30</v>
      </c>
    </row>
    <row r="75" spans="1:6" s="1310" customFormat="1" ht="24">
      <c r="A75" s="1370">
        <v>15</v>
      </c>
      <c r="B75" s="3424"/>
      <c r="C75" s="1360" t="s">
        <v>1427</v>
      </c>
      <c r="D75" s="1360" t="s">
        <v>1428</v>
      </c>
      <c r="E75" s="1381">
        <v>0.2</v>
      </c>
      <c r="F75" s="1370">
        <v>30</v>
      </c>
    </row>
    <row r="76" spans="1:6" s="1310" customFormat="1" ht="24">
      <c r="A76" s="1370">
        <v>16</v>
      </c>
      <c r="B76" s="3424" t="s">
        <v>1429</v>
      </c>
      <c r="C76" s="1360" t="s">
        <v>1430</v>
      </c>
      <c r="D76" s="1360" t="s">
        <v>1431</v>
      </c>
      <c r="E76" s="1381">
        <v>0.5</v>
      </c>
      <c r="F76" s="1370">
        <v>80</v>
      </c>
    </row>
    <row r="77" spans="1:6" s="1310" customFormat="1" ht="24">
      <c r="A77" s="1370">
        <v>17</v>
      </c>
      <c r="B77" s="3424"/>
      <c r="C77" s="1360" t="s">
        <v>1432</v>
      </c>
      <c r="D77" s="1360" t="s">
        <v>1433</v>
      </c>
      <c r="E77" s="1381">
        <v>0.5</v>
      </c>
      <c r="F77" s="1370">
        <v>80</v>
      </c>
    </row>
    <row r="78" spans="1:6" s="1310" customFormat="1" ht="24">
      <c r="A78" s="1370">
        <v>18</v>
      </c>
      <c r="B78" s="3424"/>
      <c r="C78" s="1360" t="s">
        <v>1434</v>
      </c>
      <c r="D78" s="1360" t="s">
        <v>1435</v>
      </c>
      <c r="E78" s="1381">
        <v>0.2</v>
      </c>
      <c r="F78" s="1370">
        <v>30</v>
      </c>
    </row>
    <row r="79" spans="1:6" s="1310" customFormat="1" ht="24">
      <c r="A79" s="1370">
        <v>19</v>
      </c>
      <c r="B79" s="3424"/>
      <c r="C79" s="1360" t="s">
        <v>1436</v>
      </c>
      <c r="D79" s="1360" t="s">
        <v>1437</v>
      </c>
      <c r="E79" s="1381">
        <v>0.5</v>
      </c>
      <c r="F79" s="1370">
        <v>80</v>
      </c>
    </row>
    <row r="80" spans="1:6" s="1310" customFormat="1" ht="36">
      <c r="A80" s="1370">
        <v>20</v>
      </c>
      <c r="B80" s="3424"/>
      <c r="C80" s="1360" t="s">
        <v>1438</v>
      </c>
      <c r="D80" s="1360" t="s">
        <v>1439</v>
      </c>
      <c r="E80" s="1381">
        <v>0.2</v>
      </c>
      <c r="F80" s="1370">
        <v>30</v>
      </c>
    </row>
    <row r="81" spans="1:6" s="1310" customFormat="1" ht="36">
      <c r="A81" s="1370">
        <v>21</v>
      </c>
      <c r="B81" s="3424"/>
      <c r="C81" s="1360" t="s">
        <v>1440</v>
      </c>
      <c r="D81" s="1360" t="s">
        <v>1441</v>
      </c>
      <c r="E81" s="1381">
        <v>0.2</v>
      </c>
      <c r="F81" s="1370">
        <v>30</v>
      </c>
    </row>
    <row r="82" spans="1:6" s="1310" customFormat="1" ht="48">
      <c r="A82" s="1370">
        <v>22</v>
      </c>
      <c r="B82" s="3424"/>
      <c r="C82" s="1360" t="s">
        <v>1442</v>
      </c>
      <c r="D82" s="1360" t="s">
        <v>1443</v>
      </c>
      <c r="E82" s="1381">
        <v>0.2</v>
      </c>
      <c r="F82" s="1370">
        <v>30</v>
      </c>
    </row>
    <row r="83" spans="1:6" s="1310" customFormat="1" ht="48">
      <c r="A83" s="1370">
        <v>23</v>
      </c>
      <c r="B83" s="3424"/>
      <c r="C83" s="1360" t="s">
        <v>1444</v>
      </c>
      <c r="D83" s="1360" t="s">
        <v>1445</v>
      </c>
      <c r="E83" s="1381">
        <v>0.2</v>
      </c>
      <c r="F83" s="1370">
        <v>30</v>
      </c>
    </row>
    <row r="84" spans="1:6" s="1310" customFormat="1" ht="36">
      <c r="A84" s="1370">
        <v>24</v>
      </c>
      <c r="B84" s="3424"/>
      <c r="C84" s="1360" t="s">
        <v>1446</v>
      </c>
      <c r="D84" s="1360" t="s">
        <v>1447</v>
      </c>
      <c r="E84" s="1381">
        <v>0.2</v>
      </c>
      <c r="F84" s="1370">
        <v>30</v>
      </c>
    </row>
    <row r="85" spans="1:6" s="1310" customFormat="1" ht="36">
      <c r="A85" s="1370">
        <v>25</v>
      </c>
      <c r="B85" s="3424"/>
      <c r="C85" s="1360" t="s">
        <v>1448</v>
      </c>
      <c r="D85" s="1360" t="s">
        <v>1449</v>
      </c>
      <c r="E85" s="1381">
        <v>0.5</v>
      </c>
      <c r="F85" s="1370">
        <v>80</v>
      </c>
    </row>
    <row r="86" spans="1:6" s="1310" customFormat="1" ht="36">
      <c r="A86" s="1370">
        <v>26</v>
      </c>
      <c r="B86" s="3424"/>
      <c r="C86" s="1360" t="s">
        <v>1450</v>
      </c>
      <c r="D86" s="1360" t="s">
        <v>1451</v>
      </c>
      <c r="E86" s="1381">
        <v>0.2</v>
      </c>
      <c r="F86" s="1370">
        <v>30</v>
      </c>
    </row>
    <row r="87" spans="1:6" s="1310" customFormat="1" ht="36">
      <c r="A87" s="1370">
        <v>27</v>
      </c>
      <c r="B87" s="3424"/>
      <c r="C87" s="1360" t="s">
        <v>1452</v>
      </c>
      <c r="D87" s="1360" t="s">
        <v>1453</v>
      </c>
      <c r="E87" s="1381">
        <v>0.2</v>
      </c>
      <c r="F87" s="1370">
        <v>30</v>
      </c>
    </row>
    <row r="88" spans="1:6" s="1310" customFormat="1" ht="36">
      <c r="A88" s="1370">
        <v>28</v>
      </c>
      <c r="B88" s="3424"/>
      <c r="C88" s="1360" t="s">
        <v>1454</v>
      </c>
      <c r="D88" s="1360" t="s">
        <v>1455</v>
      </c>
      <c r="E88" s="1381">
        <v>0.2</v>
      </c>
      <c r="F88" s="1370">
        <v>30</v>
      </c>
    </row>
    <row r="89" spans="1:6" s="1310" customFormat="1" ht="24">
      <c r="A89" s="1370">
        <v>29</v>
      </c>
      <c r="B89" s="3424"/>
      <c r="C89" s="1360" t="s">
        <v>1456</v>
      </c>
      <c r="D89" s="1360" t="s">
        <v>1457</v>
      </c>
      <c r="E89" s="1381">
        <v>0.2</v>
      </c>
      <c r="F89" s="1370">
        <v>30</v>
      </c>
    </row>
    <row r="90" spans="1:6" s="1310" customFormat="1" ht="24">
      <c r="A90" s="1370">
        <v>30</v>
      </c>
      <c r="B90" s="3424"/>
      <c r="C90" s="1360" t="s">
        <v>1458</v>
      </c>
      <c r="D90" s="1360" t="s">
        <v>1459</v>
      </c>
      <c r="E90" s="1381">
        <v>0.2</v>
      </c>
      <c r="F90" s="1370">
        <v>30</v>
      </c>
    </row>
    <row r="91" spans="1:6" s="1310" customFormat="1" ht="36">
      <c r="A91" s="1370">
        <v>31</v>
      </c>
      <c r="B91" s="3424"/>
      <c r="C91" s="1360" t="s">
        <v>1460</v>
      </c>
      <c r="D91" s="1360" t="s">
        <v>1461</v>
      </c>
      <c r="E91" s="1381">
        <v>0.2</v>
      </c>
      <c r="F91" s="1370">
        <v>30</v>
      </c>
    </row>
    <row r="92" spans="1:6" s="1310" customFormat="1" ht="24">
      <c r="A92" s="1370">
        <v>32</v>
      </c>
      <c r="B92" s="3424" t="s">
        <v>1462</v>
      </c>
      <c r="C92" s="1370" t="s">
        <v>1463</v>
      </c>
      <c r="D92" s="1360" t="s">
        <v>1464</v>
      </c>
      <c r="E92" s="1381">
        <v>0.2</v>
      </c>
      <c r="F92" s="1370">
        <v>30</v>
      </c>
    </row>
    <row r="93" spans="1:6" s="1310" customFormat="1" ht="36">
      <c r="A93" s="1370">
        <v>33</v>
      </c>
      <c r="B93" s="3424"/>
      <c r="C93" s="1370" t="s">
        <v>1465</v>
      </c>
      <c r="D93" s="1360" t="s">
        <v>1466</v>
      </c>
      <c r="E93" s="1381">
        <v>0.2</v>
      </c>
      <c r="F93" s="1370">
        <v>30</v>
      </c>
    </row>
    <row r="94" spans="1:6" s="1310" customFormat="1" ht="48">
      <c r="A94" s="1370">
        <v>34</v>
      </c>
      <c r="B94" s="3424"/>
      <c r="C94" s="1370" t="s">
        <v>1467</v>
      </c>
      <c r="D94" s="1360" t="s">
        <v>1468</v>
      </c>
      <c r="E94" s="1381">
        <v>0.2</v>
      </c>
      <c r="F94" s="1370">
        <v>30</v>
      </c>
    </row>
    <row r="95" spans="1:6" s="1310" customFormat="1" ht="36">
      <c r="A95" s="1370">
        <v>35</v>
      </c>
      <c r="B95" s="3424"/>
      <c r="C95" s="1370" t="s">
        <v>1469</v>
      </c>
      <c r="D95" s="1360" t="s">
        <v>1470</v>
      </c>
      <c r="E95" s="1381">
        <v>0.2</v>
      </c>
      <c r="F95" s="1370">
        <v>30</v>
      </c>
    </row>
    <row r="96" spans="1:6" s="1310" customFormat="1" ht="48">
      <c r="A96" s="1370">
        <v>36</v>
      </c>
      <c r="B96" s="3424"/>
      <c r="C96" s="1360" t="s">
        <v>1471</v>
      </c>
      <c r="D96" s="1360" t="s">
        <v>1472</v>
      </c>
      <c r="E96" s="1381">
        <v>0.2</v>
      </c>
      <c r="F96" s="1370">
        <v>30</v>
      </c>
    </row>
    <row r="97" spans="1:6" s="1310" customFormat="1" ht="36">
      <c r="A97" s="1370">
        <v>37</v>
      </c>
      <c r="B97" s="3424"/>
      <c r="C97" s="1370" t="s">
        <v>1473</v>
      </c>
      <c r="D97" s="1360" t="s">
        <v>1474</v>
      </c>
      <c r="E97" s="1381">
        <v>0.2</v>
      </c>
      <c r="F97" s="1370">
        <v>30</v>
      </c>
    </row>
    <row r="98" spans="1:6" s="1310" customFormat="1" ht="36">
      <c r="A98" s="1370">
        <v>38</v>
      </c>
      <c r="B98" s="3424"/>
      <c r="C98" s="1370" t="s">
        <v>1475</v>
      </c>
      <c r="D98" s="1360" t="s">
        <v>1476</v>
      </c>
      <c r="E98" s="1381">
        <v>0.2</v>
      </c>
      <c r="F98" s="1370">
        <v>30</v>
      </c>
    </row>
    <row r="99" spans="1:6" s="1310" customFormat="1" ht="36">
      <c r="A99" s="1370">
        <v>39</v>
      </c>
      <c r="B99" s="3424" t="s">
        <v>1477</v>
      </c>
      <c r="C99" s="1370" t="s">
        <v>1478</v>
      </c>
      <c r="D99" s="1360" t="s">
        <v>1479</v>
      </c>
      <c r="E99" s="1381">
        <v>0.3</v>
      </c>
      <c r="F99" s="1370">
        <v>50</v>
      </c>
    </row>
    <row r="100" spans="1:6" s="1310" customFormat="1" ht="24">
      <c r="A100" s="1370">
        <v>40</v>
      </c>
      <c r="B100" s="3424"/>
      <c r="C100" s="1370" t="s">
        <v>1480</v>
      </c>
      <c r="D100" s="1360" t="s">
        <v>1481</v>
      </c>
      <c r="E100" s="1381">
        <v>0.2</v>
      </c>
      <c r="F100" s="1370">
        <v>30</v>
      </c>
    </row>
    <row r="101" spans="1:6" s="1310" customFormat="1" ht="36">
      <c r="A101" s="1370">
        <v>41</v>
      </c>
      <c r="B101" s="3424"/>
      <c r="C101" s="1370" t="s">
        <v>1482</v>
      </c>
      <c r="D101" s="1360" t="s">
        <v>1479</v>
      </c>
      <c r="E101" s="1381">
        <v>0.2</v>
      </c>
      <c r="F101" s="1370">
        <v>30</v>
      </c>
    </row>
    <row r="102" spans="1:6" s="1310" customFormat="1" ht="48">
      <c r="A102" s="1370">
        <v>42</v>
      </c>
      <c r="B102" s="1370" t="s">
        <v>1483</v>
      </c>
      <c r="C102" s="1360" t="s">
        <v>1484</v>
      </c>
      <c r="D102" s="1360" t="s">
        <v>1485</v>
      </c>
      <c r="E102" s="1381">
        <v>0.2</v>
      </c>
      <c r="F102" s="1370">
        <v>30</v>
      </c>
    </row>
    <row r="103" spans="1:6" s="1310" customFormat="1" ht="24">
      <c r="A103" s="1370">
        <v>43</v>
      </c>
      <c r="B103" s="1370" t="s">
        <v>1486</v>
      </c>
      <c r="C103" s="1370" t="s">
        <v>1487</v>
      </c>
      <c r="D103" s="1360" t="s">
        <v>1488</v>
      </c>
      <c r="E103" s="1381">
        <v>0.2</v>
      </c>
      <c r="F103" s="1370">
        <v>30</v>
      </c>
    </row>
    <row r="104" spans="1:6" s="1310" customFormat="1" ht="36">
      <c r="A104" s="1370">
        <v>44</v>
      </c>
      <c r="B104" s="1370" t="s">
        <v>1489</v>
      </c>
      <c r="C104" s="1370" t="s">
        <v>1490</v>
      </c>
      <c r="D104" s="1360" t="s">
        <v>1491</v>
      </c>
      <c r="E104" s="1381">
        <v>0.2</v>
      </c>
      <c r="F104" s="1370">
        <v>30</v>
      </c>
    </row>
    <row r="105" spans="1:6" s="1310" customFormat="1" ht="36">
      <c r="A105" s="1370">
        <v>45</v>
      </c>
      <c r="B105" s="3424" t="s">
        <v>1492</v>
      </c>
      <c r="C105" s="1370" t="s">
        <v>1493</v>
      </c>
      <c r="D105" s="1360" t="s">
        <v>1494</v>
      </c>
      <c r="E105" s="1381">
        <v>0.2</v>
      </c>
      <c r="F105" s="1370">
        <v>30</v>
      </c>
    </row>
    <row r="106" spans="1:6" s="1310" customFormat="1" ht="36">
      <c r="A106" s="1370">
        <v>46</v>
      </c>
      <c r="B106" s="3424"/>
      <c r="C106" s="1370" t="s">
        <v>1495</v>
      </c>
      <c r="D106" s="1360" t="s">
        <v>1496</v>
      </c>
      <c r="E106" s="1381">
        <v>0.2</v>
      </c>
      <c r="F106" s="1370">
        <v>30</v>
      </c>
    </row>
    <row r="107" spans="1:6" s="1310" customFormat="1" ht="36">
      <c r="A107" s="1370">
        <v>47</v>
      </c>
      <c r="B107" s="3424" t="s">
        <v>1497</v>
      </c>
      <c r="C107" s="1370" t="s">
        <v>1498</v>
      </c>
      <c r="D107" s="1360" t="s">
        <v>1499</v>
      </c>
      <c r="E107" s="1381">
        <v>0.3</v>
      </c>
      <c r="F107" s="1370">
        <v>50</v>
      </c>
    </row>
    <row r="108" spans="1:6" s="1310" customFormat="1" ht="36">
      <c r="A108" s="1370">
        <v>48</v>
      </c>
      <c r="B108" s="3424"/>
      <c r="C108" s="1370" t="s">
        <v>1500</v>
      </c>
      <c r="D108" s="1360" t="s">
        <v>1501</v>
      </c>
      <c r="E108" s="1381">
        <v>0.2</v>
      </c>
      <c r="F108" s="1370">
        <v>30</v>
      </c>
    </row>
    <row r="109" spans="1:6" s="1310" customFormat="1" ht="36">
      <c r="A109" s="1370">
        <v>49</v>
      </c>
      <c r="B109" s="1370" t="s">
        <v>1502</v>
      </c>
      <c r="C109" s="1370" t="s">
        <v>1503</v>
      </c>
      <c r="D109" s="1360" t="s">
        <v>1504</v>
      </c>
      <c r="E109" s="1381">
        <v>0.2</v>
      </c>
      <c r="F109" s="1370">
        <v>30</v>
      </c>
    </row>
    <row r="110" spans="1:6" s="1310" customFormat="1" ht="36">
      <c r="A110" s="1370">
        <v>50</v>
      </c>
      <c r="B110" s="1370" t="s">
        <v>1505</v>
      </c>
      <c r="C110" s="1370" t="s">
        <v>1506</v>
      </c>
      <c r="D110" s="1360" t="s">
        <v>1507</v>
      </c>
      <c r="E110" s="1381">
        <v>0.2</v>
      </c>
      <c r="F110" s="1370">
        <v>30</v>
      </c>
    </row>
    <row r="111" spans="1:6" s="1310" customFormat="1" ht="36">
      <c r="A111" s="1370">
        <v>51</v>
      </c>
      <c r="B111" s="3424" t="s">
        <v>1508</v>
      </c>
      <c r="C111" s="1370" t="s">
        <v>1509</v>
      </c>
      <c r="D111" s="1360" t="s">
        <v>1510</v>
      </c>
      <c r="E111" s="1381">
        <v>0.2</v>
      </c>
      <c r="F111" s="1370">
        <v>30</v>
      </c>
    </row>
    <row r="112" spans="1:6" s="1310" customFormat="1" ht="24">
      <c r="A112" s="1370">
        <v>52</v>
      </c>
      <c r="B112" s="3424"/>
      <c r="C112" s="1370" t="s">
        <v>1511</v>
      </c>
      <c r="D112" s="1360" t="s">
        <v>1512</v>
      </c>
      <c r="E112" s="1381">
        <v>0.2</v>
      </c>
      <c r="F112" s="1370">
        <v>30</v>
      </c>
    </row>
    <row r="113" spans="1:14" s="1310" customFormat="1" ht="24">
      <c r="A113" s="1370">
        <v>53</v>
      </c>
      <c r="B113" s="3424"/>
      <c r="C113" s="1370" t="s">
        <v>1513</v>
      </c>
      <c r="D113" s="1360" t="s">
        <v>1514</v>
      </c>
      <c r="E113" s="1381">
        <v>0.2</v>
      </c>
      <c r="F113" s="1370">
        <v>30</v>
      </c>
    </row>
    <row r="114" spans="1:14" ht="36">
      <c r="A114" s="1370">
        <v>54</v>
      </c>
      <c r="B114" s="1370" t="s">
        <v>1515</v>
      </c>
      <c r="C114" s="1370" t="s">
        <v>1516</v>
      </c>
      <c r="D114" s="1360" t="s">
        <v>1517</v>
      </c>
      <c r="E114" s="1381">
        <v>0.2</v>
      </c>
      <c r="F114" s="1370">
        <v>30</v>
      </c>
    </row>
    <row r="115" spans="1:14" ht="24">
      <c r="A115" s="1370">
        <v>55</v>
      </c>
      <c r="B115" s="1370" t="s">
        <v>1518</v>
      </c>
      <c r="C115" s="1370" t="s">
        <v>1519</v>
      </c>
      <c r="D115" s="1360" t="s">
        <v>1520</v>
      </c>
      <c r="E115" s="1381">
        <v>0.2</v>
      </c>
      <c r="F115" s="1370">
        <v>30</v>
      </c>
    </row>
    <row r="116" spans="1:14" ht="24">
      <c r="A116" s="1370">
        <v>56</v>
      </c>
      <c r="B116" s="3424" t="s">
        <v>1521</v>
      </c>
      <c r="C116" s="1370" t="s">
        <v>1522</v>
      </c>
      <c r="D116" s="1360" t="s">
        <v>1523</v>
      </c>
      <c r="E116" s="1381">
        <v>0.2</v>
      </c>
      <c r="F116" s="1370">
        <v>30</v>
      </c>
    </row>
    <row r="117" spans="1:14" ht="36">
      <c r="A117" s="1370">
        <v>57</v>
      </c>
      <c r="B117" s="3424"/>
      <c r="C117" s="1370" t="s">
        <v>1524</v>
      </c>
      <c r="D117" s="1360" t="s">
        <v>1525</v>
      </c>
      <c r="E117" s="1381">
        <v>0.2</v>
      </c>
      <c r="F117" s="1370">
        <v>30</v>
      </c>
    </row>
    <row r="118" spans="1:14" ht="36">
      <c r="A118" s="1370">
        <v>58</v>
      </c>
      <c r="B118" s="1370" t="s">
        <v>1526</v>
      </c>
      <c r="C118" s="1370" t="s">
        <v>1527</v>
      </c>
      <c r="D118" s="1360" t="s">
        <v>1528</v>
      </c>
      <c r="E118" s="1381">
        <v>0.2</v>
      </c>
      <c r="F118" s="1370">
        <v>30</v>
      </c>
    </row>
    <row r="119" spans="1:14" ht="13.5">
      <c r="A119" s="1370"/>
      <c r="B119" s="1370"/>
      <c r="C119" s="1370"/>
      <c r="D119" s="1370"/>
      <c r="E119" s="1381"/>
      <c r="F119" s="1370"/>
    </row>
    <row r="121" spans="1:14" ht="19.5" customHeight="1">
      <c r="A121" s="3414" t="s">
        <v>1322</v>
      </c>
      <c r="B121" s="3414"/>
      <c r="C121" s="3414"/>
      <c r="D121" s="3414"/>
      <c r="E121" s="3414"/>
      <c r="F121" s="3414"/>
      <c r="G121" s="3414"/>
      <c r="H121" s="3414"/>
      <c r="I121" s="3414"/>
      <c r="J121" s="3414"/>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31" t="s">
        <v>1529</v>
      </c>
      <c r="B1" s="3431"/>
      <c r="C1" s="3431"/>
      <c r="D1" s="3431"/>
      <c r="E1" s="3431"/>
      <c r="F1" s="3431"/>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2" t="s">
        <v>1530</v>
      </c>
      <c r="B2" s="3432"/>
      <c r="C2" s="3432"/>
      <c r="D2" s="3432"/>
      <c r="E2" s="3432"/>
      <c r="F2" s="3432"/>
      <c r="I2" s="1342" t="s">
        <v>1531</v>
      </c>
      <c r="J2" s="1322" t="s">
        <v>1532</v>
      </c>
      <c r="K2" s="1322" t="s">
        <v>1533</v>
      </c>
      <c r="L2" s="1322" t="s">
        <v>1534</v>
      </c>
      <c r="M2" s="1322" t="s">
        <v>1535</v>
      </c>
      <c r="N2" s="1322" t="s">
        <v>1536</v>
      </c>
      <c r="O2" s="1322" t="s">
        <v>1537</v>
      </c>
      <c r="P2" s="1322" t="s">
        <v>1538</v>
      </c>
      <c r="Q2" s="1322" t="s">
        <v>1539</v>
      </c>
      <c r="R2" s="1322" t="s">
        <v>1540</v>
      </c>
      <c r="S2" s="1322" t="s">
        <v>1541</v>
      </c>
      <c r="T2" s="1322" t="s">
        <v>1542</v>
      </c>
    </row>
    <row r="3" spans="1:20" s="1308" customFormat="1" ht="19.5" customHeight="1">
      <c r="A3" s="3433" t="s">
        <v>1543</v>
      </c>
      <c r="B3" s="1312"/>
      <c r="C3" s="1313" t="s">
        <v>371</v>
      </c>
      <c r="D3" s="1313" t="s">
        <v>372</v>
      </c>
      <c r="E3" s="1313" t="s">
        <v>370</v>
      </c>
      <c r="F3" s="1313" t="s">
        <v>164</v>
      </c>
      <c r="G3" s="1314"/>
      <c r="I3" s="1342" t="s">
        <v>1544</v>
      </c>
      <c r="J3" s="1322" t="s">
        <v>1545</v>
      </c>
      <c r="K3" s="1322" t="s">
        <v>1546</v>
      </c>
      <c r="L3" s="1322" t="s">
        <v>1547</v>
      </c>
      <c r="M3" s="1322" t="s">
        <v>1548</v>
      </c>
      <c r="N3" s="1322" t="s">
        <v>1549</v>
      </c>
      <c r="O3" s="1322" t="s">
        <v>1550</v>
      </c>
      <c r="P3" s="1322" t="s">
        <v>1551</v>
      </c>
      <c r="Q3" s="1322" t="s">
        <v>1552</v>
      </c>
      <c r="R3" s="1322" t="s">
        <v>1553</v>
      </c>
      <c r="S3" s="1322" t="s">
        <v>1554</v>
      </c>
      <c r="T3" s="1322" t="s">
        <v>1555</v>
      </c>
    </row>
    <row r="4" spans="1:20" s="1308" customFormat="1" ht="19.5" customHeight="1">
      <c r="A4" s="3434"/>
      <c r="B4" s="1315" t="s">
        <v>419</v>
      </c>
      <c r="C4" s="1315" t="s">
        <v>1556</v>
      </c>
      <c r="D4" s="1315" t="s">
        <v>1556</v>
      </c>
      <c r="E4" s="1315" t="s">
        <v>1556</v>
      </c>
      <c r="F4" s="1316" t="s">
        <v>1556</v>
      </c>
      <c r="G4" s="1314"/>
      <c r="I4" s="1342" t="s">
        <v>1557</v>
      </c>
      <c r="J4" s="1322" t="s">
        <v>1558</v>
      </c>
      <c r="K4" s="1322" t="s">
        <v>1559</v>
      </c>
      <c r="L4" s="1322" t="s">
        <v>1560</v>
      </c>
      <c r="M4" s="1322" t="s">
        <v>1561</v>
      </c>
      <c r="N4" s="1322" t="s">
        <v>1562</v>
      </c>
      <c r="O4" s="1322" t="s">
        <v>1563</v>
      </c>
      <c r="P4" s="1322" t="s">
        <v>1564</v>
      </c>
      <c r="Q4" s="1322" t="s">
        <v>1565</v>
      </c>
      <c r="R4" s="1322" t="s">
        <v>1566</v>
      </c>
      <c r="S4" s="1322" t="s">
        <v>1567</v>
      </c>
      <c r="T4" s="1322" t="s">
        <v>1568</v>
      </c>
    </row>
    <row r="5" spans="1:20" ht="14.25" customHeight="1">
      <c r="A5" s="1317" t="s">
        <v>240</v>
      </c>
      <c r="B5" s="1318" t="s">
        <v>1531</v>
      </c>
      <c r="C5" s="1318">
        <v>29530</v>
      </c>
      <c r="D5" s="1318">
        <v>28130</v>
      </c>
      <c r="E5" s="1318">
        <v>27930</v>
      </c>
      <c r="F5" s="1319">
        <v>11300</v>
      </c>
      <c r="G5" s="1320" t="s">
        <v>240</v>
      </c>
      <c r="H5" s="1321">
        <f>SUMPRODUCT((B5:B9=基准地价!I2)*(C3:F3=基准地价!E2)*(C5:F9))</f>
        <v>0</v>
      </c>
      <c r="I5" s="1342" t="s">
        <v>1569</v>
      </c>
      <c r="J5" s="1322" t="s">
        <v>1570</v>
      </c>
      <c r="K5" s="1322" t="s">
        <v>1571</v>
      </c>
      <c r="L5" s="1322" t="s">
        <v>1572</v>
      </c>
      <c r="M5" s="1322" t="s">
        <v>1573</v>
      </c>
      <c r="N5" s="1322" t="s">
        <v>1574</v>
      </c>
      <c r="O5" s="1322" t="s">
        <v>1575</v>
      </c>
      <c r="P5" s="1322" t="s">
        <v>1576</v>
      </c>
      <c r="Q5" s="1322" t="s">
        <v>1577</v>
      </c>
      <c r="R5" s="1322" t="s">
        <v>1578</v>
      </c>
      <c r="S5" s="1322" t="s">
        <v>1579</v>
      </c>
      <c r="T5" s="1322" t="s">
        <v>1580</v>
      </c>
    </row>
    <row r="6" spans="1:20" ht="14.25" customHeight="1">
      <c r="A6" s="1317" t="s">
        <v>240</v>
      </c>
      <c r="B6" s="1322" t="s">
        <v>1544</v>
      </c>
      <c r="C6" s="1322">
        <v>30290</v>
      </c>
      <c r="D6" s="1322">
        <v>29210</v>
      </c>
      <c r="E6" s="1322">
        <v>28860</v>
      </c>
      <c r="F6" s="1323">
        <v>12600</v>
      </c>
      <c r="G6" s="1324" t="s">
        <v>253</v>
      </c>
      <c r="H6" s="1325">
        <f>SUMPRODUCT((B10:B28=基准地价!I2)*(C3:F3=基准地价!E2)*(C10:F28))</f>
        <v>0</v>
      </c>
      <c r="I6" s="1342" t="s">
        <v>1581</v>
      </c>
      <c r="J6" s="1322" t="s">
        <v>1582</v>
      </c>
      <c r="K6" s="1322" t="s">
        <v>1583</v>
      </c>
      <c r="L6" s="1322" t="s">
        <v>1584</v>
      </c>
      <c r="M6" s="1322" t="s">
        <v>1585</v>
      </c>
      <c r="N6" s="1322" t="s">
        <v>1586</v>
      </c>
      <c r="O6" s="1322" t="s">
        <v>1587</v>
      </c>
      <c r="P6" s="1322" t="s">
        <v>1588</v>
      </c>
      <c r="Q6" s="1322" t="s">
        <v>1589</v>
      </c>
      <c r="R6" s="1322" t="s">
        <v>1590</v>
      </c>
      <c r="S6" s="1322" t="s">
        <v>1591</v>
      </c>
      <c r="T6" s="1322" t="s">
        <v>1592</v>
      </c>
    </row>
    <row r="7" spans="1:20" ht="14.25" customHeight="1">
      <c r="A7" s="1317" t="s">
        <v>240</v>
      </c>
      <c r="B7" s="1326" t="s">
        <v>1557</v>
      </c>
      <c r="C7" s="1322">
        <v>29350</v>
      </c>
      <c r="D7" s="1322">
        <v>28410</v>
      </c>
      <c r="E7" s="1322">
        <v>27990</v>
      </c>
      <c r="F7" s="1323">
        <v>12300</v>
      </c>
      <c r="G7" s="1324" t="s">
        <v>265</v>
      </c>
      <c r="H7" s="1325">
        <f>SUMPRODUCT((B29:B48=基准地价!I2)*(C3:F3=基准地价!E2)*(C29:F48))</f>
        <v>0</v>
      </c>
      <c r="J7" s="1322" t="s">
        <v>1593</v>
      </c>
      <c r="K7" s="1322" t="s">
        <v>1594</v>
      </c>
      <c r="L7" s="1322" t="s">
        <v>1595</v>
      </c>
      <c r="M7" s="1322" t="s">
        <v>1596</v>
      </c>
      <c r="N7" s="1322" t="s">
        <v>1597</v>
      </c>
      <c r="O7" s="1322" t="s">
        <v>1598</v>
      </c>
      <c r="P7" s="1322" t="s">
        <v>1599</v>
      </c>
      <c r="Q7" s="1322" t="s">
        <v>1600</v>
      </c>
      <c r="R7" s="1322" t="s">
        <v>1601</v>
      </c>
      <c r="S7" s="1322" t="s">
        <v>1602</v>
      </c>
      <c r="T7" s="1326" t="s">
        <v>1603</v>
      </c>
    </row>
    <row r="8" spans="1:20" ht="14.25" customHeight="1">
      <c r="A8" s="1317" t="s">
        <v>240</v>
      </c>
      <c r="B8" s="1322" t="s">
        <v>1569</v>
      </c>
      <c r="C8" s="1322">
        <v>30890</v>
      </c>
      <c r="D8" s="1322">
        <v>29780</v>
      </c>
      <c r="E8" s="1322">
        <v>29270</v>
      </c>
      <c r="F8" s="1323">
        <v>11600</v>
      </c>
      <c r="G8" s="1324" t="s">
        <v>275</v>
      </c>
      <c r="H8" s="1325">
        <f>SUMPRODUCT((B49:B75=基准地价!I2)*(C3:F3=基准地价!E2)*(C49:F75))</f>
        <v>0</v>
      </c>
      <c r="J8" s="1322" t="s">
        <v>1604</v>
      </c>
      <c r="K8" s="1322" t="s">
        <v>1605</v>
      </c>
      <c r="L8" s="1322" t="s">
        <v>1606</v>
      </c>
      <c r="M8" s="1322" t="s">
        <v>1607</v>
      </c>
      <c r="N8" s="1322" t="s">
        <v>1608</v>
      </c>
      <c r="O8" s="1322" t="s">
        <v>1609</v>
      </c>
      <c r="P8" s="1322" t="s">
        <v>1610</v>
      </c>
      <c r="Q8" s="1322" t="s">
        <v>1611</v>
      </c>
      <c r="R8" s="1322" t="s">
        <v>1612</v>
      </c>
      <c r="S8" s="1322" t="s">
        <v>1613</v>
      </c>
      <c r="T8" s="1322" t="s">
        <v>1614</v>
      </c>
    </row>
    <row r="9" spans="1:20" ht="14.25" customHeight="1">
      <c r="A9" s="1317" t="s">
        <v>240</v>
      </c>
      <c r="B9" s="1327" t="s">
        <v>1581</v>
      </c>
      <c r="C9" s="1328">
        <v>28140</v>
      </c>
      <c r="D9" s="1328"/>
      <c r="E9" s="1328"/>
      <c r="F9" s="1329"/>
      <c r="G9" s="1324" t="s">
        <v>284</v>
      </c>
      <c r="H9" s="1325">
        <f>SUMPRODUCT((B76:B109=基准地价!I2)*(C3:F3=基准地价!E2)*(C76:F109))</f>
        <v>0</v>
      </c>
      <c r="J9" s="1322" t="s">
        <v>1615</v>
      </c>
      <c r="K9" s="1322" t="s">
        <v>1616</v>
      </c>
      <c r="L9" s="1322" t="s">
        <v>1617</v>
      </c>
      <c r="M9" s="1322" t="s">
        <v>1618</v>
      </c>
      <c r="N9" s="1322" t="s">
        <v>1619</v>
      </c>
      <c r="O9" s="1322" t="s">
        <v>1620</v>
      </c>
      <c r="P9" s="1322" t="s">
        <v>1621</v>
      </c>
      <c r="Q9" s="1322" t="s">
        <v>1622</v>
      </c>
      <c r="R9" s="1322" t="s">
        <v>1623</v>
      </c>
      <c r="S9" s="1322" t="s">
        <v>1624</v>
      </c>
    </row>
    <row r="10" spans="1:20" ht="14.25" customHeight="1">
      <c r="A10" s="1317" t="s">
        <v>253</v>
      </c>
      <c r="B10" s="1318" t="s">
        <v>1532</v>
      </c>
      <c r="C10" s="1318">
        <v>27450</v>
      </c>
      <c r="D10" s="1318">
        <v>26180</v>
      </c>
      <c r="E10" s="1318">
        <v>25980</v>
      </c>
      <c r="F10" s="1319">
        <v>8910</v>
      </c>
      <c r="G10" s="1324" t="s">
        <v>292</v>
      </c>
      <c r="H10" s="1325">
        <f>SUMPRODUCT((B110:B157=基准地价!I2)*(C3:F3=基准地价!E2)*(C110:F157))</f>
        <v>0</v>
      </c>
      <c r="J10" s="1322" t="s">
        <v>1625</v>
      </c>
      <c r="K10" s="1322" t="s">
        <v>1626</v>
      </c>
      <c r="L10" s="1322" t="s">
        <v>1627</v>
      </c>
      <c r="M10" s="1322" t="s">
        <v>1628</v>
      </c>
      <c r="N10" s="1322" t="s">
        <v>1629</v>
      </c>
      <c r="O10" s="1322" t="s">
        <v>1630</v>
      </c>
      <c r="P10" s="1322" t="s">
        <v>1631</v>
      </c>
      <c r="Q10" s="1322" t="s">
        <v>1632</v>
      </c>
      <c r="R10" s="1322" t="s">
        <v>1633</v>
      </c>
      <c r="S10" s="1322" t="s">
        <v>1634</v>
      </c>
    </row>
    <row r="11" spans="1:20" ht="14.25" customHeight="1">
      <c r="A11" s="1317" t="s">
        <v>253</v>
      </c>
      <c r="B11" s="1326" t="s">
        <v>1545</v>
      </c>
      <c r="C11" s="1322">
        <v>22950</v>
      </c>
      <c r="D11" s="1322">
        <v>22630</v>
      </c>
      <c r="E11" s="1322">
        <v>22030</v>
      </c>
      <c r="F11" s="1330">
        <v>8330</v>
      </c>
      <c r="G11" s="1324" t="s">
        <v>297</v>
      </c>
      <c r="H11" s="1325">
        <f>SUMPRODUCT((B158:B205=基准地价!I2)*(C3:F3=基准地价!E2)*(C158:F205))</f>
        <v>0</v>
      </c>
      <c r="J11" s="1322" t="s">
        <v>1635</v>
      </c>
      <c r="K11" s="1322" t="s">
        <v>1636</v>
      </c>
      <c r="L11" s="1322" t="s">
        <v>1637</v>
      </c>
      <c r="M11" s="1322" t="s">
        <v>1638</v>
      </c>
      <c r="N11" s="1322" t="s">
        <v>1639</v>
      </c>
      <c r="O11" s="1322" t="s">
        <v>1640</v>
      </c>
      <c r="P11" s="1322" t="s">
        <v>1641</v>
      </c>
      <c r="Q11" s="1322" t="s">
        <v>1642</v>
      </c>
      <c r="R11" s="1322" t="s">
        <v>1643</v>
      </c>
      <c r="S11" s="1322" t="s">
        <v>1644</v>
      </c>
    </row>
    <row r="12" spans="1:20" ht="14.25" customHeight="1">
      <c r="A12" s="1317" t="s">
        <v>253</v>
      </c>
      <c r="B12" s="1326" t="s">
        <v>1558</v>
      </c>
      <c r="C12" s="1322">
        <v>24940</v>
      </c>
      <c r="D12" s="1322">
        <v>23180</v>
      </c>
      <c r="E12" s="1322">
        <v>22910</v>
      </c>
      <c r="F12" s="1330">
        <v>7180</v>
      </c>
      <c r="G12" s="1324" t="s">
        <v>302</v>
      </c>
      <c r="H12" s="1325">
        <f>SUMPRODUCT((B206:B244=基准地价!I2)*(C3:F3=基准地价!E2)*(C206:F244))</f>
        <v>0</v>
      </c>
      <c r="J12" s="1322" t="s">
        <v>1645</v>
      </c>
      <c r="K12" s="1322" t="s">
        <v>1646</v>
      </c>
      <c r="L12" s="1322" t="s">
        <v>1647</v>
      </c>
      <c r="M12" s="1322" t="s">
        <v>1648</v>
      </c>
      <c r="N12" s="1322" t="s">
        <v>1649</v>
      </c>
      <c r="O12" s="1322" t="s">
        <v>1650</v>
      </c>
      <c r="P12" s="1322" t="s">
        <v>1651</v>
      </c>
      <c r="Q12" s="1322" t="s">
        <v>1652</v>
      </c>
      <c r="R12" s="1322" t="s">
        <v>1653</v>
      </c>
      <c r="S12" s="1322" t="s">
        <v>1654</v>
      </c>
    </row>
    <row r="13" spans="1:20" ht="14.25" customHeight="1">
      <c r="A13" s="1317" t="s">
        <v>253</v>
      </c>
      <c r="B13" s="1326" t="s">
        <v>1570</v>
      </c>
      <c r="C13" s="1322">
        <v>24140</v>
      </c>
      <c r="D13" s="1322">
        <v>22270</v>
      </c>
      <c r="E13" s="1322">
        <v>21950</v>
      </c>
      <c r="F13" s="1330">
        <v>7600</v>
      </c>
      <c r="G13" s="1324" t="s">
        <v>305</v>
      </c>
      <c r="H13" s="1325">
        <f>SUMPRODUCT((B245:B289=基准地价!I2)*(C3:F3=基准地价!E2)*(C245:F289))</f>
        <v>0</v>
      </c>
      <c r="J13" s="1322" t="s">
        <v>1655</v>
      </c>
      <c r="K13" s="1322" t="s">
        <v>1656</v>
      </c>
      <c r="L13" s="1322" t="s">
        <v>1657</v>
      </c>
      <c r="M13" s="1322" t="s">
        <v>1658</v>
      </c>
      <c r="N13" s="1322" t="s">
        <v>1659</v>
      </c>
      <c r="O13" s="1322" t="s">
        <v>1660</v>
      </c>
      <c r="P13" s="1322" t="s">
        <v>1661</v>
      </c>
      <c r="Q13" s="1322" t="s">
        <v>1662</v>
      </c>
      <c r="R13" s="1322" t="s">
        <v>1663</v>
      </c>
      <c r="S13" s="1322" t="s">
        <v>1664</v>
      </c>
    </row>
    <row r="14" spans="1:20" ht="14.25" customHeight="1">
      <c r="A14" s="1317" t="s">
        <v>253</v>
      </c>
      <c r="B14" s="1326" t="s">
        <v>1582</v>
      </c>
      <c r="C14" s="1322">
        <v>25600</v>
      </c>
      <c r="D14" s="1322">
        <v>22260</v>
      </c>
      <c r="E14" s="1322">
        <v>22110</v>
      </c>
      <c r="F14" s="1330">
        <v>7630</v>
      </c>
      <c r="G14" s="1324" t="s">
        <v>308</v>
      </c>
      <c r="H14" s="1325">
        <f>SUMPRODUCT((B290:B316=基准地价!I2)*(C3:F3=基准地价!E2)*(C290:F316))</f>
        <v>0</v>
      </c>
      <c r="J14" s="1322" t="s">
        <v>1665</v>
      </c>
      <c r="K14" s="1322" t="s">
        <v>1666</v>
      </c>
      <c r="L14" s="1322" t="s">
        <v>1667</v>
      </c>
      <c r="M14" s="1322" t="s">
        <v>1668</v>
      </c>
      <c r="N14" s="1322" t="s">
        <v>1669</v>
      </c>
      <c r="O14" s="1322" t="s">
        <v>1670</v>
      </c>
      <c r="P14" s="1322" t="s">
        <v>1671</v>
      </c>
      <c r="Q14" s="1322" t="s">
        <v>1672</v>
      </c>
      <c r="R14" s="1322" t="s">
        <v>1673</v>
      </c>
      <c r="S14" s="1322" t="s">
        <v>1674</v>
      </c>
    </row>
    <row r="15" spans="1:20" ht="14.25" customHeight="1">
      <c r="A15" s="1317" t="s">
        <v>253</v>
      </c>
      <c r="B15" s="1326" t="s">
        <v>1593</v>
      </c>
      <c r="C15" s="1322">
        <v>24760</v>
      </c>
      <c r="D15" s="1322">
        <v>24440</v>
      </c>
      <c r="E15" s="1322">
        <v>24130</v>
      </c>
      <c r="F15" s="1330">
        <v>9480</v>
      </c>
      <c r="G15" s="1324" t="s">
        <v>311</v>
      </c>
      <c r="H15" s="1325">
        <f>SUMPRODUCT((B317:B337=基准地价!I2)*(C3:F3=基准地价!E2)*(C317:F337))</f>
        <v>0</v>
      </c>
      <c r="J15" s="1322" t="s">
        <v>1675</v>
      </c>
      <c r="K15" s="1322" t="s">
        <v>1676</v>
      </c>
      <c r="L15" s="1322" t="s">
        <v>1677</v>
      </c>
      <c r="M15" s="1322" t="s">
        <v>1678</v>
      </c>
      <c r="N15" s="1322" t="s">
        <v>1679</v>
      </c>
      <c r="O15" s="1322" t="s">
        <v>1680</v>
      </c>
      <c r="P15" s="1322" t="s">
        <v>1681</v>
      </c>
      <c r="Q15" s="1322" t="s">
        <v>1682</v>
      </c>
      <c r="R15" s="1322" t="s">
        <v>1683</v>
      </c>
      <c r="S15" s="1322" t="s">
        <v>1684</v>
      </c>
    </row>
    <row r="16" spans="1:20" ht="14.25" customHeight="1">
      <c r="A16" s="1317" t="s">
        <v>253</v>
      </c>
      <c r="B16" s="1326" t="s">
        <v>1604</v>
      </c>
      <c r="C16" s="1322">
        <v>22220</v>
      </c>
      <c r="D16" s="1322">
        <v>22310</v>
      </c>
      <c r="E16" s="1322">
        <v>22000</v>
      </c>
      <c r="F16" s="1330">
        <v>8900</v>
      </c>
      <c r="G16" s="1331" t="s">
        <v>314</v>
      </c>
      <c r="H16" s="1332">
        <f>SUMPRODUCT((B338:B344=基准地价!I2)*(C3:F3=基准地价!E2)*(C338:F344))</f>
        <v>0</v>
      </c>
      <c r="J16" s="1322" t="s">
        <v>1685</v>
      </c>
      <c r="K16" s="1322" t="s">
        <v>1686</v>
      </c>
      <c r="L16" s="1322" t="s">
        <v>1687</v>
      </c>
      <c r="M16" s="1322" t="s">
        <v>1688</v>
      </c>
      <c r="N16" s="1322" t="s">
        <v>1689</v>
      </c>
      <c r="O16" s="1322" t="s">
        <v>1690</v>
      </c>
      <c r="P16" s="1322" t="s">
        <v>1691</v>
      </c>
      <c r="Q16" s="1322" t="s">
        <v>1692</v>
      </c>
      <c r="R16" s="1322" t="s">
        <v>1693</v>
      </c>
      <c r="S16" s="1322" t="s">
        <v>1694</v>
      </c>
    </row>
    <row r="17" spans="1:19" ht="14.25" customHeight="1">
      <c r="A17" s="1317" t="s">
        <v>253</v>
      </c>
      <c r="B17" s="1326" t="s">
        <v>1615</v>
      </c>
      <c r="C17" s="1322">
        <v>24700</v>
      </c>
      <c r="D17" s="1322">
        <v>25150</v>
      </c>
      <c r="E17" s="1322">
        <v>24700</v>
      </c>
      <c r="F17" s="1333"/>
      <c r="H17" s="1334"/>
      <c r="J17" s="1322" t="s">
        <v>1695</v>
      </c>
      <c r="K17" s="1322" t="s">
        <v>1696</v>
      </c>
      <c r="L17" s="1322" t="s">
        <v>1697</v>
      </c>
      <c r="M17" s="1322" t="s">
        <v>1698</v>
      </c>
      <c r="N17" s="1322" t="s">
        <v>1699</v>
      </c>
      <c r="O17" s="1322" t="s">
        <v>1700</v>
      </c>
      <c r="P17" s="1322" t="s">
        <v>1701</v>
      </c>
      <c r="Q17" s="1322" t="s">
        <v>1702</v>
      </c>
      <c r="R17" s="1322" t="s">
        <v>1703</v>
      </c>
      <c r="S17" s="1322" t="s">
        <v>1704</v>
      </c>
    </row>
    <row r="18" spans="1:19" ht="14.25" customHeight="1">
      <c r="A18" s="1317" t="s">
        <v>253</v>
      </c>
      <c r="B18" s="1326" t="s">
        <v>1625</v>
      </c>
      <c r="C18" s="1322">
        <v>22350</v>
      </c>
      <c r="D18" s="1322">
        <v>24340</v>
      </c>
      <c r="E18" s="1322">
        <v>24100</v>
      </c>
      <c r="F18" s="1333"/>
      <c r="H18" s="1334"/>
      <c r="J18" s="1322" t="s">
        <v>1705</v>
      </c>
      <c r="K18" s="1322" t="s">
        <v>1706</v>
      </c>
      <c r="L18" s="1322" t="s">
        <v>1707</v>
      </c>
      <c r="M18" s="1322" t="s">
        <v>1708</v>
      </c>
      <c r="N18" s="1322" t="s">
        <v>1709</v>
      </c>
      <c r="O18" s="1322" t="s">
        <v>1710</v>
      </c>
      <c r="P18" s="1322" t="s">
        <v>1711</v>
      </c>
      <c r="Q18" s="1322" t="s">
        <v>1712</v>
      </c>
      <c r="R18" s="1322" t="s">
        <v>1713</v>
      </c>
      <c r="S18" s="1322" t="s">
        <v>1714</v>
      </c>
    </row>
    <row r="19" spans="1:19" ht="14.25" customHeight="1">
      <c r="A19" s="1317" t="s">
        <v>253</v>
      </c>
      <c r="B19" s="1326" t="s">
        <v>1635</v>
      </c>
      <c r="C19" s="1322">
        <v>23430</v>
      </c>
      <c r="D19" s="1322">
        <v>21580</v>
      </c>
      <c r="E19" s="1322">
        <v>21350</v>
      </c>
      <c r="F19" s="1333"/>
      <c r="H19" s="1334"/>
      <c r="J19" s="1322" t="s">
        <v>1715</v>
      </c>
      <c r="K19" s="1322" t="s">
        <v>1716</v>
      </c>
      <c r="L19" s="1322" t="s">
        <v>1717</v>
      </c>
      <c r="M19" s="1322" t="s">
        <v>1718</v>
      </c>
      <c r="N19" s="1322" t="s">
        <v>1719</v>
      </c>
      <c r="O19" s="1322" t="s">
        <v>1720</v>
      </c>
      <c r="P19" s="1322" t="s">
        <v>1721</v>
      </c>
      <c r="Q19" s="1322" t="s">
        <v>1722</v>
      </c>
      <c r="R19" s="1322" t="s">
        <v>1723</v>
      </c>
      <c r="S19" s="1322" t="s">
        <v>1724</v>
      </c>
    </row>
    <row r="20" spans="1:19" ht="14.25" customHeight="1">
      <c r="A20" s="1317" t="s">
        <v>253</v>
      </c>
      <c r="B20" s="1326" t="s">
        <v>1645</v>
      </c>
      <c r="C20" s="1322">
        <v>27660</v>
      </c>
      <c r="D20" s="1322">
        <v>24240</v>
      </c>
      <c r="E20" s="1322">
        <v>24020</v>
      </c>
      <c r="F20" s="1333"/>
      <c r="J20" s="1322" t="s">
        <v>1725</v>
      </c>
      <c r="K20" s="1322" t="s">
        <v>1726</v>
      </c>
      <c r="L20" s="1322" t="s">
        <v>1727</v>
      </c>
      <c r="M20" s="1322" t="s">
        <v>1728</v>
      </c>
      <c r="N20" s="1322" t="s">
        <v>1729</v>
      </c>
      <c r="O20" s="1322" t="s">
        <v>1730</v>
      </c>
      <c r="P20" s="1322" t="s">
        <v>1731</v>
      </c>
      <c r="Q20" s="1322" t="s">
        <v>1732</v>
      </c>
      <c r="R20" s="1322" t="s">
        <v>1733</v>
      </c>
      <c r="S20" s="1322" t="s">
        <v>1734</v>
      </c>
    </row>
    <row r="21" spans="1:19" ht="14.25" customHeight="1">
      <c r="A21" s="1317" t="s">
        <v>253</v>
      </c>
      <c r="B21" s="1326" t="s">
        <v>1655</v>
      </c>
      <c r="C21" s="1322">
        <v>24720</v>
      </c>
      <c r="D21" s="1322">
        <v>21670</v>
      </c>
      <c r="E21" s="1322">
        <v>21510</v>
      </c>
      <c r="F21" s="1333"/>
      <c r="K21" s="1322" t="s">
        <v>1735</v>
      </c>
      <c r="L21" s="1322" t="s">
        <v>1736</v>
      </c>
      <c r="M21" s="1322" t="s">
        <v>1737</v>
      </c>
      <c r="N21" s="1322" t="s">
        <v>1738</v>
      </c>
      <c r="O21" s="1322" t="s">
        <v>1739</v>
      </c>
      <c r="P21" s="1322" t="s">
        <v>1740</v>
      </c>
      <c r="Q21" s="1322" t="s">
        <v>1741</v>
      </c>
      <c r="R21" s="1322" t="s">
        <v>1742</v>
      </c>
      <c r="S21" s="1322" t="s">
        <v>1743</v>
      </c>
    </row>
    <row r="22" spans="1:19" ht="14.25" customHeight="1">
      <c r="A22" s="1317" t="s">
        <v>253</v>
      </c>
      <c r="B22" s="1326" t="s">
        <v>1665</v>
      </c>
      <c r="C22" s="1322">
        <v>26530</v>
      </c>
      <c r="D22" s="1322">
        <v>22980</v>
      </c>
      <c r="E22" s="1322">
        <v>22650</v>
      </c>
      <c r="F22" s="1333"/>
      <c r="L22" s="1322" t="s">
        <v>1744</v>
      </c>
      <c r="M22" s="1322" t="s">
        <v>1745</v>
      </c>
      <c r="N22" s="1322" t="s">
        <v>1746</v>
      </c>
      <c r="O22" s="1322" t="s">
        <v>1747</v>
      </c>
      <c r="P22" s="1322" t="s">
        <v>1748</v>
      </c>
      <c r="Q22" s="1322" t="s">
        <v>1749</v>
      </c>
      <c r="R22" s="1322" t="s">
        <v>1750</v>
      </c>
      <c r="S22" s="1326" t="s">
        <v>1751</v>
      </c>
    </row>
    <row r="23" spans="1:19" ht="14.25" customHeight="1">
      <c r="A23" s="1317" t="s">
        <v>253</v>
      </c>
      <c r="B23" s="1326" t="s">
        <v>1675</v>
      </c>
      <c r="C23" s="1322">
        <v>24700</v>
      </c>
      <c r="D23" s="1322">
        <v>27290</v>
      </c>
      <c r="E23" s="1322">
        <v>26710</v>
      </c>
      <c r="F23" s="1333"/>
      <c r="L23" s="1322" t="s">
        <v>1752</v>
      </c>
      <c r="M23" s="1322" t="s">
        <v>1753</v>
      </c>
      <c r="N23" s="1322" t="s">
        <v>1754</v>
      </c>
      <c r="O23" s="1322" t="s">
        <v>1755</v>
      </c>
      <c r="P23" s="1322" t="s">
        <v>1756</v>
      </c>
      <c r="Q23" s="1322" t="s">
        <v>1757</v>
      </c>
      <c r="R23" s="1322" t="s">
        <v>1758</v>
      </c>
    </row>
    <row r="24" spans="1:19" ht="14.25" customHeight="1">
      <c r="A24" s="1317" t="s">
        <v>253</v>
      </c>
      <c r="B24" s="1326" t="s">
        <v>1685</v>
      </c>
      <c r="C24" s="1322">
        <v>23070</v>
      </c>
      <c r="D24" s="1322">
        <v>24130</v>
      </c>
      <c r="E24" s="1322">
        <v>23860</v>
      </c>
      <c r="F24" s="1333"/>
      <c r="L24" s="1322" t="s">
        <v>1759</v>
      </c>
      <c r="M24" s="1322" t="s">
        <v>1760</v>
      </c>
      <c r="N24" s="1322" t="s">
        <v>1761</v>
      </c>
      <c r="O24" s="1322" t="s">
        <v>1762</v>
      </c>
      <c r="P24" s="1322" t="s">
        <v>1763</v>
      </c>
      <c r="Q24" s="1322" t="s">
        <v>1764</v>
      </c>
      <c r="R24" s="1322" t="s">
        <v>1765</v>
      </c>
    </row>
    <row r="25" spans="1:19" ht="14.25" customHeight="1">
      <c r="A25" s="1317" t="s">
        <v>253</v>
      </c>
      <c r="B25" s="1326" t="s">
        <v>1695</v>
      </c>
      <c r="C25" s="1322">
        <v>27550</v>
      </c>
      <c r="D25" s="1322">
        <v>25850</v>
      </c>
      <c r="E25" s="1322">
        <v>25340</v>
      </c>
      <c r="F25" s="1333"/>
      <c r="L25" s="1322" t="s">
        <v>1766</v>
      </c>
      <c r="M25" s="1322" t="s">
        <v>1767</v>
      </c>
      <c r="N25" s="1322" t="s">
        <v>1768</v>
      </c>
      <c r="O25" s="1322" t="s">
        <v>1769</v>
      </c>
      <c r="P25" s="1322" t="s">
        <v>1770</v>
      </c>
      <c r="Q25" s="1322" t="s">
        <v>1771</v>
      </c>
      <c r="R25" s="1322" t="s">
        <v>1772</v>
      </c>
    </row>
    <row r="26" spans="1:19" ht="14.25" customHeight="1">
      <c r="A26" s="1317" t="s">
        <v>253</v>
      </c>
      <c r="B26" s="1326" t="s">
        <v>1705</v>
      </c>
      <c r="C26" s="1322"/>
      <c r="D26" s="1322">
        <v>23900</v>
      </c>
      <c r="E26" s="1322">
        <v>23590</v>
      </c>
      <c r="F26" s="1333"/>
      <c r="L26" s="1322" t="s">
        <v>1773</v>
      </c>
      <c r="M26" s="1322" t="s">
        <v>1774</v>
      </c>
      <c r="N26" s="1322" t="s">
        <v>1775</v>
      </c>
      <c r="O26" s="1322" t="s">
        <v>1776</v>
      </c>
      <c r="P26" s="1322" t="s">
        <v>1777</v>
      </c>
      <c r="Q26" s="1322" t="s">
        <v>1778</v>
      </c>
      <c r="R26" s="1322" t="s">
        <v>1779</v>
      </c>
    </row>
    <row r="27" spans="1:19" ht="14.25" customHeight="1">
      <c r="A27" s="1317" t="s">
        <v>253</v>
      </c>
      <c r="B27" s="1326" t="s">
        <v>1715</v>
      </c>
      <c r="C27" s="1322"/>
      <c r="D27" s="1322">
        <v>22850</v>
      </c>
      <c r="E27" s="1322">
        <v>21920</v>
      </c>
      <c r="F27" s="1333"/>
      <c r="L27" s="1322" t="s">
        <v>1780</v>
      </c>
      <c r="M27" s="1322" t="s">
        <v>1781</v>
      </c>
      <c r="N27" s="1322" t="s">
        <v>1782</v>
      </c>
      <c r="O27" s="1322" t="s">
        <v>1783</v>
      </c>
      <c r="P27" s="1322" t="s">
        <v>1784</v>
      </c>
      <c r="Q27" s="1322" t="s">
        <v>1785</v>
      </c>
      <c r="R27" s="1322" t="s">
        <v>1786</v>
      </c>
    </row>
    <row r="28" spans="1:19" ht="14.25" customHeight="1">
      <c r="A28" s="1335" t="s">
        <v>253</v>
      </c>
      <c r="B28" s="1327" t="s">
        <v>1725</v>
      </c>
      <c r="C28" s="1328"/>
      <c r="D28" s="1328">
        <v>26610</v>
      </c>
      <c r="E28" s="1328">
        <v>26370</v>
      </c>
      <c r="F28" s="1329"/>
      <c r="L28" s="1322" t="s">
        <v>1787</v>
      </c>
      <c r="M28" s="1322" t="s">
        <v>1788</v>
      </c>
      <c r="N28" s="1322" t="s">
        <v>1789</v>
      </c>
      <c r="O28" s="1322" t="s">
        <v>1790</v>
      </c>
      <c r="P28" s="1322" t="s">
        <v>1791</v>
      </c>
      <c r="Q28" s="1322" t="s">
        <v>1792</v>
      </c>
    </row>
    <row r="29" spans="1:19" ht="14.25" customHeight="1">
      <c r="A29" s="1317" t="s">
        <v>265</v>
      </c>
      <c r="B29" s="1318" t="s">
        <v>1533</v>
      </c>
      <c r="C29" s="1318">
        <v>22090</v>
      </c>
      <c r="D29" s="1318">
        <v>21860</v>
      </c>
      <c r="E29" s="1318">
        <v>19380</v>
      </c>
      <c r="F29" s="1319">
        <v>6610</v>
      </c>
      <c r="M29" s="1322" t="s">
        <v>1793</v>
      </c>
      <c r="N29" s="1322" t="s">
        <v>1794</v>
      </c>
      <c r="O29" s="1322" t="s">
        <v>1795</v>
      </c>
      <c r="P29" s="1322" t="s">
        <v>1796</v>
      </c>
      <c r="Q29" s="1322" t="s">
        <v>1797</v>
      </c>
    </row>
    <row r="30" spans="1:19" ht="14.25" customHeight="1">
      <c r="A30" s="1317" t="s">
        <v>265</v>
      </c>
      <c r="B30" s="1326" t="s">
        <v>1546</v>
      </c>
      <c r="C30" s="1322">
        <v>21380</v>
      </c>
      <c r="D30" s="1322">
        <v>19930</v>
      </c>
      <c r="E30" s="1322">
        <v>19860</v>
      </c>
      <c r="F30" s="1330">
        <v>6010</v>
      </c>
      <c r="H30" s="1334"/>
      <c r="M30" s="1322" t="s">
        <v>1798</v>
      </c>
      <c r="N30" s="1322" t="s">
        <v>1799</v>
      </c>
      <c r="O30" s="1322" t="s">
        <v>1800</v>
      </c>
      <c r="P30" s="1322" t="s">
        <v>1801</v>
      </c>
      <c r="Q30" s="1322" t="s">
        <v>1802</v>
      </c>
    </row>
    <row r="31" spans="1:19" ht="14.25" customHeight="1">
      <c r="A31" s="1317" t="s">
        <v>265</v>
      </c>
      <c r="B31" s="1326" t="s">
        <v>1559</v>
      </c>
      <c r="C31" s="1322">
        <v>21670</v>
      </c>
      <c r="D31" s="1322">
        <v>20660</v>
      </c>
      <c r="E31" s="1322">
        <v>20290</v>
      </c>
      <c r="F31" s="1330">
        <v>5840</v>
      </c>
      <c r="H31" s="1334"/>
      <c r="M31" s="1322" t="s">
        <v>1803</v>
      </c>
      <c r="N31" s="1322" t="s">
        <v>1804</v>
      </c>
      <c r="O31" s="1322" t="s">
        <v>1805</v>
      </c>
      <c r="P31" s="1322" t="s">
        <v>1806</v>
      </c>
      <c r="Q31" s="1322" t="s">
        <v>1807</v>
      </c>
    </row>
    <row r="32" spans="1:19" ht="14.25" customHeight="1">
      <c r="A32" s="1317" t="s">
        <v>265</v>
      </c>
      <c r="B32" s="1326" t="s">
        <v>1571</v>
      </c>
      <c r="C32" s="1322">
        <v>22280</v>
      </c>
      <c r="D32" s="1322">
        <v>21800</v>
      </c>
      <c r="E32" s="1322">
        <v>17650</v>
      </c>
      <c r="F32" s="1330">
        <v>4690</v>
      </c>
      <c r="H32" s="1334"/>
      <c r="M32" s="1322" t="s">
        <v>1808</v>
      </c>
      <c r="N32" s="1322" t="s">
        <v>1809</v>
      </c>
      <c r="O32" s="1322" t="s">
        <v>1810</v>
      </c>
      <c r="P32" s="1322" t="s">
        <v>1811</v>
      </c>
      <c r="Q32" s="1322" t="s">
        <v>1812</v>
      </c>
    </row>
    <row r="33" spans="1:17" ht="14.25" customHeight="1">
      <c r="A33" s="1317" t="s">
        <v>265</v>
      </c>
      <c r="B33" s="1326" t="s">
        <v>1583</v>
      </c>
      <c r="C33" s="1322">
        <v>22130</v>
      </c>
      <c r="D33" s="1322">
        <v>20460</v>
      </c>
      <c r="E33" s="1322">
        <v>18500</v>
      </c>
      <c r="F33" s="1330">
        <v>5340</v>
      </c>
      <c r="H33" s="1334"/>
      <c r="M33" s="1322" t="s">
        <v>1813</v>
      </c>
      <c r="N33" s="1322" t="s">
        <v>1814</v>
      </c>
      <c r="O33" s="1322" t="s">
        <v>1815</v>
      </c>
      <c r="P33" s="1322" t="s">
        <v>1816</v>
      </c>
      <c r="Q33" s="1322" t="s">
        <v>1817</v>
      </c>
    </row>
    <row r="34" spans="1:17" ht="14.25" customHeight="1">
      <c r="A34" s="1317" t="s">
        <v>265</v>
      </c>
      <c r="B34" s="1326" t="s">
        <v>1594</v>
      </c>
      <c r="C34" s="1322">
        <v>22070</v>
      </c>
      <c r="D34" s="1322">
        <v>20110</v>
      </c>
      <c r="E34" s="1322">
        <v>18830</v>
      </c>
      <c r="F34" s="1330">
        <v>5190</v>
      </c>
      <c r="H34" s="1334"/>
      <c r="M34" s="1322" t="s">
        <v>1818</v>
      </c>
      <c r="N34" s="1322" t="s">
        <v>1819</v>
      </c>
      <c r="O34" s="1322" t="s">
        <v>1820</v>
      </c>
      <c r="P34" s="1322" t="s">
        <v>1821</v>
      </c>
      <c r="Q34" s="1322" t="s">
        <v>1822</v>
      </c>
    </row>
    <row r="35" spans="1:17" ht="14.25" customHeight="1">
      <c r="A35" s="1317" t="s">
        <v>265</v>
      </c>
      <c r="B35" s="1326" t="s">
        <v>1605</v>
      </c>
      <c r="C35" s="1322">
        <v>22240</v>
      </c>
      <c r="D35" s="1322">
        <v>19550</v>
      </c>
      <c r="E35" s="1322">
        <v>19220</v>
      </c>
      <c r="F35" s="1330">
        <v>5800</v>
      </c>
      <c r="H35" s="1334"/>
      <c r="M35" s="1322" t="s">
        <v>1823</v>
      </c>
      <c r="N35" s="1322" t="s">
        <v>1824</v>
      </c>
      <c r="O35" s="1322" t="s">
        <v>1825</v>
      </c>
      <c r="P35" s="1322" t="s">
        <v>1826</v>
      </c>
      <c r="Q35" s="1322" t="s">
        <v>1827</v>
      </c>
    </row>
    <row r="36" spans="1:17" ht="14.25" customHeight="1">
      <c r="A36" s="1317" t="s">
        <v>265</v>
      </c>
      <c r="B36" s="1326" t="s">
        <v>1616</v>
      </c>
      <c r="C36" s="1322">
        <v>19750</v>
      </c>
      <c r="D36" s="1322">
        <v>19790</v>
      </c>
      <c r="E36" s="1322">
        <v>18510</v>
      </c>
      <c r="F36" s="1330">
        <v>6520</v>
      </c>
      <c r="H36" s="1334"/>
      <c r="N36" s="1322" t="s">
        <v>1828</v>
      </c>
      <c r="O36" s="1322" t="s">
        <v>1829</v>
      </c>
      <c r="P36" s="1322" t="s">
        <v>1830</v>
      </c>
      <c r="Q36" s="1322" t="s">
        <v>1831</v>
      </c>
    </row>
    <row r="37" spans="1:17" ht="14.25" customHeight="1">
      <c r="A37" s="1317" t="s">
        <v>265</v>
      </c>
      <c r="B37" s="1326" t="s">
        <v>1626</v>
      </c>
      <c r="C37" s="1322">
        <v>22380</v>
      </c>
      <c r="D37" s="1322">
        <v>18530</v>
      </c>
      <c r="E37" s="1322">
        <v>17930</v>
      </c>
      <c r="F37" s="1330">
        <v>6270</v>
      </c>
      <c r="H37" s="1336"/>
      <c r="N37" s="1322" t="s">
        <v>1832</v>
      </c>
      <c r="O37" s="1322" t="s">
        <v>1833</v>
      </c>
      <c r="P37" s="1322" t="s">
        <v>1834</v>
      </c>
      <c r="Q37" s="1322" t="s">
        <v>1835</v>
      </c>
    </row>
    <row r="38" spans="1:17" ht="14.25" customHeight="1">
      <c r="A38" s="1317" t="s">
        <v>265</v>
      </c>
      <c r="B38" s="1326" t="s">
        <v>1636</v>
      </c>
      <c r="C38" s="1322">
        <v>20200</v>
      </c>
      <c r="D38" s="1322">
        <v>20070</v>
      </c>
      <c r="E38" s="1322">
        <v>19950</v>
      </c>
      <c r="F38" s="1330"/>
      <c r="H38" s="1337"/>
      <c r="N38" s="1322" t="s">
        <v>1836</v>
      </c>
      <c r="O38" s="1322" t="s">
        <v>1837</v>
      </c>
      <c r="P38" s="1322" t="s">
        <v>1838</v>
      </c>
      <c r="Q38" s="1322" t="s">
        <v>1839</v>
      </c>
    </row>
    <row r="39" spans="1:17" ht="14.25" customHeight="1">
      <c r="A39" s="1317" t="s">
        <v>265</v>
      </c>
      <c r="B39" s="1326" t="s">
        <v>1646</v>
      </c>
      <c r="C39" s="1322">
        <v>19300</v>
      </c>
      <c r="D39" s="1322">
        <v>20360</v>
      </c>
      <c r="E39" s="1322">
        <v>20230</v>
      </c>
      <c r="F39" s="1330"/>
      <c r="H39" s="1337"/>
      <c r="N39" s="1322" t="s">
        <v>1840</v>
      </c>
      <c r="O39" s="1322" t="s">
        <v>1841</v>
      </c>
      <c r="P39" s="1322" t="s">
        <v>1842</v>
      </c>
      <c r="Q39" s="1322" t="s">
        <v>1843</v>
      </c>
    </row>
    <row r="40" spans="1:17" ht="14.25" customHeight="1">
      <c r="A40" s="1317" t="s">
        <v>265</v>
      </c>
      <c r="B40" s="1326" t="s">
        <v>1656</v>
      </c>
      <c r="C40" s="1322">
        <v>20210</v>
      </c>
      <c r="D40" s="1322">
        <v>19060</v>
      </c>
      <c r="E40" s="1322">
        <v>18890</v>
      </c>
      <c r="F40" s="1330"/>
      <c r="H40" s="1337"/>
      <c r="N40" s="1322" t="s">
        <v>1844</v>
      </c>
      <c r="O40" s="1322" t="s">
        <v>1845</v>
      </c>
      <c r="P40" s="1322" t="s">
        <v>1846</v>
      </c>
      <c r="Q40" s="1322" t="s">
        <v>1847</v>
      </c>
    </row>
    <row r="41" spans="1:17" ht="14.25" customHeight="1">
      <c r="A41" s="1317" t="s">
        <v>265</v>
      </c>
      <c r="B41" s="1326" t="s">
        <v>1666</v>
      </c>
      <c r="C41" s="1322">
        <v>20560</v>
      </c>
      <c r="D41" s="1322">
        <v>21040</v>
      </c>
      <c r="E41" s="1322">
        <v>20740</v>
      </c>
      <c r="F41" s="1330"/>
      <c r="H41" s="1337"/>
      <c r="N41" s="1326" t="s">
        <v>1848</v>
      </c>
      <c r="O41" s="1326" t="s">
        <v>1849</v>
      </c>
      <c r="Q41" s="1326" t="s">
        <v>1850</v>
      </c>
    </row>
    <row r="42" spans="1:17" ht="14.25" customHeight="1">
      <c r="A42" s="1317" t="s">
        <v>265</v>
      </c>
      <c r="B42" s="1326" t="s">
        <v>1676</v>
      </c>
      <c r="C42" s="1322">
        <v>19280</v>
      </c>
      <c r="D42" s="1322">
        <v>22940</v>
      </c>
      <c r="E42" s="1322">
        <v>22500</v>
      </c>
      <c r="F42" s="1330"/>
      <c r="H42" s="1337"/>
      <c r="N42" s="1322" t="s">
        <v>1851</v>
      </c>
      <c r="O42" s="1322" t="s">
        <v>1852</v>
      </c>
      <c r="Q42" s="1322" t="s">
        <v>1853</v>
      </c>
    </row>
    <row r="43" spans="1:17" ht="14.25" customHeight="1">
      <c r="A43" s="1317" t="s">
        <v>265</v>
      </c>
      <c r="B43" s="1326" t="s">
        <v>1686</v>
      </c>
      <c r="C43" s="1322">
        <v>21520</v>
      </c>
      <c r="D43" s="1322">
        <v>19230</v>
      </c>
      <c r="E43" s="1322">
        <v>18540</v>
      </c>
      <c r="F43" s="1330"/>
      <c r="H43" s="1337"/>
      <c r="N43" s="1322" t="s">
        <v>1854</v>
      </c>
      <c r="O43" s="1322" t="s">
        <v>1855</v>
      </c>
      <c r="Q43" s="1322" t="s">
        <v>1856</v>
      </c>
    </row>
    <row r="44" spans="1:17" ht="14.25" customHeight="1">
      <c r="A44" s="1317" t="s">
        <v>265</v>
      </c>
      <c r="B44" s="1326" t="s">
        <v>1696</v>
      </c>
      <c r="C44" s="1322">
        <v>23260</v>
      </c>
      <c r="D44" s="1322">
        <v>21180</v>
      </c>
      <c r="E44" s="1322">
        <v>20730</v>
      </c>
      <c r="F44" s="1330"/>
      <c r="H44" s="1337"/>
      <c r="N44" s="1322" t="s">
        <v>1857</v>
      </c>
      <c r="O44" s="1322" t="s">
        <v>1858</v>
      </c>
      <c r="Q44" s="1322" t="s">
        <v>1859</v>
      </c>
    </row>
    <row r="45" spans="1:17" ht="14.25" customHeight="1">
      <c r="A45" s="1317" t="s">
        <v>265</v>
      </c>
      <c r="B45" s="1326" t="s">
        <v>1706</v>
      </c>
      <c r="C45" s="1322">
        <v>19610</v>
      </c>
      <c r="D45" s="1322">
        <v>18090</v>
      </c>
      <c r="E45" s="1322">
        <v>17970</v>
      </c>
      <c r="F45" s="1330"/>
      <c r="H45" s="1334"/>
      <c r="N45" s="1322" t="s">
        <v>1860</v>
      </c>
      <c r="O45" s="1322" t="s">
        <v>1861</v>
      </c>
      <c r="Q45" s="1322" t="s">
        <v>1862</v>
      </c>
    </row>
    <row r="46" spans="1:17" ht="14.25" customHeight="1">
      <c r="A46" s="1317" t="s">
        <v>265</v>
      </c>
      <c r="B46" s="1326" t="s">
        <v>1716</v>
      </c>
      <c r="C46" s="1322">
        <v>21660</v>
      </c>
      <c r="D46" s="1322">
        <v>19190</v>
      </c>
      <c r="E46" s="1322">
        <v>19790</v>
      </c>
      <c r="F46" s="1330"/>
      <c r="H46" s="1337"/>
      <c r="N46" s="1322" t="s">
        <v>1863</v>
      </c>
      <c r="O46" s="1322" t="s">
        <v>1864</v>
      </c>
      <c r="Q46" s="1322" t="s">
        <v>1865</v>
      </c>
    </row>
    <row r="47" spans="1:17" ht="14.25" customHeight="1">
      <c r="A47" s="1317" t="s">
        <v>265</v>
      </c>
      <c r="B47" s="1326" t="s">
        <v>1726</v>
      </c>
      <c r="C47" s="1322">
        <v>18220</v>
      </c>
      <c r="D47" s="1322"/>
      <c r="E47" s="1322">
        <v>17220</v>
      </c>
      <c r="F47" s="1330"/>
      <c r="H47" s="1337"/>
      <c r="N47" s="1322" t="s">
        <v>1866</v>
      </c>
      <c r="O47" s="1322" t="s">
        <v>1867</v>
      </c>
    </row>
    <row r="48" spans="1:17" ht="14.25" customHeight="1">
      <c r="A48" s="1317" t="s">
        <v>265</v>
      </c>
      <c r="B48" s="1327" t="s">
        <v>1735</v>
      </c>
      <c r="C48" s="1328">
        <v>19430</v>
      </c>
      <c r="D48" s="1328"/>
      <c r="E48" s="1328">
        <v>17830</v>
      </c>
      <c r="F48" s="1338"/>
      <c r="H48" s="1334"/>
      <c r="N48" s="1322" t="s">
        <v>1868</v>
      </c>
      <c r="O48" s="1322" t="s">
        <v>1869</v>
      </c>
    </row>
    <row r="49" spans="1:15" ht="14.25" customHeight="1">
      <c r="A49" s="1317" t="s">
        <v>275</v>
      </c>
      <c r="B49" s="1318" t="s">
        <v>1534</v>
      </c>
      <c r="C49" s="1318">
        <v>17090</v>
      </c>
      <c r="D49" s="1318">
        <v>16950</v>
      </c>
      <c r="E49" s="1318">
        <v>16310</v>
      </c>
      <c r="F49" s="1319">
        <v>4540</v>
      </c>
      <c r="H49" s="1337"/>
      <c r="N49" s="1322" t="s">
        <v>1870</v>
      </c>
      <c r="O49" s="1322" t="s">
        <v>1871</v>
      </c>
    </row>
    <row r="50" spans="1:15" ht="14.25" customHeight="1">
      <c r="A50" s="1317" t="s">
        <v>275</v>
      </c>
      <c r="B50" s="1322" t="s">
        <v>1547</v>
      </c>
      <c r="C50" s="1322">
        <v>19040</v>
      </c>
      <c r="D50" s="1322">
        <v>16960</v>
      </c>
      <c r="E50" s="1322">
        <v>14800</v>
      </c>
      <c r="F50" s="1330">
        <v>3940</v>
      </c>
      <c r="H50" s="1337"/>
    </row>
    <row r="51" spans="1:15" ht="14.25" customHeight="1">
      <c r="A51" s="1317" t="s">
        <v>275</v>
      </c>
      <c r="B51" s="1322" t="s">
        <v>1560</v>
      </c>
      <c r="C51" s="1322">
        <v>17040</v>
      </c>
      <c r="D51" s="1322">
        <v>16930</v>
      </c>
      <c r="E51" s="1322">
        <v>15030</v>
      </c>
      <c r="F51" s="1330">
        <v>4120</v>
      </c>
      <c r="H51" s="1337"/>
    </row>
    <row r="52" spans="1:15" ht="14.25" customHeight="1">
      <c r="A52" s="1317" t="s">
        <v>275</v>
      </c>
      <c r="B52" s="1322" t="s">
        <v>1572</v>
      </c>
      <c r="C52" s="1322">
        <v>17110</v>
      </c>
      <c r="D52" s="1322">
        <v>17750</v>
      </c>
      <c r="E52" s="1322">
        <v>17310</v>
      </c>
      <c r="F52" s="1330">
        <v>3220</v>
      </c>
      <c r="H52" s="1337"/>
    </row>
    <row r="53" spans="1:15" ht="14.25" customHeight="1">
      <c r="A53" s="1317" t="s">
        <v>275</v>
      </c>
      <c r="B53" s="1322" t="s">
        <v>1584</v>
      </c>
      <c r="C53" s="1322">
        <v>17810</v>
      </c>
      <c r="D53" s="1322">
        <v>17260</v>
      </c>
      <c r="E53" s="1322">
        <v>17090</v>
      </c>
      <c r="F53" s="1330">
        <v>3520</v>
      </c>
      <c r="H53" s="1337"/>
    </row>
    <row r="54" spans="1:15" ht="14.25" customHeight="1">
      <c r="A54" s="1317" t="s">
        <v>275</v>
      </c>
      <c r="B54" s="1322" t="s">
        <v>1595</v>
      </c>
      <c r="C54" s="1322">
        <v>17410</v>
      </c>
      <c r="D54" s="1322">
        <v>16780</v>
      </c>
      <c r="E54" s="1322">
        <v>16370</v>
      </c>
      <c r="F54" s="1330">
        <v>3410</v>
      </c>
      <c r="H54" s="1337"/>
    </row>
    <row r="55" spans="1:15" ht="14.25" customHeight="1">
      <c r="A55" s="1317" t="s">
        <v>275</v>
      </c>
      <c r="B55" s="1322" t="s">
        <v>1606</v>
      </c>
      <c r="C55" s="1322">
        <v>16930</v>
      </c>
      <c r="D55" s="1322">
        <v>14720</v>
      </c>
      <c r="E55" s="1322">
        <v>15000</v>
      </c>
      <c r="F55" s="1330">
        <v>3710</v>
      </c>
      <c r="H55" s="1337"/>
    </row>
    <row r="56" spans="1:15" ht="14.25" customHeight="1">
      <c r="A56" s="1317" t="s">
        <v>275</v>
      </c>
      <c r="B56" s="1322" t="s">
        <v>1617</v>
      </c>
      <c r="C56" s="1322">
        <v>14930</v>
      </c>
      <c r="D56" s="1322">
        <v>15850</v>
      </c>
      <c r="E56" s="1322">
        <v>14320</v>
      </c>
      <c r="F56" s="1330">
        <v>3960</v>
      </c>
      <c r="H56" s="1337"/>
    </row>
    <row r="57" spans="1:15" ht="14.25" customHeight="1">
      <c r="A57" s="1317" t="s">
        <v>275</v>
      </c>
      <c r="B57" s="1322" t="s">
        <v>1627</v>
      </c>
      <c r="C57" s="1322">
        <v>16160</v>
      </c>
      <c r="D57" s="1322">
        <v>16190</v>
      </c>
      <c r="E57" s="1322">
        <v>15650</v>
      </c>
      <c r="F57" s="1330">
        <v>4200</v>
      </c>
      <c r="H57" s="1337"/>
    </row>
    <row r="58" spans="1:15" ht="14.25" customHeight="1">
      <c r="A58" s="1317" t="s">
        <v>275</v>
      </c>
      <c r="B58" s="1322" t="s">
        <v>1637</v>
      </c>
      <c r="C58" s="1322">
        <v>16360</v>
      </c>
      <c r="D58" s="1322">
        <v>14050</v>
      </c>
      <c r="E58" s="1322">
        <v>16070</v>
      </c>
      <c r="F58" s="1330">
        <v>3990</v>
      </c>
      <c r="H58" s="1337"/>
    </row>
    <row r="59" spans="1:15" ht="14.25" customHeight="1">
      <c r="A59" s="1317" t="s">
        <v>275</v>
      </c>
      <c r="B59" s="1322" t="s">
        <v>1647</v>
      </c>
      <c r="C59" s="1322">
        <v>14160</v>
      </c>
      <c r="D59" s="1322">
        <v>16620</v>
      </c>
      <c r="E59" s="1322">
        <v>13940</v>
      </c>
      <c r="F59" s="1330">
        <v>4260</v>
      </c>
      <c r="H59" s="1337"/>
    </row>
    <row r="60" spans="1:15" ht="14.25" customHeight="1">
      <c r="A60" s="1317" t="s">
        <v>275</v>
      </c>
      <c r="B60" s="1322" t="s">
        <v>1657</v>
      </c>
      <c r="C60" s="1322">
        <v>16750</v>
      </c>
      <c r="D60" s="1322">
        <v>13910</v>
      </c>
      <c r="E60" s="1322">
        <v>16550</v>
      </c>
      <c r="F60" s="1330">
        <v>4550</v>
      </c>
      <c r="H60" s="1337"/>
    </row>
    <row r="61" spans="1:15" ht="14.25" customHeight="1">
      <c r="A61" s="1317" t="s">
        <v>275</v>
      </c>
      <c r="B61" s="1322" t="s">
        <v>1667</v>
      </c>
      <c r="C61" s="1322">
        <v>14000</v>
      </c>
      <c r="D61" s="1322">
        <v>14550</v>
      </c>
      <c r="E61" s="1322">
        <v>13860</v>
      </c>
      <c r="F61" s="1339"/>
      <c r="H61" s="1337"/>
    </row>
    <row r="62" spans="1:15" ht="14.25" customHeight="1">
      <c r="A62" s="1317" t="s">
        <v>275</v>
      </c>
      <c r="B62" s="1322" t="s">
        <v>1677</v>
      </c>
      <c r="C62" s="1322">
        <v>14660</v>
      </c>
      <c r="D62" s="1322">
        <v>17450</v>
      </c>
      <c r="E62" s="1322">
        <v>14470</v>
      </c>
      <c r="F62" s="1339"/>
      <c r="H62" s="1337"/>
    </row>
    <row r="63" spans="1:15" ht="14.25" customHeight="1">
      <c r="A63" s="1317" t="s">
        <v>275</v>
      </c>
      <c r="B63" s="1322" t="s">
        <v>1687</v>
      </c>
      <c r="C63" s="1322">
        <v>17610</v>
      </c>
      <c r="D63" s="1322">
        <v>16500</v>
      </c>
      <c r="E63" s="1322">
        <v>17330</v>
      </c>
      <c r="F63" s="1339"/>
      <c r="H63" s="1337"/>
    </row>
    <row r="64" spans="1:15" ht="14.25" customHeight="1">
      <c r="A64" s="1317" t="s">
        <v>275</v>
      </c>
      <c r="B64" s="1322" t="s">
        <v>1697</v>
      </c>
      <c r="C64" s="1322">
        <v>16590</v>
      </c>
      <c r="D64" s="1322">
        <v>15130</v>
      </c>
      <c r="E64" s="1322">
        <v>16420</v>
      </c>
      <c r="F64" s="1339"/>
      <c r="H64" s="1337"/>
    </row>
    <row r="65" spans="1:8" s="1309" customFormat="1" ht="14.25" customHeight="1">
      <c r="A65" s="1317" t="s">
        <v>275</v>
      </c>
      <c r="B65" s="1322" t="s">
        <v>1707</v>
      </c>
      <c r="C65" s="1322">
        <v>15220</v>
      </c>
      <c r="D65" s="1322">
        <v>14660</v>
      </c>
      <c r="E65" s="1322">
        <v>15060</v>
      </c>
      <c r="F65" s="1330"/>
      <c r="H65" s="1337"/>
    </row>
    <row r="66" spans="1:8" s="1309" customFormat="1" ht="14.25" customHeight="1">
      <c r="A66" s="1317" t="s">
        <v>275</v>
      </c>
      <c r="B66" s="1322" t="s">
        <v>1717</v>
      </c>
      <c r="C66" s="1322">
        <v>14720</v>
      </c>
      <c r="D66" s="1322">
        <v>15970</v>
      </c>
      <c r="E66" s="1322">
        <v>14610</v>
      </c>
      <c r="F66" s="1330"/>
      <c r="H66" s="1337"/>
    </row>
    <row r="67" spans="1:8" s="1309" customFormat="1" ht="14.25" customHeight="1">
      <c r="A67" s="1317" t="s">
        <v>275</v>
      </c>
      <c r="B67" s="1322" t="s">
        <v>1727</v>
      </c>
      <c r="C67" s="1322">
        <v>16080</v>
      </c>
      <c r="D67" s="1322">
        <v>14840</v>
      </c>
      <c r="E67" s="1322">
        <v>15630</v>
      </c>
      <c r="F67" s="1330"/>
      <c r="H67" s="1337"/>
    </row>
    <row r="68" spans="1:8" s="1309" customFormat="1" ht="14.25" customHeight="1">
      <c r="A68" s="1317" t="s">
        <v>275</v>
      </c>
      <c r="B68" s="1322" t="s">
        <v>1736</v>
      </c>
      <c r="C68" s="1322">
        <v>14940</v>
      </c>
      <c r="D68" s="1322">
        <v>18000</v>
      </c>
      <c r="E68" s="1322">
        <v>14040</v>
      </c>
      <c r="F68" s="1330"/>
      <c r="H68" s="1337"/>
    </row>
    <row r="69" spans="1:8" s="1309" customFormat="1" ht="14.25" customHeight="1">
      <c r="A69" s="1317" t="s">
        <v>275</v>
      </c>
      <c r="B69" s="1322" t="s">
        <v>1744</v>
      </c>
      <c r="C69" s="1322">
        <v>18810</v>
      </c>
      <c r="D69" s="1322">
        <v>15100</v>
      </c>
      <c r="E69" s="1322">
        <v>14710</v>
      </c>
      <c r="F69" s="1330"/>
      <c r="H69" s="1337"/>
    </row>
    <row r="70" spans="1:8" s="1309" customFormat="1" ht="14.25" customHeight="1">
      <c r="A70" s="1317" t="s">
        <v>275</v>
      </c>
      <c r="B70" s="1322" t="s">
        <v>1752</v>
      </c>
      <c r="C70" s="1322">
        <v>18270</v>
      </c>
      <c r="D70" s="1322"/>
      <c r="E70" s="1322"/>
      <c r="F70" s="1330"/>
      <c r="H70" s="1337"/>
    </row>
    <row r="71" spans="1:8" s="1309" customFormat="1" ht="14.25" customHeight="1">
      <c r="A71" s="1317" t="s">
        <v>275</v>
      </c>
      <c r="B71" s="1322" t="s">
        <v>1759</v>
      </c>
      <c r="C71" s="1322">
        <v>15230</v>
      </c>
      <c r="D71" s="1322"/>
      <c r="E71" s="1322"/>
      <c r="F71" s="1330"/>
      <c r="H71" s="1337"/>
    </row>
    <row r="72" spans="1:8" s="1309" customFormat="1" ht="14.25" customHeight="1">
      <c r="A72" s="1317" t="s">
        <v>275</v>
      </c>
      <c r="B72" s="1322" t="s">
        <v>1766</v>
      </c>
      <c r="C72" s="1322"/>
      <c r="D72" s="1322"/>
      <c r="E72" s="1322"/>
      <c r="F72" s="1330">
        <v>4120</v>
      </c>
      <c r="H72" s="1337"/>
    </row>
    <row r="73" spans="1:8" s="1309" customFormat="1" ht="14.25" customHeight="1">
      <c r="A73" s="1317" t="s">
        <v>275</v>
      </c>
      <c r="B73" s="1322" t="s">
        <v>1773</v>
      </c>
      <c r="C73" s="1322"/>
      <c r="D73" s="1322"/>
      <c r="E73" s="1322"/>
      <c r="F73" s="1330">
        <v>3930</v>
      </c>
      <c r="H73" s="1337"/>
    </row>
    <row r="74" spans="1:8" s="1309" customFormat="1" ht="14.25" customHeight="1">
      <c r="A74" s="1317" t="s">
        <v>275</v>
      </c>
      <c r="B74" s="1322" t="s">
        <v>1780</v>
      </c>
      <c r="C74" s="1322"/>
      <c r="D74" s="1322"/>
      <c r="E74" s="1322"/>
      <c r="F74" s="1330">
        <v>4060</v>
      </c>
      <c r="H74" s="1337"/>
    </row>
    <row r="75" spans="1:8" s="1309" customFormat="1" ht="14.25" customHeight="1">
      <c r="A75" s="1317" t="s">
        <v>275</v>
      </c>
      <c r="B75" s="1328" t="s">
        <v>1787</v>
      </c>
      <c r="C75" s="1328"/>
      <c r="D75" s="1328"/>
      <c r="E75" s="1328"/>
      <c r="F75" s="1338">
        <v>3750</v>
      </c>
      <c r="H75" s="1337"/>
    </row>
    <row r="76" spans="1:8" s="1309" customFormat="1" ht="14.25" customHeight="1">
      <c r="A76" s="1317" t="s">
        <v>284</v>
      </c>
      <c r="B76" s="1318" t="s">
        <v>1535</v>
      </c>
      <c r="C76" s="1318">
        <v>14690</v>
      </c>
      <c r="D76" s="1318">
        <v>14640</v>
      </c>
      <c r="E76" s="1318">
        <v>14590</v>
      </c>
      <c r="F76" s="1319">
        <v>3060</v>
      </c>
      <c r="H76" s="1337"/>
    </row>
    <row r="77" spans="1:8" s="1309" customFormat="1" ht="14.25" customHeight="1">
      <c r="A77" s="1317" t="s">
        <v>284</v>
      </c>
      <c r="B77" s="1322" t="s">
        <v>1548</v>
      </c>
      <c r="C77" s="1322">
        <v>12550</v>
      </c>
      <c r="D77" s="1322">
        <v>12480</v>
      </c>
      <c r="E77" s="1322">
        <v>12450</v>
      </c>
      <c r="F77" s="1330">
        <v>2590</v>
      </c>
      <c r="H77" s="1337"/>
    </row>
    <row r="78" spans="1:8" s="1309" customFormat="1" ht="14.25" customHeight="1">
      <c r="A78" s="1317" t="s">
        <v>284</v>
      </c>
      <c r="B78" s="1322" t="s">
        <v>1561</v>
      </c>
      <c r="C78" s="1322">
        <v>14360</v>
      </c>
      <c r="D78" s="1322">
        <v>14320</v>
      </c>
      <c r="E78" s="1322">
        <v>12510</v>
      </c>
      <c r="F78" s="1330">
        <v>2700</v>
      </c>
      <c r="H78" s="1337"/>
    </row>
    <row r="79" spans="1:8" s="1309" customFormat="1" ht="14.25" customHeight="1">
      <c r="A79" s="1317" t="s">
        <v>284</v>
      </c>
      <c r="B79" s="1322" t="s">
        <v>1573</v>
      </c>
      <c r="C79" s="1322">
        <v>12590</v>
      </c>
      <c r="D79" s="1322">
        <v>12540</v>
      </c>
      <c r="E79" s="1322">
        <v>12350</v>
      </c>
      <c r="F79" s="1330">
        <v>2740</v>
      </c>
      <c r="H79" s="1337"/>
    </row>
    <row r="80" spans="1:8" s="1309" customFormat="1" ht="14.25" customHeight="1">
      <c r="A80" s="1317" t="s">
        <v>284</v>
      </c>
      <c r="B80" s="1322" t="s">
        <v>1585</v>
      </c>
      <c r="C80" s="1322">
        <v>12450</v>
      </c>
      <c r="D80" s="1322">
        <v>12370</v>
      </c>
      <c r="E80" s="1322">
        <v>10790</v>
      </c>
      <c r="F80" s="1330">
        <v>2290</v>
      </c>
      <c r="H80" s="1337"/>
    </row>
    <row r="81" spans="1:8" s="1309" customFormat="1" ht="14.25" customHeight="1">
      <c r="A81" s="1317" t="s">
        <v>284</v>
      </c>
      <c r="B81" s="1322" t="s">
        <v>1596</v>
      </c>
      <c r="C81" s="1322">
        <v>14210</v>
      </c>
      <c r="D81" s="1322">
        <v>14150</v>
      </c>
      <c r="E81" s="1322">
        <v>12730</v>
      </c>
      <c r="F81" s="1330">
        <v>2240</v>
      </c>
      <c r="H81" s="1337"/>
    </row>
    <row r="82" spans="1:8" s="1309" customFormat="1" ht="14.25" customHeight="1">
      <c r="A82" s="1317" t="s">
        <v>284</v>
      </c>
      <c r="B82" s="1322" t="s">
        <v>1607</v>
      </c>
      <c r="C82" s="1322">
        <v>10860</v>
      </c>
      <c r="D82" s="1322">
        <v>10820</v>
      </c>
      <c r="E82" s="1322">
        <v>14720</v>
      </c>
      <c r="F82" s="1330">
        <v>2490</v>
      </c>
      <c r="H82" s="1337"/>
    </row>
    <row r="83" spans="1:8" s="1309" customFormat="1" ht="14.25" customHeight="1">
      <c r="A83" s="1317" t="s">
        <v>284</v>
      </c>
      <c r="B83" s="1322" t="s">
        <v>1618</v>
      </c>
      <c r="C83" s="1322">
        <v>12810</v>
      </c>
      <c r="D83" s="1322">
        <v>12760</v>
      </c>
      <c r="E83" s="1322">
        <v>14830</v>
      </c>
      <c r="F83" s="1330">
        <v>2450</v>
      </c>
      <c r="H83" s="1337"/>
    </row>
    <row r="84" spans="1:8" s="1309" customFormat="1" ht="14.25" customHeight="1">
      <c r="A84" s="1317" t="s">
        <v>284</v>
      </c>
      <c r="B84" s="1322" t="s">
        <v>1628</v>
      </c>
      <c r="C84" s="1322">
        <v>14950</v>
      </c>
      <c r="D84" s="1322">
        <v>14810</v>
      </c>
      <c r="E84" s="1322">
        <v>12590</v>
      </c>
      <c r="F84" s="1330">
        <v>2540</v>
      </c>
      <c r="H84" s="1337"/>
    </row>
    <row r="85" spans="1:8" s="1309" customFormat="1" ht="14.25" customHeight="1">
      <c r="A85" s="1317" t="s">
        <v>284</v>
      </c>
      <c r="B85" s="1322" t="s">
        <v>1638</v>
      </c>
      <c r="C85" s="1322">
        <v>14960</v>
      </c>
      <c r="D85" s="1322">
        <v>14890</v>
      </c>
      <c r="E85" s="1322">
        <v>12840</v>
      </c>
      <c r="F85" s="1330">
        <v>2840</v>
      </c>
      <c r="H85" s="1337"/>
    </row>
    <row r="86" spans="1:8" s="1309" customFormat="1" ht="14.25" customHeight="1">
      <c r="A86" s="1317" t="s">
        <v>284</v>
      </c>
      <c r="B86" s="1322" t="s">
        <v>1648</v>
      </c>
      <c r="C86" s="1322">
        <v>12730</v>
      </c>
      <c r="D86" s="1322">
        <v>12660</v>
      </c>
      <c r="E86" s="1322">
        <v>13310</v>
      </c>
      <c r="F86" s="1330">
        <v>3140</v>
      </c>
      <c r="H86" s="1337"/>
    </row>
    <row r="87" spans="1:8" s="1309" customFormat="1" ht="14.25" customHeight="1">
      <c r="A87" s="1317" t="s">
        <v>284</v>
      </c>
      <c r="B87" s="1322" t="s">
        <v>1658</v>
      </c>
      <c r="C87" s="1322">
        <v>12940</v>
      </c>
      <c r="D87" s="1322">
        <v>12890</v>
      </c>
      <c r="E87" s="1322">
        <v>11580</v>
      </c>
      <c r="F87" s="1339"/>
      <c r="H87" s="1337"/>
    </row>
    <row r="88" spans="1:8" s="1309" customFormat="1" ht="14.25" customHeight="1">
      <c r="A88" s="1317" t="s">
        <v>284</v>
      </c>
      <c r="B88" s="1322" t="s">
        <v>1668</v>
      </c>
      <c r="C88" s="1322">
        <v>13430</v>
      </c>
      <c r="D88" s="1322">
        <v>13360</v>
      </c>
      <c r="E88" s="1322">
        <v>12790</v>
      </c>
      <c r="F88" s="1339"/>
      <c r="H88" s="1337"/>
    </row>
    <row r="89" spans="1:8" s="1309" customFormat="1" ht="14.25" customHeight="1">
      <c r="A89" s="1317" t="s">
        <v>284</v>
      </c>
      <c r="B89" s="1322" t="s">
        <v>1678</v>
      </c>
      <c r="C89" s="1322">
        <v>11680</v>
      </c>
      <c r="D89" s="1322">
        <v>11630</v>
      </c>
      <c r="E89" s="1322">
        <v>11320</v>
      </c>
      <c r="F89" s="1339"/>
      <c r="H89" s="1337"/>
    </row>
    <row r="90" spans="1:8" s="1309" customFormat="1" ht="14.25" customHeight="1">
      <c r="A90" s="1317" t="s">
        <v>284</v>
      </c>
      <c r="B90" s="1322" t="s">
        <v>1688</v>
      </c>
      <c r="C90" s="1322">
        <v>12890</v>
      </c>
      <c r="D90" s="1322">
        <v>12820</v>
      </c>
      <c r="E90" s="1322">
        <v>12710</v>
      </c>
      <c r="F90" s="1339"/>
      <c r="H90" s="1337"/>
    </row>
    <row r="91" spans="1:8" s="1309" customFormat="1" ht="14.25" customHeight="1">
      <c r="A91" s="1317" t="s">
        <v>284</v>
      </c>
      <c r="B91" s="1322" t="s">
        <v>1698</v>
      </c>
      <c r="C91" s="1322">
        <v>11410</v>
      </c>
      <c r="D91" s="1322">
        <v>11360</v>
      </c>
      <c r="E91" s="1322">
        <v>12670</v>
      </c>
      <c r="F91" s="1339"/>
      <c r="H91" s="1337"/>
    </row>
    <row r="92" spans="1:8" s="1309" customFormat="1" ht="14.25" customHeight="1">
      <c r="A92" s="1317" t="s">
        <v>284</v>
      </c>
      <c r="B92" s="1322" t="s">
        <v>1708</v>
      </c>
      <c r="C92" s="1322">
        <v>12770</v>
      </c>
      <c r="D92" s="1322">
        <v>12740</v>
      </c>
      <c r="E92" s="1322">
        <v>11970</v>
      </c>
      <c r="F92" s="1339"/>
      <c r="H92" s="1337"/>
    </row>
    <row r="93" spans="1:8" s="1309" customFormat="1" ht="14.25" customHeight="1">
      <c r="A93" s="1317" t="s">
        <v>284</v>
      </c>
      <c r="B93" s="1322" t="s">
        <v>1718</v>
      </c>
      <c r="C93" s="1322">
        <v>12740</v>
      </c>
      <c r="D93" s="1322">
        <v>12700</v>
      </c>
      <c r="E93" s="1322">
        <v>12540</v>
      </c>
      <c r="F93" s="1339"/>
      <c r="H93" s="1337"/>
    </row>
    <row r="94" spans="1:8" s="1309" customFormat="1" ht="14.25" customHeight="1">
      <c r="A94" s="1317" t="s">
        <v>284</v>
      </c>
      <c r="B94" s="1322" t="s">
        <v>1728</v>
      </c>
      <c r="C94" s="1322">
        <v>12020</v>
      </c>
      <c r="D94" s="1322">
        <v>11990</v>
      </c>
      <c r="E94" s="1322">
        <v>13110</v>
      </c>
      <c r="F94" s="1339"/>
      <c r="H94" s="1337"/>
    </row>
    <row r="95" spans="1:8" s="1309" customFormat="1" ht="14.25" customHeight="1">
      <c r="A95" s="1317" t="s">
        <v>284</v>
      </c>
      <c r="B95" s="1322" t="s">
        <v>1737</v>
      </c>
      <c r="C95" s="1322">
        <v>12620</v>
      </c>
      <c r="D95" s="1322">
        <v>12580</v>
      </c>
      <c r="E95" s="1322">
        <v>13160</v>
      </c>
      <c r="F95" s="1330"/>
      <c r="H95" s="1337"/>
    </row>
    <row r="96" spans="1:8" s="1309" customFormat="1" ht="14.25" customHeight="1">
      <c r="A96" s="1317" t="s">
        <v>284</v>
      </c>
      <c r="B96" s="1322" t="s">
        <v>1745</v>
      </c>
      <c r="C96" s="1322">
        <v>13200</v>
      </c>
      <c r="D96" s="1322">
        <v>13150</v>
      </c>
      <c r="E96" s="1322">
        <v>12900</v>
      </c>
      <c r="F96" s="1330"/>
      <c r="H96" s="1337"/>
    </row>
    <row r="97" spans="1:8" s="1309" customFormat="1" ht="14.25" customHeight="1">
      <c r="A97" s="1317" t="s">
        <v>284</v>
      </c>
      <c r="B97" s="1322" t="s">
        <v>1753</v>
      </c>
      <c r="C97" s="1322">
        <v>13270</v>
      </c>
      <c r="D97" s="1322">
        <v>13210</v>
      </c>
      <c r="E97" s="1322">
        <v>11080</v>
      </c>
      <c r="F97" s="1330"/>
      <c r="H97" s="1337"/>
    </row>
    <row r="98" spans="1:8" s="1309" customFormat="1" ht="14.25" customHeight="1">
      <c r="A98" s="1317" t="s">
        <v>284</v>
      </c>
      <c r="B98" s="1322" t="s">
        <v>1760</v>
      </c>
      <c r="C98" s="1322">
        <v>13010</v>
      </c>
      <c r="D98" s="1322">
        <v>12930</v>
      </c>
      <c r="E98" s="1322">
        <v>12840</v>
      </c>
      <c r="F98" s="1330"/>
      <c r="H98" s="1337"/>
    </row>
    <row r="99" spans="1:8" s="1309" customFormat="1" ht="14.25" customHeight="1">
      <c r="A99" s="1317" t="s">
        <v>284</v>
      </c>
      <c r="B99" s="1322" t="s">
        <v>1767</v>
      </c>
      <c r="C99" s="1322">
        <v>11190</v>
      </c>
      <c r="D99" s="1322">
        <v>11130</v>
      </c>
      <c r="E99" s="1322"/>
      <c r="F99" s="1330"/>
      <c r="H99" s="1337"/>
    </row>
    <row r="100" spans="1:8" s="1309" customFormat="1" ht="14.25" customHeight="1">
      <c r="A100" s="1317" t="s">
        <v>284</v>
      </c>
      <c r="B100" s="1322" t="s">
        <v>1774</v>
      </c>
      <c r="C100" s="1322">
        <v>14280</v>
      </c>
      <c r="D100" s="1322">
        <v>14180</v>
      </c>
      <c r="E100" s="1322"/>
      <c r="F100" s="1330"/>
      <c r="H100" s="1337"/>
    </row>
    <row r="101" spans="1:8" s="1309" customFormat="1" ht="14.25" customHeight="1">
      <c r="A101" s="1317" t="s">
        <v>284</v>
      </c>
      <c r="B101" s="1322" t="s">
        <v>1781</v>
      </c>
      <c r="C101" s="1322">
        <v>12960</v>
      </c>
      <c r="D101" s="1322">
        <v>12890</v>
      </c>
      <c r="E101" s="1322"/>
      <c r="F101" s="1330"/>
      <c r="H101" s="1337"/>
    </row>
    <row r="102" spans="1:8" s="1309" customFormat="1" ht="14.25" customHeight="1">
      <c r="A102" s="1317" t="s">
        <v>284</v>
      </c>
      <c r="B102" s="1322" t="s">
        <v>1788</v>
      </c>
      <c r="C102" s="1322"/>
      <c r="D102" s="1322"/>
      <c r="E102" s="1322"/>
      <c r="F102" s="1330">
        <v>3100</v>
      </c>
      <c r="H102" s="1337"/>
    </row>
    <row r="103" spans="1:8" s="1309" customFormat="1" ht="14.25" customHeight="1">
      <c r="A103" s="1317" t="s">
        <v>284</v>
      </c>
      <c r="B103" s="1322" t="s">
        <v>1793</v>
      </c>
      <c r="C103" s="1322"/>
      <c r="D103" s="1322"/>
      <c r="E103" s="1322"/>
      <c r="F103" s="1330">
        <v>2320</v>
      </c>
      <c r="H103" s="1337"/>
    </row>
    <row r="104" spans="1:8" s="1309" customFormat="1" ht="14.25" customHeight="1">
      <c r="A104" s="1317" t="s">
        <v>284</v>
      </c>
      <c r="B104" s="1322" t="s">
        <v>1798</v>
      </c>
      <c r="C104" s="1322"/>
      <c r="D104" s="1322"/>
      <c r="E104" s="1322"/>
      <c r="F104" s="1330">
        <v>2320</v>
      </c>
      <c r="H104" s="1337"/>
    </row>
    <row r="105" spans="1:8" s="1309" customFormat="1" ht="14.25" customHeight="1">
      <c r="A105" s="1317" t="s">
        <v>284</v>
      </c>
      <c r="B105" s="1322" t="s">
        <v>1803</v>
      </c>
      <c r="C105" s="1322"/>
      <c r="D105" s="1322"/>
      <c r="E105" s="1322"/>
      <c r="F105" s="1330">
        <v>2320</v>
      </c>
      <c r="H105" s="1337"/>
    </row>
    <row r="106" spans="1:8" s="1309" customFormat="1" ht="14.25" customHeight="1">
      <c r="A106" s="1317" t="s">
        <v>284</v>
      </c>
      <c r="B106" s="1322" t="s">
        <v>1808</v>
      </c>
      <c r="C106" s="1322"/>
      <c r="D106" s="1322"/>
      <c r="E106" s="1322"/>
      <c r="F106" s="1330">
        <v>2320</v>
      </c>
      <c r="H106" s="1337"/>
    </row>
    <row r="107" spans="1:8" s="1309" customFormat="1" ht="14.25" customHeight="1">
      <c r="A107" s="1317" t="s">
        <v>284</v>
      </c>
      <c r="B107" s="1322" t="s">
        <v>1813</v>
      </c>
      <c r="C107" s="1322"/>
      <c r="D107" s="1322"/>
      <c r="E107" s="1322"/>
      <c r="F107" s="1330">
        <v>2280</v>
      </c>
      <c r="H107" s="1337"/>
    </row>
    <row r="108" spans="1:8" s="1309" customFormat="1" ht="14.25" customHeight="1">
      <c r="A108" s="1317" t="s">
        <v>284</v>
      </c>
      <c r="B108" s="1322" t="s">
        <v>1818</v>
      </c>
      <c r="C108" s="1322"/>
      <c r="D108" s="1322"/>
      <c r="E108" s="1322"/>
      <c r="F108" s="1330">
        <v>2280</v>
      </c>
      <c r="H108" s="1337"/>
    </row>
    <row r="109" spans="1:8" s="1309" customFormat="1" ht="14.25" customHeight="1">
      <c r="A109" s="1317" t="s">
        <v>284</v>
      </c>
      <c r="B109" s="1328" t="s">
        <v>1823</v>
      </c>
      <c r="C109" s="1328"/>
      <c r="D109" s="1328"/>
      <c r="E109" s="1328"/>
      <c r="F109" s="1338">
        <v>2280</v>
      </c>
      <c r="H109" s="1337"/>
    </row>
    <row r="110" spans="1:8" s="1309" customFormat="1" ht="14.25" customHeight="1">
      <c r="A110" s="1317" t="s">
        <v>292</v>
      </c>
      <c r="B110" s="1318" t="s">
        <v>1536</v>
      </c>
      <c r="C110" s="1318">
        <v>10520</v>
      </c>
      <c r="D110" s="1318">
        <v>10490</v>
      </c>
      <c r="E110" s="1318">
        <v>10760</v>
      </c>
      <c r="F110" s="1319">
        <v>2160</v>
      </c>
      <c r="H110" s="1337"/>
    </row>
    <row r="111" spans="1:8" s="1309" customFormat="1" ht="14.25" customHeight="1">
      <c r="A111" s="1317" t="s">
        <v>292</v>
      </c>
      <c r="B111" s="1322" t="s">
        <v>1549</v>
      </c>
      <c r="C111" s="1322">
        <v>10090</v>
      </c>
      <c r="D111" s="1322">
        <v>10060</v>
      </c>
      <c r="E111" s="1322">
        <v>10300</v>
      </c>
      <c r="F111" s="1330">
        <v>2010</v>
      </c>
      <c r="H111" s="1337"/>
    </row>
    <row r="112" spans="1:8" s="1309" customFormat="1" ht="14.25" customHeight="1">
      <c r="A112" s="1317" t="s">
        <v>292</v>
      </c>
      <c r="B112" s="1322" t="s">
        <v>1562</v>
      </c>
      <c r="C112" s="1322">
        <v>9910</v>
      </c>
      <c r="D112" s="1322">
        <v>9850</v>
      </c>
      <c r="E112" s="1322">
        <v>9960</v>
      </c>
      <c r="F112" s="1330">
        <v>2090</v>
      </c>
      <c r="H112" s="1337"/>
    </row>
    <row r="113" spans="1:8" s="1309" customFormat="1" ht="14.25" customHeight="1">
      <c r="A113" s="1317" t="s">
        <v>292</v>
      </c>
      <c r="B113" s="1322" t="s">
        <v>1574</v>
      </c>
      <c r="C113" s="1322">
        <v>11430</v>
      </c>
      <c r="D113" s="1322">
        <v>11400</v>
      </c>
      <c r="E113" s="1322">
        <v>11710</v>
      </c>
      <c r="F113" s="1330">
        <v>2050</v>
      </c>
      <c r="H113" s="1337"/>
    </row>
    <row r="114" spans="1:8" s="1309" customFormat="1" ht="14.25" customHeight="1">
      <c r="A114" s="1317" t="s">
        <v>292</v>
      </c>
      <c r="B114" s="1322" t="s">
        <v>1586</v>
      </c>
      <c r="C114" s="1322">
        <v>11390</v>
      </c>
      <c r="D114" s="1322">
        <v>11350</v>
      </c>
      <c r="E114" s="1322">
        <v>11640</v>
      </c>
      <c r="F114" s="1330">
        <v>1620</v>
      </c>
      <c r="H114" s="1337"/>
    </row>
    <row r="115" spans="1:8" s="1309" customFormat="1" ht="14.25" customHeight="1">
      <c r="A115" s="1317" t="s">
        <v>292</v>
      </c>
      <c r="B115" s="1322" t="s">
        <v>1597</v>
      </c>
      <c r="C115" s="1322">
        <v>9930</v>
      </c>
      <c r="D115" s="1322">
        <v>9900</v>
      </c>
      <c r="E115" s="1322">
        <v>10160</v>
      </c>
      <c r="F115" s="1330">
        <v>1580</v>
      </c>
      <c r="H115" s="1337"/>
    </row>
    <row r="116" spans="1:8" s="1309" customFormat="1" ht="14.25" customHeight="1">
      <c r="A116" s="1317" t="s">
        <v>292</v>
      </c>
      <c r="B116" s="1322" t="s">
        <v>1608</v>
      </c>
      <c r="C116" s="1322">
        <v>9150</v>
      </c>
      <c r="D116" s="1322">
        <v>9120</v>
      </c>
      <c r="E116" s="1322">
        <v>9380</v>
      </c>
      <c r="F116" s="1330">
        <v>1750</v>
      </c>
      <c r="H116" s="1337"/>
    </row>
    <row r="117" spans="1:8" s="1309" customFormat="1" ht="14.25" customHeight="1">
      <c r="A117" s="1317" t="s">
        <v>292</v>
      </c>
      <c r="B117" s="1322" t="s">
        <v>1619</v>
      </c>
      <c r="C117" s="1322">
        <v>10680</v>
      </c>
      <c r="D117" s="1322">
        <v>10650</v>
      </c>
      <c r="E117" s="1322">
        <v>10970</v>
      </c>
      <c r="F117" s="1330">
        <v>1730</v>
      </c>
      <c r="H117" s="1337"/>
    </row>
    <row r="118" spans="1:8" s="1309" customFormat="1" ht="14.25" customHeight="1">
      <c r="A118" s="1317" t="s">
        <v>292</v>
      </c>
      <c r="B118" s="1322" t="s">
        <v>1629</v>
      </c>
      <c r="C118" s="1322">
        <v>10080</v>
      </c>
      <c r="D118" s="1322">
        <v>10050</v>
      </c>
      <c r="E118" s="1322">
        <v>10350</v>
      </c>
      <c r="F118" s="1330">
        <v>1920</v>
      </c>
      <c r="H118" s="1337"/>
    </row>
    <row r="119" spans="1:8" s="1309" customFormat="1" ht="14.25" customHeight="1">
      <c r="A119" s="1317" t="s">
        <v>292</v>
      </c>
      <c r="B119" s="1322" t="s">
        <v>1639</v>
      </c>
      <c r="C119" s="1322">
        <v>9450</v>
      </c>
      <c r="D119" s="1322">
        <v>9410</v>
      </c>
      <c r="E119" s="1322">
        <v>9680</v>
      </c>
      <c r="F119" s="1330">
        <v>1880</v>
      </c>
      <c r="H119" s="1337"/>
    </row>
    <row r="120" spans="1:8" s="1309" customFormat="1" ht="14.25" customHeight="1">
      <c r="A120" s="1317" t="s">
        <v>292</v>
      </c>
      <c r="B120" s="1322" t="s">
        <v>1649</v>
      </c>
      <c r="C120" s="1322">
        <v>8730</v>
      </c>
      <c r="D120" s="1322">
        <v>8700</v>
      </c>
      <c r="E120" s="1322">
        <v>8950</v>
      </c>
      <c r="F120" s="1330">
        <v>1830</v>
      </c>
      <c r="H120" s="1337"/>
    </row>
    <row r="121" spans="1:8" s="1309" customFormat="1" ht="14.25" customHeight="1">
      <c r="A121" s="1317" t="s">
        <v>292</v>
      </c>
      <c r="B121" s="1322" t="s">
        <v>1659</v>
      </c>
      <c r="C121" s="1322">
        <v>10070</v>
      </c>
      <c r="D121" s="1322">
        <v>10040</v>
      </c>
      <c r="E121" s="1322">
        <v>10270</v>
      </c>
      <c r="F121" s="1330">
        <v>1960</v>
      </c>
      <c r="H121" s="1337"/>
    </row>
    <row r="122" spans="1:8" s="1309" customFormat="1" ht="14.25" customHeight="1">
      <c r="A122" s="1317" t="s">
        <v>292</v>
      </c>
      <c r="B122" s="1322" t="s">
        <v>1669</v>
      </c>
      <c r="C122" s="1322">
        <v>10500</v>
      </c>
      <c r="D122" s="1322">
        <v>10470</v>
      </c>
      <c r="E122" s="1322">
        <v>10780</v>
      </c>
      <c r="F122" s="1330">
        <v>2180</v>
      </c>
      <c r="H122" s="1337"/>
    </row>
    <row r="123" spans="1:8" s="1309" customFormat="1" ht="14.25" customHeight="1">
      <c r="A123" s="1317" t="s">
        <v>292</v>
      </c>
      <c r="B123" s="1322" t="s">
        <v>1679</v>
      </c>
      <c r="C123" s="1322">
        <v>10390</v>
      </c>
      <c r="D123" s="1322">
        <v>10360</v>
      </c>
      <c r="E123" s="1322">
        <v>10660</v>
      </c>
      <c r="F123" s="1330">
        <v>2040</v>
      </c>
      <c r="H123" s="1337"/>
    </row>
    <row r="124" spans="1:8" s="1309" customFormat="1" ht="14.25" customHeight="1">
      <c r="A124" s="1317" t="s">
        <v>292</v>
      </c>
      <c r="B124" s="1322" t="s">
        <v>1689</v>
      </c>
      <c r="C124" s="1322">
        <v>10390</v>
      </c>
      <c r="D124" s="1322">
        <v>10360</v>
      </c>
      <c r="E124" s="1322">
        <v>10680</v>
      </c>
      <c r="F124" s="1339"/>
      <c r="H124" s="1337"/>
    </row>
    <row r="125" spans="1:8" s="1309" customFormat="1" ht="14.25" customHeight="1">
      <c r="A125" s="1317" t="s">
        <v>292</v>
      </c>
      <c r="B125" s="1322" t="s">
        <v>1699</v>
      </c>
      <c r="C125" s="1322">
        <v>10440</v>
      </c>
      <c r="D125" s="1322">
        <v>10410</v>
      </c>
      <c r="E125" s="1322">
        <v>10710</v>
      </c>
      <c r="F125" s="1339"/>
      <c r="H125" s="1337"/>
    </row>
    <row r="126" spans="1:8" s="1309" customFormat="1" ht="14.25" customHeight="1">
      <c r="A126" s="1317" t="s">
        <v>292</v>
      </c>
      <c r="B126" s="1322" t="s">
        <v>1709</v>
      </c>
      <c r="C126" s="1322">
        <v>10780</v>
      </c>
      <c r="D126" s="1322">
        <v>10750</v>
      </c>
      <c r="E126" s="1322">
        <v>11080</v>
      </c>
      <c r="F126" s="1339"/>
      <c r="H126" s="1337"/>
    </row>
    <row r="127" spans="1:8" s="1309" customFormat="1" ht="14.25" customHeight="1">
      <c r="A127" s="1317" t="s">
        <v>292</v>
      </c>
      <c r="B127" s="1322" t="s">
        <v>1719</v>
      </c>
      <c r="C127" s="1322">
        <v>10100</v>
      </c>
      <c r="D127" s="1322">
        <v>10070</v>
      </c>
      <c r="E127" s="1322">
        <v>10350</v>
      </c>
      <c r="F127" s="1339"/>
      <c r="H127" s="1337"/>
    </row>
    <row r="128" spans="1:8" s="1309" customFormat="1" ht="14.25" customHeight="1">
      <c r="A128" s="1317" t="s">
        <v>292</v>
      </c>
      <c r="B128" s="1322" t="s">
        <v>1729</v>
      </c>
      <c r="C128" s="1322">
        <v>9200</v>
      </c>
      <c r="D128" s="1322">
        <v>9160</v>
      </c>
      <c r="E128" s="1322">
        <v>9660</v>
      </c>
      <c r="F128" s="1339"/>
      <c r="H128" s="1337"/>
    </row>
    <row r="129" spans="1:8" s="1309" customFormat="1" ht="14.25" customHeight="1">
      <c r="A129" s="1317" t="s">
        <v>292</v>
      </c>
      <c r="B129" s="1322" t="s">
        <v>1738</v>
      </c>
      <c r="C129" s="1322">
        <v>10340</v>
      </c>
      <c r="D129" s="1322">
        <v>10310</v>
      </c>
      <c r="E129" s="1322">
        <v>10580</v>
      </c>
      <c r="F129" s="1339"/>
      <c r="H129" s="1337"/>
    </row>
    <row r="130" spans="1:8" s="1309" customFormat="1" ht="14.25" customHeight="1">
      <c r="A130" s="1317" t="s">
        <v>292</v>
      </c>
      <c r="B130" s="1322" t="s">
        <v>1746</v>
      </c>
      <c r="C130" s="1322">
        <v>9680</v>
      </c>
      <c r="D130" s="1322">
        <v>9660</v>
      </c>
      <c r="E130" s="1322">
        <v>9950</v>
      </c>
      <c r="F130" s="1339"/>
      <c r="H130" s="1337"/>
    </row>
    <row r="131" spans="1:8" s="1309" customFormat="1" ht="14.25" customHeight="1">
      <c r="A131" s="1317" t="s">
        <v>292</v>
      </c>
      <c r="B131" s="1322" t="s">
        <v>1754</v>
      </c>
      <c r="C131" s="1322">
        <v>9540</v>
      </c>
      <c r="D131" s="1322">
        <v>9510</v>
      </c>
      <c r="E131" s="1322">
        <v>9790</v>
      </c>
      <c r="F131" s="1339"/>
      <c r="H131" s="1337"/>
    </row>
    <row r="132" spans="1:8" s="1309" customFormat="1" ht="14.25" customHeight="1">
      <c r="A132" s="1317" t="s">
        <v>292</v>
      </c>
      <c r="B132" s="1322" t="s">
        <v>1761</v>
      </c>
      <c r="C132" s="1322">
        <v>9320</v>
      </c>
      <c r="D132" s="1322">
        <v>9290</v>
      </c>
      <c r="E132" s="1322">
        <v>9570</v>
      </c>
      <c r="F132" s="1339"/>
      <c r="H132" s="1337"/>
    </row>
    <row r="133" spans="1:8" s="1309" customFormat="1" ht="14.25" customHeight="1">
      <c r="A133" s="1317" t="s">
        <v>292</v>
      </c>
      <c r="B133" s="1322" t="s">
        <v>1768</v>
      </c>
      <c r="C133" s="1322">
        <v>10310</v>
      </c>
      <c r="D133" s="1322">
        <v>10280</v>
      </c>
      <c r="E133" s="1322">
        <v>10530</v>
      </c>
      <c r="F133" s="1339"/>
      <c r="H133" s="1337"/>
    </row>
    <row r="134" spans="1:8" s="1309" customFormat="1" ht="14.25" customHeight="1">
      <c r="A134" s="1317" t="s">
        <v>292</v>
      </c>
      <c r="B134" s="1322" t="s">
        <v>1775</v>
      </c>
      <c r="C134" s="1322">
        <v>10370</v>
      </c>
      <c r="D134" s="1322">
        <v>10310</v>
      </c>
      <c r="E134" s="1322">
        <v>10240</v>
      </c>
      <c r="F134" s="1330">
        <v>2060</v>
      </c>
      <c r="H134" s="1337"/>
    </row>
    <row r="135" spans="1:8" s="1309" customFormat="1" ht="14.25" customHeight="1">
      <c r="A135" s="1317" t="s">
        <v>292</v>
      </c>
      <c r="B135" s="1322" t="s">
        <v>1782</v>
      </c>
      <c r="C135" s="1322">
        <v>9300</v>
      </c>
      <c r="D135" s="1322">
        <v>9270</v>
      </c>
      <c r="E135" s="1322">
        <v>9350</v>
      </c>
      <c r="F135" s="1339"/>
      <c r="H135" s="1337"/>
    </row>
    <row r="136" spans="1:8" s="1309" customFormat="1" ht="14.25" customHeight="1">
      <c r="A136" s="1317" t="s">
        <v>292</v>
      </c>
      <c r="B136" s="1322" t="s">
        <v>1789</v>
      </c>
      <c r="C136" s="1322">
        <v>10160</v>
      </c>
      <c r="D136" s="1322">
        <v>10110</v>
      </c>
      <c r="E136" s="1322">
        <v>10080</v>
      </c>
      <c r="F136" s="1339"/>
      <c r="H136" s="1337"/>
    </row>
    <row r="137" spans="1:8" s="1309" customFormat="1" ht="14.25" customHeight="1">
      <c r="A137" s="1317" t="s">
        <v>292</v>
      </c>
      <c r="B137" s="1322" t="s">
        <v>1794</v>
      </c>
      <c r="C137" s="1322">
        <v>9200</v>
      </c>
      <c r="D137" s="1322">
        <v>9170</v>
      </c>
      <c r="E137" s="1322">
        <v>9450</v>
      </c>
      <c r="F137" s="1339"/>
      <c r="H137" s="1337"/>
    </row>
    <row r="138" spans="1:8" s="1309" customFormat="1" ht="14.25" customHeight="1">
      <c r="A138" s="1317" t="s">
        <v>292</v>
      </c>
      <c r="B138" s="1322" t="s">
        <v>1799</v>
      </c>
      <c r="C138" s="1322">
        <v>9690</v>
      </c>
      <c r="D138" s="1322">
        <v>9660</v>
      </c>
      <c r="E138" s="1322">
        <v>9840</v>
      </c>
      <c r="F138" s="1339"/>
      <c r="H138" s="1337"/>
    </row>
    <row r="139" spans="1:8" s="1309" customFormat="1" ht="14.25" customHeight="1">
      <c r="A139" s="1317" t="s">
        <v>292</v>
      </c>
      <c r="B139" s="1322" t="s">
        <v>1804</v>
      </c>
      <c r="C139" s="1322">
        <v>10290</v>
      </c>
      <c r="D139" s="1322">
        <v>10260</v>
      </c>
      <c r="E139" s="1322">
        <v>10550</v>
      </c>
      <c r="F139" s="1330">
        <v>1700</v>
      </c>
      <c r="H139" s="1337"/>
    </row>
    <row r="140" spans="1:8" s="1309" customFormat="1" ht="14.25" customHeight="1">
      <c r="A140" s="1317" t="s">
        <v>292</v>
      </c>
      <c r="B140" s="1322" t="s">
        <v>1809</v>
      </c>
      <c r="C140" s="1322">
        <v>9740</v>
      </c>
      <c r="D140" s="1322">
        <v>9710</v>
      </c>
      <c r="E140" s="1322">
        <v>10000</v>
      </c>
      <c r="F140" s="1330">
        <v>2000</v>
      </c>
      <c r="H140" s="1337"/>
    </row>
    <row r="141" spans="1:8" s="1309" customFormat="1" ht="14.25" customHeight="1">
      <c r="A141" s="1317" t="s">
        <v>292</v>
      </c>
      <c r="B141" s="1322" t="s">
        <v>1814</v>
      </c>
      <c r="C141" s="1322">
        <v>9810</v>
      </c>
      <c r="D141" s="1322">
        <v>9770</v>
      </c>
      <c r="E141" s="1322">
        <v>10060</v>
      </c>
      <c r="F141" s="1339"/>
      <c r="H141" s="1337"/>
    </row>
    <row r="142" spans="1:8" s="1309" customFormat="1" ht="14.25" customHeight="1">
      <c r="A142" s="1317" t="s">
        <v>292</v>
      </c>
      <c r="B142" s="1322" t="s">
        <v>1819</v>
      </c>
      <c r="C142" s="1322">
        <v>9300</v>
      </c>
      <c r="D142" s="1322">
        <v>9270</v>
      </c>
      <c r="E142" s="1322">
        <v>9530</v>
      </c>
      <c r="F142" s="1339"/>
      <c r="H142" s="1337"/>
    </row>
    <row r="143" spans="1:8" s="1309" customFormat="1" ht="14.25" customHeight="1">
      <c r="A143" s="1317" t="s">
        <v>292</v>
      </c>
      <c r="B143" s="1322" t="s">
        <v>1824</v>
      </c>
      <c r="C143" s="1322">
        <v>10080</v>
      </c>
      <c r="D143" s="1322">
        <v>10050</v>
      </c>
      <c r="E143" s="1322">
        <v>10340</v>
      </c>
      <c r="F143" s="1339"/>
      <c r="H143" s="1337"/>
    </row>
    <row r="144" spans="1:8" s="1309" customFormat="1" ht="14.25" customHeight="1">
      <c r="A144" s="1317" t="s">
        <v>292</v>
      </c>
      <c r="B144" s="1322" t="s">
        <v>1828</v>
      </c>
      <c r="C144" s="1322">
        <v>9820</v>
      </c>
      <c r="D144" s="1322">
        <v>9750</v>
      </c>
      <c r="E144" s="1322">
        <v>9900</v>
      </c>
      <c r="F144" s="1339"/>
      <c r="H144" s="1337"/>
    </row>
    <row r="145" spans="1:8" s="1309" customFormat="1" ht="14.25" customHeight="1">
      <c r="A145" s="1317" t="s">
        <v>292</v>
      </c>
      <c r="B145" s="1322" t="s">
        <v>1832</v>
      </c>
      <c r="C145" s="1322"/>
      <c r="D145" s="1322"/>
      <c r="E145" s="1322"/>
      <c r="F145" s="1330">
        <v>1740</v>
      </c>
      <c r="H145" s="1337"/>
    </row>
    <row r="146" spans="1:8" s="1309" customFormat="1" ht="14.25" customHeight="1">
      <c r="A146" s="1317" t="s">
        <v>292</v>
      </c>
      <c r="B146" s="1322" t="s">
        <v>1836</v>
      </c>
      <c r="C146" s="1322"/>
      <c r="D146" s="1322"/>
      <c r="E146" s="1322"/>
      <c r="F146" s="1330">
        <v>1740</v>
      </c>
      <c r="H146" s="1337"/>
    </row>
    <row r="147" spans="1:8" s="1309" customFormat="1" ht="14.25" customHeight="1">
      <c r="A147" s="1317" t="s">
        <v>292</v>
      </c>
      <c r="B147" s="1322" t="s">
        <v>1840</v>
      </c>
      <c r="C147" s="1322"/>
      <c r="D147" s="1322"/>
      <c r="E147" s="1322"/>
      <c r="F147" s="1330">
        <v>1740</v>
      </c>
      <c r="H147" s="1337"/>
    </row>
    <row r="148" spans="1:8" s="1309" customFormat="1" ht="14.25" customHeight="1">
      <c r="A148" s="1317" t="s">
        <v>292</v>
      </c>
      <c r="B148" s="1322" t="s">
        <v>1844</v>
      </c>
      <c r="C148" s="1322"/>
      <c r="D148" s="1322"/>
      <c r="E148" s="1322"/>
      <c r="F148" s="1330">
        <v>1740</v>
      </c>
      <c r="H148" s="1337"/>
    </row>
    <row r="149" spans="1:8" s="1309" customFormat="1" ht="14.25" customHeight="1">
      <c r="A149" s="1317" t="s">
        <v>292</v>
      </c>
      <c r="B149" s="1322" t="s">
        <v>1848</v>
      </c>
      <c r="C149" s="1322"/>
      <c r="D149" s="1322"/>
      <c r="E149" s="1322"/>
      <c r="F149" s="1330">
        <v>1740</v>
      </c>
      <c r="H149" s="1337"/>
    </row>
    <row r="150" spans="1:8" s="1309" customFormat="1" ht="14.25" customHeight="1">
      <c r="A150" s="1317" t="s">
        <v>292</v>
      </c>
      <c r="B150" s="1322" t="s">
        <v>1851</v>
      </c>
      <c r="C150" s="1322"/>
      <c r="D150" s="1322"/>
      <c r="E150" s="1322"/>
      <c r="F150" s="1330">
        <v>1610</v>
      </c>
      <c r="H150" s="1337"/>
    </row>
    <row r="151" spans="1:8" s="1309" customFormat="1" ht="14.25" customHeight="1">
      <c r="A151" s="1317" t="s">
        <v>292</v>
      </c>
      <c r="B151" s="1322" t="s">
        <v>1854</v>
      </c>
      <c r="C151" s="1322"/>
      <c r="D151" s="1322"/>
      <c r="E151" s="1322"/>
      <c r="F151" s="1330">
        <v>1610</v>
      </c>
      <c r="H151" s="1337"/>
    </row>
    <row r="152" spans="1:8" s="1309" customFormat="1" ht="14.25" customHeight="1">
      <c r="A152" s="1317" t="s">
        <v>292</v>
      </c>
      <c r="B152" s="1322" t="s">
        <v>1857</v>
      </c>
      <c r="C152" s="1322"/>
      <c r="D152" s="1322"/>
      <c r="E152" s="1322"/>
      <c r="F152" s="1330">
        <v>1610</v>
      </c>
      <c r="H152" s="1337"/>
    </row>
    <row r="153" spans="1:8" s="1309" customFormat="1" ht="14.25" customHeight="1">
      <c r="A153" s="1317" t="s">
        <v>292</v>
      </c>
      <c r="B153" s="1322" t="s">
        <v>1860</v>
      </c>
      <c r="C153" s="1322"/>
      <c r="D153" s="1322"/>
      <c r="E153" s="1322"/>
      <c r="F153" s="1330">
        <v>1610</v>
      </c>
      <c r="H153" s="1337"/>
    </row>
    <row r="154" spans="1:8" s="1309" customFormat="1" ht="14.25" customHeight="1">
      <c r="A154" s="1317" t="s">
        <v>292</v>
      </c>
      <c r="B154" s="1322" t="s">
        <v>1863</v>
      </c>
      <c r="C154" s="1322"/>
      <c r="D154" s="1322"/>
      <c r="E154" s="1322"/>
      <c r="F154" s="1330">
        <v>1610</v>
      </c>
      <c r="H154" s="1337"/>
    </row>
    <row r="155" spans="1:8" s="1309" customFormat="1" ht="14.25" customHeight="1">
      <c r="A155" s="1317" t="s">
        <v>292</v>
      </c>
      <c r="B155" s="1322" t="s">
        <v>1866</v>
      </c>
      <c r="C155" s="1322"/>
      <c r="D155" s="1322"/>
      <c r="E155" s="1322"/>
      <c r="F155" s="1330">
        <v>1800</v>
      </c>
      <c r="H155" s="1337"/>
    </row>
    <row r="156" spans="1:8" s="1309" customFormat="1" ht="14.25" customHeight="1">
      <c r="A156" s="1317" t="s">
        <v>292</v>
      </c>
      <c r="B156" s="1322" t="s">
        <v>1868</v>
      </c>
      <c r="C156" s="1322"/>
      <c r="D156" s="1322"/>
      <c r="E156" s="1322"/>
      <c r="F156" s="1330">
        <v>1910</v>
      </c>
      <c r="H156" s="1337"/>
    </row>
    <row r="157" spans="1:8" s="1309" customFormat="1" ht="14.25" customHeight="1">
      <c r="A157" s="1317" t="s">
        <v>292</v>
      </c>
      <c r="B157" s="1328" t="s">
        <v>1870</v>
      </c>
      <c r="C157" s="1328"/>
      <c r="D157" s="1328"/>
      <c r="E157" s="1328"/>
      <c r="F157" s="1338">
        <v>1500</v>
      </c>
      <c r="H157" s="1337"/>
    </row>
    <row r="158" spans="1:8" s="1309" customFormat="1" ht="14.25" customHeight="1">
      <c r="A158" s="1317" t="s">
        <v>297</v>
      </c>
      <c r="B158" s="1318" t="s">
        <v>1537</v>
      </c>
      <c r="C158" s="1318">
        <v>8170</v>
      </c>
      <c r="D158" s="1318">
        <v>8140</v>
      </c>
      <c r="E158" s="1318">
        <v>8590</v>
      </c>
      <c r="F158" s="1319">
        <v>1450</v>
      </c>
      <c r="H158" s="1337"/>
    </row>
    <row r="159" spans="1:8" s="1309" customFormat="1" ht="14.25" customHeight="1">
      <c r="A159" s="1317" t="s">
        <v>297</v>
      </c>
      <c r="B159" s="1322" t="s">
        <v>1550</v>
      </c>
      <c r="C159" s="1322">
        <v>7410</v>
      </c>
      <c r="D159" s="1322">
        <v>7370</v>
      </c>
      <c r="E159" s="1322">
        <v>8030</v>
      </c>
      <c r="F159" s="1330">
        <v>1510</v>
      </c>
      <c r="H159" s="1337"/>
    </row>
    <row r="160" spans="1:8" s="1309" customFormat="1" ht="14.25" customHeight="1">
      <c r="A160" s="1317" t="s">
        <v>297</v>
      </c>
      <c r="B160" s="1322" t="s">
        <v>1563</v>
      </c>
      <c r="C160" s="1322">
        <v>7240</v>
      </c>
      <c r="D160" s="1322">
        <v>7210</v>
      </c>
      <c r="E160" s="1322">
        <v>7860</v>
      </c>
      <c r="F160" s="1330">
        <v>1370</v>
      </c>
      <c r="H160" s="1337"/>
    </row>
    <row r="161" spans="1:8" s="1309" customFormat="1" ht="14.25" customHeight="1">
      <c r="A161" s="1317" t="s">
        <v>297</v>
      </c>
      <c r="B161" s="1322" t="s">
        <v>1575</v>
      </c>
      <c r="C161" s="1322">
        <v>7720</v>
      </c>
      <c r="D161" s="1322">
        <v>7690</v>
      </c>
      <c r="E161" s="1322">
        <v>8200</v>
      </c>
      <c r="F161" s="1330">
        <v>1190</v>
      </c>
      <c r="H161" s="1337"/>
    </row>
    <row r="162" spans="1:8" s="1309" customFormat="1" ht="14.25" customHeight="1">
      <c r="A162" s="1317" t="s">
        <v>297</v>
      </c>
      <c r="B162" s="1322" t="s">
        <v>1587</v>
      </c>
      <c r="C162" s="1322">
        <v>6900</v>
      </c>
      <c r="D162" s="1322">
        <v>6870</v>
      </c>
      <c r="E162" s="1322">
        <v>7500</v>
      </c>
      <c r="F162" s="1330">
        <v>1390</v>
      </c>
      <c r="H162" s="1337"/>
    </row>
    <row r="163" spans="1:8" s="1309" customFormat="1" ht="14.25" customHeight="1">
      <c r="A163" s="1317" t="s">
        <v>297</v>
      </c>
      <c r="B163" s="1322" t="s">
        <v>1598</v>
      </c>
      <c r="C163" s="1322">
        <v>7120</v>
      </c>
      <c r="D163" s="1322">
        <v>7090</v>
      </c>
      <c r="E163" s="1322">
        <v>7690</v>
      </c>
      <c r="F163" s="1330">
        <v>1230</v>
      </c>
      <c r="H163" s="1337"/>
    </row>
    <row r="164" spans="1:8" s="1309" customFormat="1" ht="14.25" customHeight="1">
      <c r="A164" s="1317" t="s">
        <v>297</v>
      </c>
      <c r="B164" s="1322" t="s">
        <v>1609</v>
      </c>
      <c r="C164" s="1322">
        <v>6560</v>
      </c>
      <c r="D164" s="1322">
        <v>6530</v>
      </c>
      <c r="E164" s="1322">
        <v>7110</v>
      </c>
      <c r="F164" s="1330">
        <v>1340</v>
      </c>
      <c r="H164" s="1337"/>
    </row>
    <row r="165" spans="1:8" s="1309" customFormat="1" ht="14.25" customHeight="1">
      <c r="A165" s="1317" t="s">
        <v>297</v>
      </c>
      <c r="B165" s="1322" t="s">
        <v>1620</v>
      </c>
      <c r="C165" s="1322">
        <v>7450</v>
      </c>
      <c r="D165" s="1322">
        <v>7430</v>
      </c>
      <c r="E165" s="1322">
        <v>8110</v>
      </c>
      <c r="F165" s="1330">
        <v>1290</v>
      </c>
      <c r="H165" s="1337"/>
    </row>
    <row r="166" spans="1:8" s="1309" customFormat="1" ht="14.25" customHeight="1">
      <c r="A166" s="1317" t="s">
        <v>297</v>
      </c>
      <c r="B166" s="1322" t="s">
        <v>1630</v>
      </c>
      <c r="C166" s="1322">
        <v>7490</v>
      </c>
      <c r="D166" s="1322">
        <v>7460</v>
      </c>
      <c r="E166" s="1322">
        <v>8150</v>
      </c>
      <c r="F166" s="1330">
        <v>1350</v>
      </c>
      <c r="H166" s="1337"/>
    </row>
    <row r="167" spans="1:8" s="1309" customFormat="1" ht="14.25" customHeight="1">
      <c r="A167" s="1317" t="s">
        <v>297</v>
      </c>
      <c r="B167" s="1322" t="s">
        <v>1640</v>
      </c>
      <c r="C167" s="1322">
        <v>7540</v>
      </c>
      <c r="D167" s="1322">
        <v>7510</v>
      </c>
      <c r="E167" s="1322">
        <v>8030</v>
      </c>
      <c r="F167" s="1339"/>
      <c r="H167" s="1337"/>
    </row>
    <row r="168" spans="1:8" s="1309" customFormat="1" ht="14.25" customHeight="1">
      <c r="A168" s="1317" t="s">
        <v>297</v>
      </c>
      <c r="B168" s="1322" t="s">
        <v>1650</v>
      </c>
      <c r="C168" s="1322">
        <v>7210</v>
      </c>
      <c r="D168" s="1322">
        <v>7180</v>
      </c>
      <c r="E168" s="1322">
        <v>7830</v>
      </c>
      <c r="F168" s="1339"/>
      <c r="H168" s="1337"/>
    </row>
    <row r="169" spans="1:8" s="1309" customFormat="1" ht="14.25" customHeight="1">
      <c r="A169" s="1317" t="s">
        <v>297</v>
      </c>
      <c r="B169" s="1322" t="s">
        <v>1660</v>
      </c>
      <c r="C169" s="1322">
        <v>7040</v>
      </c>
      <c r="D169" s="1322">
        <v>7020</v>
      </c>
      <c r="E169" s="1322">
        <v>7670</v>
      </c>
      <c r="F169" s="1339"/>
      <c r="H169" s="1337"/>
    </row>
    <row r="170" spans="1:8" s="1309" customFormat="1" ht="14.25" customHeight="1">
      <c r="A170" s="1317" t="s">
        <v>297</v>
      </c>
      <c r="B170" s="1322" t="s">
        <v>1670</v>
      </c>
      <c r="C170" s="1322">
        <v>8040</v>
      </c>
      <c r="D170" s="1322">
        <v>7190</v>
      </c>
      <c r="E170" s="1322">
        <v>7850</v>
      </c>
      <c r="F170" s="1339"/>
      <c r="H170" s="1337"/>
    </row>
    <row r="171" spans="1:8" s="1309" customFormat="1" ht="14.25" customHeight="1">
      <c r="A171" s="1317" t="s">
        <v>297</v>
      </c>
      <c r="B171" s="1322" t="s">
        <v>1680</v>
      </c>
      <c r="C171" s="1322">
        <v>7860</v>
      </c>
      <c r="D171" s="1322">
        <v>7720</v>
      </c>
      <c r="E171" s="1322">
        <v>8150</v>
      </c>
      <c r="F171" s="1330">
        <v>1110</v>
      </c>
      <c r="H171" s="1337"/>
    </row>
    <row r="172" spans="1:8" s="1309" customFormat="1" ht="14.25" customHeight="1">
      <c r="A172" s="1317" t="s">
        <v>297</v>
      </c>
      <c r="B172" s="1322" t="s">
        <v>1690</v>
      </c>
      <c r="C172" s="1322">
        <v>7210</v>
      </c>
      <c r="D172" s="1322">
        <v>7170</v>
      </c>
      <c r="E172" s="1322">
        <v>7320</v>
      </c>
      <c r="F172" s="1339"/>
      <c r="H172" s="1337"/>
    </row>
    <row r="173" spans="1:8" s="1309" customFormat="1" ht="14.25" customHeight="1">
      <c r="A173" s="1317" t="s">
        <v>297</v>
      </c>
      <c r="B173" s="1322" t="s">
        <v>1700</v>
      </c>
      <c r="C173" s="1322">
        <v>6860</v>
      </c>
      <c r="D173" s="1322">
        <v>6810</v>
      </c>
      <c r="E173" s="1322">
        <v>7440</v>
      </c>
      <c r="F173" s="1339"/>
      <c r="H173" s="1337"/>
    </row>
    <row r="174" spans="1:8" s="1309" customFormat="1" ht="14.25" customHeight="1">
      <c r="A174" s="1317" t="s">
        <v>297</v>
      </c>
      <c r="B174" s="1322" t="s">
        <v>1710</v>
      </c>
      <c r="C174" s="1322">
        <v>7120</v>
      </c>
      <c r="D174" s="1322">
        <v>7090</v>
      </c>
      <c r="E174" s="1322">
        <v>7500</v>
      </c>
      <c r="F174" s="1330">
        <v>1490</v>
      </c>
      <c r="H174" s="1337"/>
    </row>
    <row r="175" spans="1:8" s="1309" customFormat="1" ht="14.25" customHeight="1">
      <c r="A175" s="1317" t="s">
        <v>297</v>
      </c>
      <c r="B175" s="1322" t="s">
        <v>1720</v>
      </c>
      <c r="C175" s="1322">
        <v>7850</v>
      </c>
      <c r="D175" s="1322">
        <v>7820</v>
      </c>
      <c r="E175" s="1322">
        <v>8120</v>
      </c>
      <c r="F175" s="1330">
        <v>1530</v>
      </c>
      <c r="H175" s="1337"/>
    </row>
    <row r="176" spans="1:8" s="1309" customFormat="1" ht="14.25" customHeight="1">
      <c r="A176" s="1317" t="s">
        <v>297</v>
      </c>
      <c r="B176" s="1322" t="s">
        <v>1730</v>
      </c>
      <c r="C176" s="1322">
        <v>7620</v>
      </c>
      <c r="D176" s="1322">
        <v>7570</v>
      </c>
      <c r="E176" s="1322">
        <v>7990</v>
      </c>
      <c r="F176" s="1330">
        <v>1480</v>
      </c>
      <c r="H176" s="1337"/>
    </row>
    <row r="177" spans="1:8" s="1309" customFormat="1" ht="14.25" customHeight="1">
      <c r="A177" s="1317" t="s">
        <v>297</v>
      </c>
      <c r="B177" s="1322" t="s">
        <v>1739</v>
      </c>
      <c r="C177" s="1322">
        <v>8590</v>
      </c>
      <c r="D177" s="1322">
        <v>8570</v>
      </c>
      <c r="E177" s="1322">
        <v>8740</v>
      </c>
      <c r="F177" s="1330">
        <v>1540</v>
      </c>
      <c r="H177" s="1337"/>
    </row>
    <row r="178" spans="1:8" s="1309" customFormat="1" ht="14.25" customHeight="1">
      <c r="A178" s="1317" t="s">
        <v>297</v>
      </c>
      <c r="B178" s="1322" t="s">
        <v>1747</v>
      </c>
      <c r="C178" s="1322">
        <v>7510</v>
      </c>
      <c r="D178" s="1322">
        <v>7470</v>
      </c>
      <c r="E178" s="1322">
        <v>8090</v>
      </c>
      <c r="F178" s="1330">
        <v>1320</v>
      </c>
      <c r="H178" s="1337"/>
    </row>
    <row r="179" spans="1:8" s="1309" customFormat="1" ht="14.25" customHeight="1">
      <c r="A179" s="1317" t="s">
        <v>297</v>
      </c>
      <c r="B179" s="1322" t="s">
        <v>1755</v>
      </c>
      <c r="C179" s="1322">
        <v>6380</v>
      </c>
      <c r="D179" s="1322">
        <v>6340</v>
      </c>
      <c r="E179" s="1322">
        <v>6810</v>
      </c>
      <c r="F179" s="1339"/>
      <c r="H179" s="1337"/>
    </row>
    <row r="180" spans="1:8" s="1309" customFormat="1" ht="14.25" customHeight="1">
      <c r="A180" s="1317" t="s">
        <v>297</v>
      </c>
      <c r="B180" s="1322" t="s">
        <v>1762</v>
      </c>
      <c r="C180" s="1322">
        <v>7830</v>
      </c>
      <c r="D180" s="1322">
        <v>7800</v>
      </c>
      <c r="E180" s="1322">
        <v>7780</v>
      </c>
      <c r="F180" s="1330">
        <v>1440</v>
      </c>
      <c r="H180" s="1337"/>
    </row>
    <row r="181" spans="1:8" s="1309" customFormat="1" ht="14.25" customHeight="1">
      <c r="A181" s="1317" t="s">
        <v>297</v>
      </c>
      <c r="B181" s="1322" t="s">
        <v>1769</v>
      </c>
      <c r="C181" s="1322">
        <v>7110</v>
      </c>
      <c r="D181" s="1322">
        <v>7080</v>
      </c>
      <c r="E181" s="1322">
        <v>7730</v>
      </c>
      <c r="F181" s="1330">
        <v>1350</v>
      </c>
      <c r="H181" s="1337"/>
    </row>
    <row r="182" spans="1:8" s="1309" customFormat="1" ht="14.25" customHeight="1">
      <c r="A182" s="1317" t="s">
        <v>297</v>
      </c>
      <c r="B182" s="1322" t="s">
        <v>1776</v>
      </c>
      <c r="C182" s="1322">
        <v>7310</v>
      </c>
      <c r="D182" s="1322">
        <v>7280</v>
      </c>
      <c r="E182" s="1322">
        <v>7950</v>
      </c>
      <c r="F182" s="1330">
        <v>1220</v>
      </c>
      <c r="H182" s="1337"/>
    </row>
    <row r="183" spans="1:8" s="1309" customFormat="1" ht="14.25" customHeight="1">
      <c r="A183" s="1317" t="s">
        <v>297</v>
      </c>
      <c r="B183" s="1322" t="s">
        <v>1783</v>
      </c>
      <c r="C183" s="1322">
        <v>7470</v>
      </c>
      <c r="D183" s="1322">
        <v>7440</v>
      </c>
      <c r="E183" s="1322">
        <v>7880</v>
      </c>
      <c r="F183" s="1339"/>
      <c r="H183" s="1337"/>
    </row>
    <row r="184" spans="1:8" s="1309" customFormat="1" ht="14.25" customHeight="1">
      <c r="A184" s="1317" t="s">
        <v>297</v>
      </c>
      <c r="B184" s="1322" t="s">
        <v>1790</v>
      </c>
      <c r="C184" s="1322">
        <v>6960</v>
      </c>
      <c r="D184" s="1322">
        <v>6930</v>
      </c>
      <c r="E184" s="1322">
        <v>7570</v>
      </c>
      <c r="F184" s="1339"/>
      <c r="H184" s="1337"/>
    </row>
    <row r="185" spans="1:8" s="1309" customFormat="1" ht="14.25" customHeight="1">
      <c r="A185" s="1317" t="s">
        <v>297</v>
      </c>
      <c r="B185" s="1322" t="s">
        <v>1795</v>
      </c>
      <c r="C185" s="1322">
        <v>7260</v>
      </c>
      <c r="D185" s="1322">
        <v>7230</v>
      </c>
      <c r="E185" s="1322">
        <v>7710</v>
      </c>
      <c r="F185" s="1330">
        <v>1360</v>
      </c>
      <c r="H185" s="1337"/>
    </row>
    <row r="186" spans="1:8" s="1309" customFormat="1" ht="14.25" customHeight="1">
      <c r="A186" s="1317" t="s">
        <v>297</v>
      </c>
      <c r="B186" s="1322" t="s">
        <v>1800</v>
      </c>
      <c r="C186" s="1322"/>
      <c r="D186" s="1322"/>
      <c r="E186" s="1322"/>
      <c r="F186" s="1330">
        <v>1560</v>
      </c>
      <c r="H186" s="1337"/>
    </row>
    <row r="187" spans="1:8" s="1309" customFormat="1" ht="14.25" customHeight="1">
      <c r="A187" s="1317" t="s">
        <v>297</v>
      </c>
      <c r="B187" s="1322" t="s">
        <v>1805</v>
      </c>
      <c r="C187" s="1322"/>
      <c r="D187" s="1322"/>
      <c r="E187" s="1322"/>
      <c r="F187" s="1330">
        <v>1560</v>
      </c>
      <c r="H187" s="1337"/>
    </row>
    <row r="188" spans="1:8" s="1309" customFormat="1" ht="14.25" customHeight="1">
      <c r="A188" s="1317" t="s">
        <v>297</v>
      </c>
      <c r="B188" s="1322" t="s">
        <v>1810</v>
      </c>
      <c r="C188" s="1322"/>
      <c r="D188" s="1322"/>
      <c r="E188" s="1322"/>
      <c r="F188" s="1330">
        <v>1560</v>
      </c>
      <c r="H188" s="1337"/>
    </row>
    <row r="189" spans="1:8" s="1309" customFormat="1" ht="14.25" customHeight="1">
      <c r="A189" s="1317" t="s">
        <v>297</v>
      </c>
      <c r="B189" s="1322" t="s">
        <v>1815</v>
      </c>
      <c r="C189" s="1322"/>
      <c r="D189" s="1322"/>
      <c r="E189" s="1322"/>
      <c r="F189" s="1330">
        <v>1320</v>
      </c>
      <c r="H189" s="1337"/>
    </row>
    <row r="190" spans="1:8" s="1309" customFormat="1" ht="14.25" customHeight="1">
      <c r="A190" s="1317" t="s">
        <v>297</v>
      </c>
      <c r="B190" s="1322" t="s">
        <v>1820</v>
      </c>
      <c r="C190" s="1322"/>
      <c r="D190" s="1322"/>
      <c r="E190" s="1322"/>
      <c r="F190" s="1330">
        <v>1320</v>
      </c>
      <c r="H190" s="1337"/>
    </row>
    <row r="191" spans="1:8" s="1309" customFormat="1" ht="14.25" customHeight="1">
      <c r="A191" s="1317" t="s">
        <v>297</v>
      </c>
      <c r="B191" s="1322" t="s">
        <v>1825</v>
      </c>
      <c r="C191" s="1322"/>
      <c r="D191" s="1322"/>
      <c r="E191" s="1322"/>
      <c r="F191" s="1330">
        <v>1320</v>
      </c>
      <c r="H191" s="1337"/>
    </row>
    <row r="192" spans="1:8" s="1309" customFormat="1" ht="14.25" customHeight="1">
      <c r="A192" s="1317" t="s">
        <v>297</v>
      </c>
      <c r="B192" s="1322" t="s">
        <v>1829</v>
      </c>
      <c r="C192" s="1322"/>
      <c r="D192" s="1322"/>
      <c r="E192" s="1322"/>
      <c r="F192" s="1330">
        <v>1100</v>
      </c>
      <c r="H192" s="1337"/>
    </row>
    <row r="193" spans="1:8" s="1309" customFormat="1" ht="14.25" customHeight="1">
      <c r="A193" s="1317" t="s">
        <v>297</v>
      </c>
      <c r="B193" s="1322" t="s">
        <v>1833</v>
      </c>
      <c r="C193" s="1322"/>
      <c r="D193" s="1322"/>
      <c r="E193" s="1322"/>
      <c r="F193" s="1330">
        <v>1100</v>
      </c>
      <c r="H193" s="1337"/>
    </row>
    <row r="194" spans="1:8" s="1309" customFormat="1" ht="14.25" customHeight="1">
      <c r="A194" s="1317" t="s">
        <v>297</v>
      </c>
      <c r="B194" s="1322" t="s">
        <v>1837</v>
      </c>
      <c r="C194" s="1322"/>
      <c r="D194" s="1322"/>
      <c r="E194" s="1322"/>
      <c r="F194" s="1330">
        <v>1080</v>
      </c>
      <c r="H194" s="1337"/>
    </row>
    <row r="195" spans="1:8" s="1309" customFormat="1" ht="14.25" customHeight="1">
      <c r="A195" s="1317" t="s">
        <v>297</v>
      </c>
      <c r="B195" s="1322" t="s">
        <v>1841</v>
      </c>
      <c r="C195" s="1322"/>
      <c r="D195" s="1322"/>
      <c r="E195" s="1322"/>
      <c r="F195" s="1330">
        <v>1270</v>
      </c>
      <c r="H195" s="1337"/>
    </row>
    <row r="196" spans="1:8" s="1309" customFormat="1" ht="14.25" customHeight="1">
      <c r="A196" s="1317" t="s">
        <v>297</v>
      </c>
      <c r="B196" s="1322" t="s">
        <v>1845</v>
      </c>
      <c r="C196" s="1322"/>
      <c r="D196" s="1322"/>
      <c r="E196" s="1322"/>
      <c r="F196" s="1330">
        <v>1150</v>
      </c>
      <c r="H196" s="1337"/>
    </row>
    <row r="197" spans="1:8" s="1309" customFormat="1" ht="14.25" customHeight="1">
      <c r="A197" s="1317" t="s">
        <v>297</v>
      </c>
      <c r="B197" s="1322" t="s">
        <v>1849</v>
      </c>
      <c r="C197" s="1322"/>
      <c r="D197" s="1322"/>
      <c r="E197" s="1322"/>
      <c r="F197" s="1330">
        <v>1330</v>
      </c>
      <c r="H197" s="1337"/>
    </row>
    <row r="198" spans="1:8" s="1309" customFormat="1" ht="14.25" customHeight="1">
      <c r="A198" s="1317" t="s">
        <v>297</v>
      </c>
      <c r="B198" s="1322" t="s">
        <v>1852</v>
      </c>
      <c r="C198" s="1322"/>
      <c r="D198" s="1322"/>
      <c r="E198" s="1322"/>
      <c r="F198" s="1330">
        <v>1170</v>
      </c>
      <c r="H198" s="1337"/>
    </row>
    <row r="199" spans="1:8" s="1309" customFormat="1" ht="14.25" customHeight="1">
      <c r="A199" s="1317" t="s">
        <v>297</v>
      </c>
      <c r="B199" s="1322" t="s">
        <v>1855</v>
      </c>
      <c r="C199" s="1322"/>
      <c r="D199" s="1322"/>
      <c r="E199" s="1322"/>
      <c r="F199" s="1330">
        <v>1120</v>
      </c>
      <c r="H199" s="1337"/>
    </row>
    <row r="200" spans="1:8" s="1309" customFormat="1" ht="14.25" customHeight="1">
      <c r="A200" s="1317" t="s">
        <v>297</v>
      </c>
      <c r="B200" s="1322" t="s">
        <v>1858</v>
      </c>
      <c r="C200" s="1322"/>
      <c r="D200" s="1322"/>
      <c r="E200" s="1322"/>
      <c r="F200" s="1330">
        <v>1120</v>
      </c>
      <c r="H200" s="1337"/>
    </row>
    <row r="201" spans="1:8" s="1309" customFormat="1" ht="14.25" customHeight="1">
      <c r="A201" s="1317" t="s">
        <v>297</v>
      </c>
      <c r="B201" s="1322" t="s">
        <v>1861</v>
      </c>
      <c r="C201" s="1322"/>
      <c r="D201" s="1322"/>
      <c r="E201" s="1322"/>
      <c r="F201" s="1330">
        <v>1540</v>
      </c>
      <c r="H201" s="1337"/>
    </row>
    <row r="202" spans="1:8" s="1309" customFormat="1" ht="14.25" customHeight="1">
      <c r="A202" s="1317" t="s">
        <v>297</v>
      </c>
      <c r="B202" s="1322" t="s">
        <v>1864</v>
      </c>
      <c r="C202" s="1322"/>
      <c r="D202" s="1322"/>
      <c r="E202" s="1322"/>
      <c r="F202" s="1330">
        <v>1310</v>
      </c>
      <c r="H202" s="1337"/>
    </row>
    <row r="203" spans="1:8" s="1309" customFormat="1" ht="14.25" customHeight="1">
      <c r="A203" s="1317" t="s">
        <v>297</v>
      </c>
      <c r="B203" s="1322" t="s">
        <v>1867</v>
      </c>
      <c r="C203" s="1322"/>
      <c r="D203" s="1322"/>
      <c r="E203" s="1322"/>
      <c r="F203" s="1330">
        <v>1310</v>
      </c>
      <c r="H203" s="1337"/>
    </row>
    <row r="204" spans="1:8" s="1309" customFormat="1" ht="14.25" customHeight="1">
      <c r="A204" s="1317" t="s">
        <v>297</v>
      </c>
      <c r="B204" s="1322" t="s">
        <v>1869</v>
      </c>
      <c r="C204" s="1322"/>
      <c r="D204" s="1322"/>
      <c r="E204" s="1322"/>
      <c r="F204" s="1330">
        <v>1080</v>
      </c>
      <c r="H204" s="1337"/>
    </row>
    <row r="205" spans="1:8" s="1309" customFormat="1" ht="14.25" customHeight="1">
      <c r="A205" s="1317" t="s">
        <v>297</v>
      </c>
      <c r="B205" s="1322" t="s">
        <v>1871</v>
      </c>
      <c r="C205" s="1322"/>
      <c r="D205" s="1322"/>
      <c r="E205" s="1322"/>
      <c r="F205" s="1330">
        <v>1080</v>
      </c>
      <c r="H205" s="1337"/>
    </row>
    <row r="206" spans="1:8" s="1309" customFormat="1" ht="14.25" customHeight="1">
      <c r="A206" s="1317" t="s">
        <v>302</v>
      </c>
      <c r="B206" s="1318" t="s">
        <v>1538</v>
      </c>
      <c r="C206" s="1318">
        <v>5450</v>
      </c>
      <c r="D206" s="1318">
        <v>5430</v>
      </c>
      <c r="E206" s="1318">
        <v>5700</v>
      </c>
      <c r="F206" s="1319">
        <v>1020</v>
      </c>
      <c r="H206" s="1337"/>
    </row>
    <row r="207" spans="1:8" s="1309" customFormat="1" ht="14.25" customHeight="1">
      <c r="A207" s="1317" t="s">
        <v>302</v>
      </c>
      <c r="B207" s="1322" t="s">
        <v>1551</v>
      </c>
      <c r="C207" s="1322">
        <v>5860</v>
      </c>
      <c r="D207" s="1322">
        <v>5820</v>
      </c>
      <c r="E207" s="1322">
        <v>6050</v>
      </c>
      <c r="F207" s="1330">
        <v>1080</v>
      </c>
      <c r="H207" s="1337"/>
    </row>
    <row r="208" spans="1:8" s="1309" customFormat="1" ht="14.25" customHeight="1">
      <c r="A208" s="1317" t="s">
        <v>302</v>
      </c>
      <c r="B208" s="1322" t="s">
        <v>1564</v>
      </c>
      <c r="C208" s="1322">
        <v>4630</v>
      </c>
      <c r="D208" s="1322">
        <v>4600</v>
      </c>
      <c r="E208" s="1322">
        <v>4840</v>
      </c>
      <c r="F208" s="1330">
        <v>900</v>
      </c>
      <c r="H208" s="1337"/>
    </row>
    <row r="209" spans="1:8" s="1309" customFormat="1" ht="14.25" customHeight="1">
      <c r="A209" s="1317" t="s">
        <v>302</v>
      </c>
      <c r="B209" s="1322" t="s">
        <v>1576</v>
      </c>
      <c r="C209" s="1322">
        <v>5320</v>
      </c>
      <c r="D209" s="1322">
        <v>5270</v>
      </c>
      <c r="E209" s="1322">
        <v>5540</v>
      </c>
      <c r="F209" s="1330">
        <v>980</v>
      </c>
      <c r="H209" s="1337"/>
    </row>
    <row r="210" spans="1:8" s="1309" customFormat="1" ht="14.25" customHeight="1">
      <c r="A210" s="1317" t="s">
        <v>302</v>
      </c>
      <c r="B210" s="1322" t="s">
        <v>1588</v>
      </c>
      <c r="C210" s="1322">
        <v>5760</v>
      </c>
      <c r="D210" s="1322">
        <v>5710</v>
      </c>
      <c r="E210" s="1322">
        <v>6010</v>
      </c>
      <c r="F210" s="1330">
        <v>870</v>
      </c>
      <c r="H210" s="1337"/>
    </row>
    <row r="211" spans="1:8" s="1309" customFormat="1" ht="14.25" customHeight="1">
      <c r="A211" s="1317" t="s">
        <v>302</v>
      </c>
      <c r="B211" s="1322" t="s">
        <v>1599</v>
      </c>
      <c r="C211" s="1322">
        <v>4160</v>
      </c>
      <c r="D211" s="1322">
        <v>4100</v>
      </c>
      <c r="E211" s="1322">
        <v>4270</v>
      </c>
      <c r="F211" s="1330">
        <v>790</v>
      </c>
      <c r="H211" s="1337"/>
    </row>
    <row r="212" spans="1:8" s="1309" customFormat="1" ht="14.25" customHeight="1">
      <c r="A212" s="1317" t="s">
        <v>302</v>
      </c>
      <c r="B212" s="1322" t="s">
        <v>1610</v>
      </c>
      <c r="C212" s="1322">
        <v>4880</v>
      </c>
      <c r="D212" s="1322">
        <v>4850</v>
      </c>
      <c r="E212" s="1322">
        <v>5110</v>
      </c>
      <c r="F212" s="1330">
        <v>940</v>
      </c>
      <c r="H212" s="1337"/>
    </row>
    <row r="213" spans="1:8" s="1309" customFormat="1" ht="14.25" customHeight="1">
      <c r="A213" s="1317" t="s">
        <v>302</v>
      </c>
      <c r="B213" s="1322" t="s">
        <v>1621</v>
      </c>
      <c r="C213" s="1322">
        <v>4640</v>
      </c>
      <c r="D213" s="1322">
        <v>4590</v>
      </c>
      <c r="E213" s="1322">
        <v>4700</v>
      </c>
      <c r="F213" s="1330">
        <v>1030</v>
      </c>
      <c r="H213" s="1337"/>
    </row>
    <row r="214" spans="1:8" s="1309" customFormat="1" ht="14.25" customHeight="1">
      <c r="A214" s="1317" t="s">
        <v>302</v>
      </c>
      <c r="B214" s="1322" t="s">
        <v>1631</v>
      </c>
      <c r="C214" s="1322">
        <v>4540</v>
      </c>
      <c r="D214" s="1322">
        <v>4490</v>
      </c>
      <c r="E214" s="1322">
        <v>4610</v>
      </c>
      <c r="F214" s="1339"/>
      <c r="H214" s="1337"/>
    </row>
    <row r="215" spans="1:8" s="1309" customFormat="1" ht="14.25" customHeight="1">
      <c r="A215" s="1317" t="s">
        <v>302</v>
      </c>
      <c r="B215" s="1322" t="s">
        <v>1641</v>
      </c>
      <c r="C215" s="1322">
        <v>5280</v>
      </c>
      <c r="D215" s="1322">
        <v>5250</v>
      </c>
      <c r="E215" s="1322">
        <v>5520</v>
      </c>
      <c r="F215" s="1330">
        <v>1000</v>
      </c>
      <c r="H215" s="1337"/>
    </row>
    <row r="216" spans="1:8" s="1309" customFormat="1" ht="14.25" customHeight="1">
      <c r="A216" s="1317" t="s">
        <v>302</v>
      </c>
      <c r="B216" s="1322" t="s">
        <v>1651</v>
      </c>
      <c r="C216" s="1322">
        <v>5100</v>
      </c>
      <c r="D216" s="1322">
        <v>5050</v>
      </c>
      <c r="E216" s="1322">
        <v>5300</v>
      </c>
      <c r="F216" s="1330">
        <v>950</v>
      </c>
      <c r="H216" s="1337"/>
    </row>
    <row r="217" spans="1:8" s="1309" customFormat="1" ht="14.25" customHeight="1">
      <c r="A217" s="1317" t="s">
        <v>302</v>
      </c>
      <c r="B217" s="1322" t="s">
        <v>1661</v>
      </c>
      <c r="C217" s="1322">
        <v>5370</v>
      </c>
      <c r="D217" s="1322">
        <v>5320</v>
      </c>
      <c r="E217" s="1322">
        <v>5410</v>
      </c>
      <c r="F217" s="1330">
        <v>950</v>
      </c>
      <c r="H217" s="1337"/>
    </row>
    <row r="218" spans="1:8" s="1309" customFormat="1" ht="14.25" customHeight="1">
      <c r="A218" s="1317" t="s">
        <v>302</v>
      </c>
      <c r="B218" s="1322" t="s">
        <v>1671</v>
      </c>
      <c r="C218" s="1322">
        <v>5540</v>
      </c>
      <c r="D218" s="1322">
        <v>5480</v>
      </c>
      <c r="E218" s="1322">
        <v>5740</v>
      </c>
      <c r="F218" s="1330">
        <v>1020</v>
      </c>
      <c r="H218" s="1337"/>
    </row>
    <row r="219" spans="1:8" s="1309" customFormat="1" ht="14.25" customHeight="1">
      <c r="A219" s="1317" t="s">
        <v>302</v>
      </c>
      <c r="B219" s="1322" t="s">
        <v>1681</v>
      </c>
      <c r="C219" s="1322">
        <v>5140</v>
      </c>
      <c r="D219" s="1322">
        <v>5100</v>
      </c>
      <c r="E219" s="1322">
        <v>5350</v>
      </c>
      <c r="F219" s="1330">
        <v>1120</v>
      </c>
      <c r="H219" s="1337"/>
    </row>
    <row r="220" spans="1:8" s="1309" customFormat="1" ht="14.25" customHeight="1">
      <c r="A220" s="1317" t="s">
        <v>302</v>
      </c>
      <c r="B220" s="1322" t="s">
        <v>1691</v>
      </c>
      <c r="C220" s="1322">
        <v>5040</v>
      </c>
      <c r="D220" s="1322">
        <v>5000</v>
      </c>
      <c r="E220" s="1322">
        <v>5240</v>
      </c>
      <c r="F220" s="1330">
        <v>980</v>
      </c>
      <c r="H220" s="1337"/>
    </row>
    <row r="221" spans="1:8" s="1309" customFormat="1" ht="14.25" customHeight="1">
      <c r="A221" s="1317" t="s">
        <v>302</v>
      </c>
      <c r="B221" s="1322" t="s">
        <v>1701</v>
      </c>
      <c r="C221" s="1344"/>
      <c r="D221" s="1344"/>
      <c r="E221" s="1344"/>
      <c r="F221" s="1330">
        <v>1070</v>
      </c>
      <c r="H221" s="1337"/>
    </row>
    <row r="222" spans="1:8" s="1309" customFormat="1" ht="14.25" customHeight="1">
      <c r="A222" s="1317" t="s">
        <v>302</v>
      </c>
      <c r="B222" s="1322" t="s">
        <v>1711</v>
      </c>
      <c r="C222" s="1344"/>
      <c r="D222" s="1344"/>
      <c r="E222" s="1344"/>
      <c r="F222" s="1330">
        <v>870</v>
      </c>
      <c r="H222" s="1337"/>
    </row>
    <row r="223" spans="1:8" s="1309" customFormat="1" ht="14.25" customHeight="1">
      <c r="A223" s="1317" t="s">
        <v>302</v>
      </c>
      <c r="B223" s="1322" t="s">
        <v>1721</v>
      </c>
      <c r="C223" s="1344"/>
      <c r="D223" s="1344"/>
      <c r="E223" s="1344"/>
      <c r="F223" s="1330">
        <v>940</v>
      </c>
      <c r="H223" s="1337"/>
    </row>
    <row r="224" spans="1:8" s="1309" customFormat="1" ht="14.25" customHeight="1">
      <c r="A224" s="1317" t="s">
        <v>302</v>
      </c>
      <c r="B224" s="1322" t="s">
        <v>1731</v>
      </c>
      <c r="C224" s="1344"/>
      <c r="D224" s="1344"/>
      <c r="E224" s="1344"/>
      <c r="F224" s="1330">
        <v>990</v>
      </c>
      <c r="H224" s="1337"/>
    </row>
    <row r="225" spans="1:8" s="1309" customFormat="1" ht="14.25" customHeight="1">
      <c r="A225" s="1317" t="s">
        <v>302</v>
      </c>
      <c r="B225" s="1322" t="s">
        <v>1740</v>
      </c>
      <c r="C225" s="1322">
        <v>5730</v>
      </c>
      <c r="D225" s="1322">
        <v>5680</v>
      </c>
      <c r="E225" s="1322">
        <v>6020</v>
      </c>
      <c r="F225" s="1330">
        <v>1000</v>
      </c>
      <c r="H225" s="1337"/>
    </row>
    <row r="226" spans="1:8" s="1309" customFormat="1" ht="14.25" customHeight="1">
      <c r="A226" s="1317" t="s">
        <v>302</v>
      </c>
      <c r="B226" s="1322" t="s">
        <v>1748</v>
      </c>
      <c r="C226" s="1322">
        <v>4970</v>
      </c>
      <c r="D226" s="1322">
        <v>4940</v>
      </c>
      <c r="E226" s="1322">
        <v>5180</v>
      </c>
      <c r="F226" s="1330">
        <v>960</v>
      </c>
      <c r="H226" s="1337"/>
    </row>
    <row r="227" spans="1:8" s="1309" customFormat="1" ht="14.25" customHeight="1">
      <c r="A227" s="1317" t="s">
        <v>302</v>
      </c>
      <c r="B227" s="1322" t="s">
        <v>1756</v>
      </c>
      <c r="C227" s="1322">
        <v>5550</v>
      </c>
      <c r="D227" s="1322">
        <v>5500</v>
      </c>
      <c r="E227" s="1322">
        <v>5780</v>
      </c>
      <c r="F227" s="1330">
        <v>940</v>
      </c>
      <c r="H227" s="1337"/>
    </row>
    <row r="228" spans="1:8" s="1309" customFormat="1" ht="14.25" customHeight="1">
      <c r="A228" s="1317" t="s">
        <v>302</v>
      </c>
      <c r="B228" s="1322" t="s">
        <v>1763</v>
      </c>
      <c r="C228" s="1322">
        <v>5460</v>
      </c>
      <c r="D228" s="1322">
        <v>5420</v>
      </c>
      <c r="E228" s="1322">
        <v>5690</v>
      </c>
      <c r="F228" s="1330">
        <v>910</v>
      </c>
      <c r="H228" s="1337"/>
    </row>
    <row r="229" spans="1:8" s="1309" customFormat="1" ht="14.25" customHeight="1">
      <c r="A229" s="1317" t="s">
        <v>302</v>
      </c>
      <c r="B229" s="1322" t="s">
        <v>1770</v>
      </c>
      <c r="C229" s="1322">
        <v>5310</v>
      </c>
      <c r="D229" s="1322">
        <v>5270</v>
      </c>
      <c r="E229" s="1322">
        <v>5510</v>
      </c>
      <c r="F229" s="1339"/>
      <c r="H229" s="1337"/>
    </row>
    <row r="230" spans="1:8" s="1309" customFormat="1" ht="14.25" customHeight="1">
      <c r="A230" s="1317" t="s">
        <v>302</v>
      </c>
      <c r="B230" s="1322" t="s">
        <v>1777</v>
      </c>
      <c r="C230" s="1322">
        <v>4540</v>
      </c>
      <c r="D230" s="1322">
        <v>4500</v>
      </c>
      <c r="E230" s="1322">
        <v>4730</v>
      </c>
      <c r="F230" s="1339"/>
      <c r="H230" s="1337"/>
    </row>
    <row r="231" spans="1:8" s="1309" customFormat="1" ht="14.25" customHeight="1">
      <c r="A231" s="1317" t="s">
        <v>302</v>
      </c>
      <c r="B231" s="1322" t="s">
        <v>1784</v>
      </c>
      <c r="C231" s="1322">
        <v>4480</v>
      </c>
      <c r="D231" s="1322">
        <v>4410</v>
      </c>
      <c r="E231" s="1322">
        <v>4640</v>
      </c>
      <c r="F231" s="1339"/>
      <c r="H231" s="1337"/>
    </row>
    <row r="232" spans="1:8" s="1309" customFormat="1" ht="14.25" customHeight="1">
      <c r="A232" s="1317" t="s">
        <v>302</v>
      </c>
      <c r="B232" s="1322" t="s">
        <v>1791</v>
      </c>
      <c r="C232" s="1322">
        <v>5670</v>
      </c>
      <c r="D232" s="1322">
        <v>5600</v>
      </c>
      <c r="E232" s="1322">
        <v>5890</v>
      </c>
      <c r="F232" s="1330">
        <v>1150</v>
      </c>
      <c r="H232" s="1337"/>
    </row>
    <row r="233" spans="1:8" s="1309" customFormat="1" ht="14.25" customHeight="1">
      <c r="A233" s="1317" t="s">
        <v>302</v>
      </c>
      <c r="B233" s="1322" t="s">
        <v>1796</v>
      </c>
      <c r="C233" s="1322">
        <v>4590</v>
      </c>
      <c r="D233" s="1322">
        <v>4500</v>
      </c>
      <c r="E233" s="1322">
        <v>4600</v>
      </c>
      <c r="F233" s="1339"/>
      <c r="H233" s="1337"/>
    </row>
    <row r="234" spans="1:8" s="1309" customFormat="1" ht="14.25" customHeight="1">
      <c r="A234" s="1317" t="s">
        <v>302</v>
      </c>
      <c r="B234" s="1322" t="s">
        <v>1801</v>
      </c>
      <c r="C234" s="1322">
        <v>3990</v>
      </c>
      <c r="D234" s="1322">
        <v>3950</v>
      </c>
      <c r="E234" s="1322">
        <v>4180</v>
      </c>
      <c r="F234" s="1339"/>
      <c r="H234" s="1337"/>
    </row>
    <row r="235" spans="1:8" s="1309" customFormat="1" ht="14.25" customHeight="1">
      <c r="A235" s="1317" t="s">
        <v>302</v>
      </c>
      <c r="B235" s="1322" t="s">
        <v>1806</v>
      </c>
      <c r="C235" s="1322">
        <v>5590</v>
      </c>
      <c r="D235" s="1322">
        <v>5540</v>
      </c>
      <c r="E235" s="1322">
        <v>5810</v>
      </c>
      <c r="F235" s="1330">
        <v>970</v>
      </c>
      <c r="H235" s="1337"/>
    </row>
    <row r="236" spans="1:8" s="1309" customFormat="1" ht="14.25" customHeight="1">
      <c r="A236" s="1317" t="s">
        <v>302</v>
      </c>
      <c r="B236" s="1322" t="s">
        <v>1811</v>
      </c>
      <c r="C236" s="1322"/>
      <c r="D236" s="1322"/>
      <c r="E236" s="1322"/>
      <c r="F236" s="1330">
        <v>1020</v>
      </c>
      <c r="H236" s="1337"/>
    </row>
    <row r="237" spans="1:8" s="1309" customFormat="1" ht="14.25" customHeight="1">
      <c r="A237" s="1317" t="s">
        <v>302</v>
      </c>
      <c r="B237" s="1322" t="s">
        <v>1816</v>
      </c>
      <c r="C237" s="1322"/>
      <c r="D237" s="1322"/>
      <c r="E237" s="1322"/>
      <c r="F237" s="1330">
        <v>960</v>
      </c>
      <c r="H237" s="1337"/>
    </row>
    <row r="238" spans="1:8" s="1309" customFormat="1" ht="14.25" customHeight="1">
      <c r="A238" s="1317" t="s">
        <v>302</v>
      </c>
      <c r="B238" s="1322" t="s">
        <v>1821</v>
      </c>
      <c r="C238" s="1322"/>
      <c r="D238" s="1322"/>
      <c r="E238" s="1322"/>
      <c r="F238" s="1330">
        <v>960</v>
      </c>
      <c r="H238" s="1337"/>
    </row>
    <row r="239" spans="1:8" s="1309" customFormat="1" ht="14.25" customHeight="1">
      <c r="A239" s="1317" t="s">
        <v>302</v>
      </c>
      <c r="B239" s="1322" t="s">
        <v>1826</v>
      </c>
      <c r="C239" s="1322"/>
      <c r="D239" s="1322"/>
      <c r="E239" s="1322"/>
      <c r="F239" s="1330">
        <v>960</v>
      </c>
      <c r="H239" s="1337"/>
    </row>
    <row r="240" spans="1:8" s="1309" customFormat="1" ht="14.25" customHeight="1">
      <c r="A240" s="1317" t="s">
        <v>302</v>
      </c>
      <c r="B240" s="1322" t="s">
        <v>1830</v>
      </c>
      <c r="C240" s="1322"/>
      <c r="D240" s="1322"/>
      <c r="E240" s="1322"/>
      <c r="F240" s="1330">
        <v>990</v>
      </c>
      <c r="H240" s="1337"/>
    </row>
    <row r="241" spans="1:8" s="1309" customFormat="1" ht="14.25" customHeight="1">
      <c r="A241" s="1317" t="s">
        <v>302</v>
      </c>
      <c r="B241" s="1322" t="s">
        <v>1834</v>
      </c>
      <c r="C241" s="1322"/>
      <c r="D241" s="1322"/>
      <c r="E241" s="1322"/>
      <c r="F241" s="1330">
        <v>1000</v>
      </c>
      <c r="H241" s="1337"/>
    </row>
    <row r="242" spans="1:8" s="1309" customFormat="1" ht="14.25" customHeight="1">
      <c r="A242" s="1317" t="s">
        <v>302</v>
      </c>
      <c r="B242" s="1322" t="s">
        <v>1838</v>
      </c>
      <c r="C242" s="1322"/>
      <c r="D242" s="1322"/>
      <c r="E242" s="1322"/>
      <c r="F242" s="1330">
        <v>980</v>
      </c>
      <c r="H242" s="1337"/>
    </row>
    <row r="243" spans="1:8" s="1309" customFormat="1" ht="14.25" customHeight="1">
      <c r="A243" s="1317" t="s">
        <v>302</v>
      </c>
      <c r="B243" s="1322" t="s">
        <v>1842</v>
      </c>
      <c r="C243" s="1322"/>
      <c r="D243" s="1322"/>
      <c r="E243" s="1322"/>
      <c r="F243" s="1330">
        <v>970</v>
      </c>
      <c r="H243" s="1337"/>
    </row>
    <row r="244" spans="1:8" s="1309" customFormat="1" ht="14.25" customHeight="1">
      <c r="A244" s="1317" t="s">
        <v>302</v>
      </c>
      <c r="B244" s="1328" t="s">
        <v>1846</v>
      </c>
      <c r="C244" s="1328"/>
      <c r="D244" s="1328"/>
      <c r="E244" s="1328"/>
      <c r="F244" s="1338">
        <v>970</v>
      </c>
      <c r="H244" s="1337"/>
    </row>
    <row r="245" spans="1:8" s="1309" customFormat="1" ht="14.25" customHeight="1">
      <c r="A245" s="1317" t="s">
        <v>305</v>
      </c>
      <c r="B245" s="1318" t="s">
        <v>1539</v>
      </c>
      <c r="C245" s="1318">
        <v>4050</v>
      </c>
      <c r="D245" s="1318">
        <v>4020</v>
      </c>
      <c r="E245" s="1318">
        <v>4160</v>
      </c>
      <c r="F245" s="1319">
        <v>840</v>
      </c>
      <c r="H245" s="1337"/>
    </row>
    <row r="246" spans="1:8" s="1309" customFormat="1" ht="14.25" customHeight="1">
      <c r="A246" s="1317" t="s">
        <v>305</v>
      </c>
      <c r="B246" s="1322" t="s">
        <v>1552</v>
      </c>
      <c r="C246" s="1322">
        <v>4010</v>
      </c>
      <c r="D246" s="1322">
        <v>3960</v>
      </c>
      <c r="E246" s="1322">
        <v>4130</v>
      </c>
      <c r="F246" s="1330">
        <v>840</v>
      </c>
      <c r="H246" s="1337"/>
    </row>
    <row r="247" spans="1:8" s="1309" customFormat="1" ht="14.25" customHeight="1">
      <c r="A247" s="1317" t="s">
        <v>305</v>
      </c>
      <c r="B247" s="1322" t="s">
        <v>1565</v>
      </c>
      <c r="C247" s="1322">
        <v>3170</v>
      </c>
      <c r="D247" s="1322">
        <v>3140</v>
      </c>
      <c r="E247" s="1322">
        <v>3270</v>
      </c>
      <c r="F247" s="1330">
        <v>640</v>
      </c>
      <c r="H247" s="1337"/>
    </row>
    <row r="248" spans="1:8" s="1309" customFormat="1" ht="14.25" customHeight="1">
      <c r="A248" s="1317" t="s">
        <v>305</v>
      </c>
      <c r="B248" s="1322" t="s">
        <v>1577</v>
      </c>
      <c r="C248" s="1322">
        <v>3140</v>
      </c>
      <c r="D248" s="1322">
        <v>3120</v>
      </c>
      <c r="E248" s="1322">
        <v>3240</v>
      </c>
      <c r="F248" s="1330">
        <v>620</v>
      </c>
      <c r="H248" s="1337"/>
    </row>
    <row r="249" spans="1:8" s="1309" customFormat="1" ht="14.25" customHeight="1">
      <c r="A249" s="1317" t="s">
        <v>305</v>
      </c>
      <c r="B249" s="1322" t="s">
        <v>1589</v>
      </c>
      <c r="C249" s="1322">
        <v>3200</v>
      </c>
      <c r="D249" s="1322">
        <v>3100</v>
      </c>
      <c r="E249" s="1322">
        <v>3230</v>
      </c>
      <c r="F249" s="1330">
        <v>750</v>
      </c>
      <c r="H249" s="1337"/>
    </row>
    <row r="250" spans="1:8" s="1309" customFormat="1" ht="14.25" customHeight="1">
      <c r="A250" s="1317" t="s">
        <v>305</v>
      </c>
      <c r="B250" s="1322" t="s">
        <v>1600</v>
      </c>
      <c r="C250" s="1322">
        <v>4060</v>
      </c>
      <c r="D250" s="1322">
        <v>4000</v>
      </c>
      <c r="E250" s="1322">
        <v>4140</v>
      </c>
      <c r="F250" s="1330">
        <v>790</v>
      </c>
      <c r="H250" s="1337"/>
    </row>
    <row r="251" spans="1:8" s="1309" customFormat="1" ht="14.25" customHeight="1">
      <c r="A251" s="1317" t="s">
        <v>305</v>
      </c>
      <c r="B251" s="1322" t="s">
        <v>1611</v>
      </c>
      <c r="C251" s="1322">
        <v>3990</v>
      </c>
      <c r="D251" s="1322">
        <v>3970</v>
      </c>
      <c r="E251" s="1322">
        <v>4110</v>
      </c>
      <c r="F251" s="1330">
        <v>730</v>
      </c>
      <c r="H251" s="1337"/>
    </row>
    <row r="252" spans="1:8" s="1309" customFormat="1" ht="14.25" customHeight="1">
      <c r="A252" s="1317" t="s">
        <v>305</v>
      </c>
      <c r="B252" s="1322" t="s">
        <v>1622</v>
      </c>
      <c r="C252" s="1322">
        <v>3560</v>
      </c>
      <c r="D252" s="1322">
        <v>3530</v>
      </c>
      <c r="E252" s="1322">
        <v>3650</v>
      </c>
      <c r="F252" s="1330">
        <v>750</v>
      </c>
      <c r="H252" s="1337"/>
    </row>
    <row r="253" spans="1:8" s="1309" customFormat="1" ht="14.25" customHeight="1">
      <c r="A253" s="1317" t="s">
        <v>305</v>
      </c>
      <c r="B253" s="1322" t="s">
        <v>1632</v>
      </c>
      <c r="C253" s="1322">
        <v>3780</v>
      </c>
      <c r="D253" s="1322">
        <v>3750</v>
      </c>
      <c r="E253" s="1322">
        <v>3870</v>
      </c>
      <c r="F253" s="1330">
        <v>770</v>
      </c>
      <c r="H253" s="1337"/>
    </row>
    <row r="254" spans="1:8" s="1309" customFormat="1" ht="14.25" customHeight="1">
      <c r="A254" s="1317" t="s">
        <v>305</v>
      </c>
      <c r="B254" s="1322" t="s">
        <v>1642</v>
      </c>
      <c r="C254" s="1344"/>
      <c r="D254" s="1344"/>
      <c r="E254" s="1344"/>
      <c r="F254" s="1330">
        <v>740</v>
      </c>
      <c r="H254" s="1337"/>
    </row>
    <row r="255" spans="1:8" s="1309" customFormat="1" ht="14.25" customHeight="1">
      <c r="A255" s="1317" t="s">
        <v>305</v>
      </c>
      <c r="B255" s="1322" t="s">
        <v>1652</v>
      </c>
      <c r="C255" s="1344"/>
      <c r="D255" s="1344"/>
      <c r="E255" s="1344"/>
      <c r="F255" s="1330">
        <v>760</v>
      </c>
      <c r="H255" s="1337"/>
    </row>
    <row r="256" spans="1:8" s="1309" customFormat="1" ht="14.25" customHeight="1">
      <c r="A256" s="1317" t="s">
        <v>305</v>
      </c>
      <c r="B256" s="1322" t="s">
        <v>1662</v>
      </c>
      <c r="C256" s="1322">
        <v>3760</v>
      </c>
      <c r="D256" s="1322">
        <v>3730</v>
      </c>
      <c r="E256" s="1322">
        <v>3870</v>
      </c>
      <c r="F256" s="1330">
        <v>830</v>
      </c>
      <c r="H256" s="1337"/>
    </row>
    <row r="257" spans="1:8" s="1309" customFormat="1" ht="14.25" customHeight="1">
      <c r="A257" s="1317" t="s">
        <v>305</v>
      </c>
      <c r="B257" s="1322" t="s">
        <v>1672</v>
      </c>
      <c r="C257" s="1322">
        <v>3570</v>
      </c>
      <c r="D257" s="1322">
        <v>3540</v>
      </c>
      <c r="E257" s="1322">
        <v>3650</v>
      </c>
      <c r="F257" s="1330">
        <v>790</v>
      </c>
      <c r="H257" s="1337"/>
    </row>
    <row r="258" spans="1:8" s="1309" customFormat="1" ht="14.25" customHeight="1">
      <c r="A258" s="1317" t="s">
        <v>305</v>
      </c>
      <c r="B258" s="1322" t="s">
        <v>1682</v>
      </c>
      <c r="C258" s="1322">
        <v>3410</v>
      </c>
      <c r="D258" s="1322">
        <v>3380</v>
      </c>
      <c r="E258" s="1322">
        <v>3500</v>
      </c>
      <c r="F258" s="1330">
        <v>830</v>
      </c>
      <c r="H258" s="1337"/>
    </row>
    <row r="259" spans="1:8" s="1309" customFormat="1" ht="14.25" customHeight="1">
      <c r="A259" s="1317" t="s">
        <v>305</v>
      </c>
      <c r="B259" s="1322" t="s">
        <v>1692</v>
      </c>
      <c r="C259" s="1322">
        <v>3870</v>
      </c>
      <c r="D259" s="1322">
        <v>3840</v>
      </c>
      <c r="E259" s="1322">
        <v>3970</v>
      </c>
      <c r="F259" s="1330">
        <v>830</v>
      </c>
      <c r="H259" s="1337"/>
    </row>
    <row r="260" spans="1:8" s="1309" customFormat="1" ht="14.25" customHeight="1">
      <c r="A260" s="1317" t="s">
        <v>305</v>
      </c>
      <c r="B260" s="1322" t="s">
        <v>1702</v>
      </c>
      <c r="C260" s="1322">
        <v>3700</v>
      </c>
      <c r="D260" s="1322">
        <v>3660</v>
      </c>
      <c r="E260" s="1322">
        <v>3810</v>
      </c>
      <c r="F260" s="1330">
        <v>790</v>
      </c>
      <c r="H260" s="1337"/>
    </row>
    <row r="261" spans="1:8" s="1309" customFormat="1" ht="14.25" customHeight="1">
      <c r="A261" s="1317" t="s">
        <v>305</v>
      </c>
      <c r="B261" s="1322" t="s">
        <v>1712</v>
      </c>
      <c r="C261" s="1322">
        <v>3470</v>
      </c>
      <c r="D261" s="1322">
        <v>3430</v>
      </c>
      <c r="E261" s="1322">
        <v>3640</v>
      </c>
      <c r="F261" s="1330">
        <v>760</v>
      </c>
      <c r="H261" s="1337"/>
    </row>
    <row r="262" spans="1:8" s="1309" customFormat="1" ht="14.25" customHeight="1">
      <c r="A262" s="1317" t="s">
        <v>305</v>
      </c>
      <c r="B262" s="1322" t="s">
        <v>1722</v>
      </c>
      <c r="C262" s="1322">
        <v>3510</v>
      </c>
      <c r="D262" s="1322">
        <v>3470</v>
      </c>
      <c r="E262" s="1322">
        <v>3680</v>
      </c>
      <c r="F262" s="1339"/>
      <c r="H262" s="1337"/>
    </row>
    <row r="263" spans="1:8" s="1309" customFormat="1" ht="14.25" customHeight="1">
      <c r="A263" s="1317" t="s">
        <v>305</v>
      </c>
      <c r="B263" s="1322" t="s">
        <v>1732</v>
      </c>
      <c r="C263" s="1322">
        <v>3960</v>
      </c>
      <c r="D263" s="1322">
        <v>3930</v>
      </c>
      <c r="E263" s="1322">
        <v>4070</v>
      </c>
      <c r="F263" s="1330">
        <v>830</v>
      </c>
      <c r="H263" s="1337"/>
    </row>
    <row r="264" spans="1:8" s="1309" customFormat="1" ht="14.25" customHeight="1">
      <c r="A264" s="1317" t="s">
        <v>305</v>
      </c>
      <c r="B264" s="1322" t="s">
        <v>1741</v>
      </c>
      <c r="C264" s="1322">
        <v>4010</v>
      </c>
      <c r="D264" s="1322">
        <v>3980</v>
      </c>
      <c r="E264" s="1322">
        <v>4150</v>
      </c>
      <c r="F264" s="1330">
        <v>760</v>
      </c>
      <c r="H264" s="1337"/>
    </row>
    <row r="265" spans="1:8" s="1309" customFormat="1" ht="14.25" customHeight="1">
      <c r="A265" s="1317" t="s">
        <v>305</v>
      </c>
      <c r="B265" s="1322" t="s">
        <v>1749</v>
      </c>
      <c r="C265" s="1322">
        <v>3910</v>
      </c>
      <c r="D265" s="1322">
        <v>3890</v>
      </c>
      <c r="E265" s="1322">
        <v>4040</v>
      </c>
      <c r="F265" s="1330">
        <v>780</v>
      </c>
      <c r="H265" s="1337"/>
    </row>
    <row r="266" spans="1:8" s="1309" customFormat="1" ht="14.25" customHeight="1">
      <c r="A266" s="1317" t="s">
        <v>305</v>
      </c>
      <c r="B266" s="1322" t="s">
        <v>1757</v>
      </c>
      <c r="C266" s="1322">
        <v>3930</v>
      </c>
      <c r="D266" s="1322">
        <v>3900</v>
      </c>
      <c r="E266" s="1322">
        <v>4080</v>
      </c>
      <c r="F266" s="1330">
        <v>770</v>
      </c>
      <c r="H266" s="1337"/>
    </row>
    <row r="267" spans="1:8" s="1309" customFormat="1" ht="14.25" customHeight="1">
      <c r="A267" s="1317" t="s">
        <v>305</v>
      </c>
      <c r="B267" s="1322" t="s">
        <v>1764</v>
      </c>
      <c r="C267" s="1322">
        <v>3800</v>
      </c>
      <c r="D267" s="1322">
        <v>3780</v>
      </c>
      <c r="E267" s="1322">
        <v>3930</v>
      </c>
      <c r="F267" s="1339"/>
      <c r="H267" s="1337"/>
    </row>
    <row r="268" spans="1:8" s="1309" customFormat="1" ht="14.25" customHeight="1">
      <c r="A268" s="1317" t="s">
        <v>305</v>
      </c>
      <c r="B268" s="1322" t="s">
        <v>1771</v>
      </c>
      <c r="C268" s="1322">
        <v>3460</v>
      </c>
      <c r="D268" s="1322">
        <v>3430</v>
      </c>
      <c r="E268" s="1322">
        <v>3560</v>
      </c>
      <c r="F268" s="1330">
        <v>840</v>
      </c>
      <c r="H268" s="1337"/>
    </row>
    <row r="269" spans="1:8" s="1309" customFormat="1" ht="14.25" customHeight="1">
      <c r="A269" s="1317" t="s">
        <v>305</v>
      </c>
      <c r="B269" s="1322" t="s">
        <v>1778</v>
      </c>
      <c r="C269" s="1322">
        <v>3210</v>
      </c>
      <c r="D269" s="1322">
        <v>3190</v>
      </c>
      <c r="E269" s="1322">
        <v>3310</v>
      </c>
      <c r="F269" s="1330">
        <v>730</v>
      </c>
      <c r="H269" s="1337"/>
    </row>
    <row r="270" spans="1:8" s="1309" customFormat="1" ht="14.25" customHeight="1">
      <c r="A270" s="1317" t="s">
        <v>305</v>
      </c>
      <c r="B270" s="1322" t="s">
        <v>1785</v>
      </c>
      <c r="C270" s="1322">
        <v>3240</v>
      </c>
      <c r="D270" s="1322">
        <v>3210</v>
      </c>
      <c r="E270" s="1322">
        <v>3390</v>
      </c>
      <c r="F270" s="1330">
        <v>820</v>
      </c>
      <c r="H270" s="1337"/>
    </row>
    <row r="271" spans="1:8" s="1309" customFormat="1" ht="14.25" customHeight="1">
      <c r="A271" s="1317" t="s">
        <v>305</v>
      </c>
      <c r="B271" s="1322" t="s">
        <v>1792</v>
      </c>
      <c r="C271" s="1322">
        <v>3300</v>
      </c>
      <c r="D271" s="1322">
        <v>3270</v>
      </c>
      <c r="E271" s="1322">
        <v>3380</v>
      </c>
      <c r="F271" s="1330">
        <v>750</v>
      </c>
      <c r="H271" s="1337"/>
    </row>
    <row r="272" spans="1:8" s="1309" customFormat="1" ht="14.25" customHeight="1">
      <c r="A272" s="1317" t="s">
        <v>305</v>
      </c>
      <c r="B272" s="1322" t="s">
        <v>1797</v>
      </c>
      <c r="C272" s="1344"/>
      <c r="D272" s="1344"/>
      <c r="E272" s="1344"/>
      <c r="F272" s="1330">
        <v>740</v>
      </c>
      <c r="H272" s="1337"/>
    </row>
    <row r="273" spans="1:8" s="1309" customFormat="1" ht="14.25" customHeight="1">
      <c r="A273" s="1317" t="s">
        <v>305</v>
      </c>
      <c r="B273" s="1322" t="s">
        <v>1802</v>
      </c>
      <c r="C273" s="1322">
        <v>3130</v>
      </c>
      <c r="D273" s="1322">
        <v>3100</v>
      </c>
      <c r="E273" s="1322">
        <v>3230</v>
      </c>
      <c r="F273" s="1330">
        <v>700</v>
      </c>
      <c r="H273" s="1337"/>
    </row>
    <row r="274" spans="1:8" s="1309" customFormat="1" ht="14.25" customHeight="1">
      <c r="A274" s="1317" t="s">
        <v>305</v>
      </c>
      <c r="B274" s="1322" t="s">
        <v>1807</v>
      </c>
      <c r="C274" s="1322">
        <v>3460</v>
      </c>
      <c r="D274" s="1322">
        <v>3430</v>
      </c>
      <c r="E274" s="1322">
        <v>3560</v>
      </c>
      <c r="F274" s="1330">
        <v>690</v>
      </c>
      <c r="H274" s="1337"/>
    </row>
    <row r="275" spans="1:8" s="1309" customFormat="1" ht="14.25" customHeight="1">
      <c r="A275" s="1317" t="s">
        <v>305</v>
      </c>
      <c r="B275" s="1322" t="s">
        <v>1812</v>
      </c>
      <c r="C275" s="1322">
        <v>4040</v>
      </c>
      <c r="D275" s="1322">
        <v>4020</v>
      </c>
      <c r="E275" s="1322">
        <v>4160</v>
      </c>
      <c r="F275" s="1330">
        <v>820</v>
      </c>
      <c r="H275" s="1337"/>
    </row>
    <row r="276" spans="1:8" s="1309" customFormat="1" ht="14.25" customHeight="1">
      <c r="A276" s="1317" t="s">
        <v>305</v>
      </c>
      <c r="B276" s="1322" t="s">
        <v>1817</v>
      </c>
      <c r="C276" s="1322">
        <v>3270</v>
      </c>
      <c r="D276" s="1322">
        <v>3240</v>
      </c>
      <c r="E276" s="1322">
        <v>3350</v>
      </c>
      <c r="F276" s="1330">
        <v>680</v>
      </c>
      <c r="H276" s="1337"/>
    </row>
    <row r="277" spans="1:8" s="1309" customFormat="1" ht="14.25" customHeight="1">
      <c r="A277" s="1317" t="s">
        <v>305</v>
      </c>
      <c r="B277" s="1322" t="s">
        <v>1822</v>
      </c>
      <c r="C277" s="1322">
        <v>2930</v>
      </c>
      <c r="D277" s="1322">
        <v>2900</v>
      </c>
      <c r="E277" s="1322">
        <v>3000</v>
      </c>
      <c r="F277" s="1330">
        <v>640</v>
      </c>
      <c r="H277" s="1337"/>
    </row>
    <row r="278" spans="1:8" s="1309" customFormat="1" ht="14.25" customHeight="1">
      <c r="A278" s="1317" t="s">
        <v>305</v>
      </c>
      <c r="B278" s="1322" t="s">
        <v>1827</v>
      </c>
      <c r="C278" s="1322">
        <v>4080</v>
      </c>
      <c r="D278" s="1322">
        <v>4030</v>
      </c>
      <c r="E278" s="1322">
        <v>4140</v>
      </c>
      <c r="F278" s="1330">
        <v>850</v>
      </c>
      <c r="H278" s="1337"/>
    </row>
    <row r="279" spans="1:8" s="1309" customFormat="1" ht="14.25" customHeight="1">
      <c r="A279" s="1317" t="s">
        <v>305</v>
      </c>
      <c r="B279" s="1322" t="s">
        <v>1831</v>
      </c>
      <c r="C279" s="1322"/>
      <c r="D279" s="1322"/>
      <c r="E279" s="1322"/>
      <c r="F279" s="1330">
        <v>760</v>
      </c>
      <c r="H279" s="1337"/>
    </row>
    <row r="280" spans="1:8" s="1309" customFormat="1" ht="14.25" customHeight="1">
      <c r="A280" s="1317" t="s">
        <v>305</v>
      </c>
      <c r="B280" s="1322" t="s">
        <v>1835</v>
      </c>
      <c r="C280" s="1322"/>
      <c r="D280" s="1322"/>
      <c r="E280" s="1322"/>
      <c r="F280" s="1330">
        <v>760</v>
      </c>
      <c r="H280" s="1337"/>
    </row>
    <row r="281" spans="1:8" s="1309" customFormat="1" ht="14.25" customHeight="1">
      <c r="A281" s="1317" t="s">
        <v>305</v>
      </c>
      <c r="B281" s="1322" t="s">
        <v>1839</v>
      </c>
      <c r="C281" s="1322"/>
      <c r="D281" s="1322"/>
      <c r="E281" s="1322"/>
      <c r="F281" s="1330">
        <v>780</v>
      </c>
      <c r="H281" s="1337"/>
    </row>
    <row r="282" spans="1:8" s="1309" customFormat="1" ht="14.25" customHeight="1">
      <c r="A282" s="1317" t="s">
        <v>305</v>
      </c>
      <c r="B282" s="1322" t="s">
        <v>1843</v>
      </c>
      <c r="C282" s="1322"/>
      <c r="D282" s="1322"/>
      <c r="E282" s="1322"/>
      <c r="F282" s="1330">
        <v>730</v>
      </c>
      <c r="H282" s="1337"/>
    </row>
    <row r="283" spans="1:8" s="1309" customFormat="1" ht="14.25" customHeight="1">
      <c r="A283" s="1317" t="s">
        <v>305</v>
      </c>
      <c r="B283" s="1322" t="s">
        <v>1847</v>
      </c>
      <c r="C283" s="1322"/>
      <c r="D283" s="1322"/>
      <c r="E283" s="1322"/>
      <c r="F283" s="1330">
        <v>770</v>
      </c>
      <c r="H283" s="1337"/>
    </row>
    <row r="284" spans="1:8" s="1309" customFormat="1" ht="14.25" customHeight="1">
      <c r="A284" s="1317" t="s">
        <v>305</v>
      </c>
      <c r="B284" s="1322" t="s">
        <v>1850</v>
      </c>
      <c r="C284" s="1322"/>
      <c r="D284" s="1322"/>
      <c r="E284" s="1322"/>
      <c r="F284" s="1330">
        <v>640</v>
      </c>
      <c r="H284" s="1337"/>
    </row>
    <row r="285" spans="1:8" s="1309" customFormat="1" ht="14.25" customHeight="1">
      <c r="A285" s="1317" t="s">
        <v>305</v>
      </c>
      <c r="B285" s="1322" t="s">
        <v>1853</v>
      </c>
      <c r="C285" s="1322"/>
      <c r="D285" s="1322"/>
      <c r="E285" s="1322"/>
      <c r="F285" s="1330">
        <v>640</v>
      </c>
      <c r="H285" s="1337"/>
    </row>
    <row r="286" spans="1:8" s="1309" customFormat="1" ht="14.25" customHeight="1">
      <c r="A286" s="1317" t="s">
        <v>305</v>
      </c>
      <c r="B286" s="1322" t="s">
        <v>1856</v>
      </c>
      <c r="C286" s="1322"/>
      <c r="D286" s="1322"/>
      <c r="E286" s="1322"/>
      <c r="F286" s="1330">
        <v>850</v>
      </c>
      <c r="H286" s="1337"/>
    </row>
    <row r="287" spans="1:8" s="1309" customFormat="1" ht="14.25" customHeight="1">
      <c r="A287" s="1317" t="s">
        <v>305</v>
      </c>
      <c r="B287" s="1322" t="s">
        <v>1859</v>
      </c>
      <c r="C287" s="1322"/>
      <c r="D287" s="1322"/>
      <c r="E287" s="1322"/>
      <c r="F287" s="1330">
        <v>760</v>
      </c>
      <c r="H287" s="1337"/>
    </row>
    <row r="288" spans="1:8" s="1309" customFormat="1" ht="14.25" customHeight="1">
      <c r="A288" s="1317" t="s">
        <v>305</v>
      </c>
      <c r="B288" s="1322" t="s">
        <v>1862</v>
      </c>
      <c r="C288" s="1322"/>
      <c r="D288" s="1322"/>
      <c r="E288" s="1322"/>
      <c r="F288" s="1330">
        <v>830</v>
      </c>
      <c r="H288" s="1337"/>
    </row>
    <row r="289" spans="1:8" s="1309" customFormat="1" ht="14.25" customHeight="1">
      <c r="A289" s="1317" t="s">
        <v>305</v>
      </c>
      <c r="B289" s="1328" t="s">
        <v>1865</v>
      </c>
      <c r="C289" s="1328"/>
      <c r="D289" s="1328"/>
      <c r="E289" s="1328"/>
      <c r="F289" s="1338">
        <v>680</v>
      </c>
      <c r="H289" s="1337"/>
    </row>
    <row r="290" spans="1:8" s="1309" customFormat="1" ht="14.25" customHeight="1">
      <c r="A290" s="1317" t="s">
        <v>308</v>
      </c>
      <c r="B290" s="1318" t="s">
        <v>1540</v>
      </c>
      <c r="C290" s="1318">
        <v>2770</v>
      </c>
      <c r="D290" s="1318">
        <v>2740</v>
      </c>
      <c r="E290" s="1318">
        <v>2720</v>
      </c>
      <c r="F290" s="1345"/>
      <c r="H290" s="1337"/>
    </row>
    <row r="291" spans="1:8" s="1309" customFormat="1" ht="14.25" customHeight="1">
      <c r="A291" s="1317" t="s">
        <v>308</v>
      </c>
      <c r="B291" s="1322" t="s">
        <v>1553</v>
      </c>
      <c r="C291" s="1322">
        <v>2670</v>
      </c>
      <c r="D291" s="1322">
        <v>2640</v>
      </c>
      <c r="E291" s="1322">
        <v>2620</v>
      </c>
      <c r="F291" s="1339"/>
      <c r="H291" s="1337"/>
    </row>
    <row r="292" spans="1:8" s="1309" customFormat="1" ht="14.25" customHeight="1">
      <c r="A292" s="1317" t="s">
        <v>308</v>
      </c>
      <c r="B292" s="1322" t="s">
        <v>1566</v>
      </c>
      <c r="C292" s="1322">
        <v>2180</v>
      </c>
      <c r="D292" s="1322">
        <v>2140</v>
      </c>
      <c r="E292" s="1322">
        <v>2120</v>
      </c>
      <c r="F292" s="1330">
        <v>490</v>
      </c>
      <c r="H292" s="1337"/>
    </row>
    <row r="293" spans="1:8" s="1309" customFormat="1" ht="14.25" customHeight="1">
      <c r="A293" s="1317" t="s">
        <v>308</v>
      </c>
      <c r="B293" s="1322" t="s">
        <v>1872</v>
      </c>
      <c r="C293" s="1322"/>
      <c r="D293" s="1322"/>
      <c r="E293" s="1322"/>
      <c r="F293" s="1330">
        <v>470</v>
      </c>
      <c r="H293" s="1337"/>
    </row>
    <row r="294" spans="1:8" s="1309" customFormat="1" ht="14.25" customHeight="1">
      <c r="A294" s="1317" t="s">
        <v>308</v>
      </c>
      <c r="B294" s="1322" t="s">
        <v>1578</v>
      </c>
      <c r="C294" s="1322">
        <v>2730</v>
      </c>
      <c r="D294" s="1322">
        <v>2700</v>
      </c>
      <c r="E294" s="1322">
        <v>2680</v>
      </c>
      <c r="F294" s="1330">
        <v>490</v>
      </c>
      <c r="H294" s="1337"/>
    </row>
    <row r="295" spans="1:8" s="1309" customFormat="1" ht="14.25" customHeight="1">
      <c r="A295" s="1317" t="s">
        <v>308</v>
      </c>
      <c r="B295" s="1322" t="s">
        <v>1590</v>
      </c>
      <c r="C295" s="1322">
        <v>2380</v>
      </c>
      <c r="D295" s="1322">
        <v>2350</v>
      </c>
      <c r="E295" s="1322">
        <v>2330</v>
      </c>
      <c r="F295" s="1330">
        <v>530</v>
      </c>
      <c r="H295" s="1337"/>
    </row>
    <row r="296" spans="1:8" s="1309" customFormat="1" ht="14.25" customHeight="1">
      <c r="A296" s="1317" t="s">
        <v>308</v>
      </c>
      <c r="B296" s="1322" t="s">
        <v>1601</v>
      </c>
      <c r="C296" s="1322">
        <v>2650</v>
      </c>
      <c r="D296" s="1322">
        <v>2620</v>
      </c>
      <c r="E296" s="1322">
        <v>2590</v>
      </c>
      <c r="F296" s="1330">
        <v>590</v>
      </c>
      <c r="H296" s="1337"/>
    </row>
    <row r="297" spans="1:8" s="1309" customFormat="1" ht="14.25" customHeight="1">
      <c r="A297" s="1317" t="s">
        <v>308</v>
      </c>
      <c r="B297" s="1322" t="s">
        <v>1612</v>
      </c>
      <c r="C297" s="1322">
        <v>2700</v>
      </c>
      <c r="D297" s="1322">
        <v>2670</v>
      </c>
      <c r="E297" s="1322">
        <v>2650</v>
      </c>
      <c r="F297" s="1330">
        <v>630</v>
      </c>
      <c r="H297" s="1337"/>
    </row>
    <row r="298" spans="1:8" s="1309" customFormat="1" ht="14.25" customHeight="1">
      <c r="A298" s="1317" t="s">
        <v>308</v>
      </c>
      <c r="B298" s="1322" t="s">
        <v>1623</v>
      </c>
      <c r="C298" s="1322">
        <v>2650</v>
      </c>
      <c r="D298" s="1322">
        <v>2620</v>
      </c>
      <c r="E298" s="1322">
        <v>2590</v>
      </c>
      <c r="F298" s="1330">
        <v>640</v>
      </c>
      <c r="H298" s="1337"/>
    </row>
    <row r="299" spans="1:8" s="1309" customFormat="1" ht="14.25" customHeight="1">
      <c r="A299" s="1317" t="s">
        <v>308</v>
      </c>
      <c r="B299" s="1322" t="s">
        <v>1633</v>
      </c>
      <c r="C299" s="1322">
        <v>2500</v>
      </c>
      <c r="D299" s="1322">
        <v>2480</v>
      </c>
      <c r="E299" s="1322">
        <v>2460</v>
      </c>
      <c r="F299" s="1339"/>
      <c r="H299" s="1337"/>
    </row>
    <row r="300" spans="1:8" s="1309" customFormat="1" ht="14.25" customHeight="1">
      <c r="A300" s="1317" t="s">
        <v>308</v>
      </c>
      <c r="B300" s="1322" t="s">
        <v>1643</v>
      </c>
      <c r="C300" s="1322">
        <v>2760</v>
      </c>
      <c r="D300" s="1322">
        <v>2730</v>
      </c>
      <c r="E300" s="1322">
        <v>2700</v>
      </c>
      <c r="F300" s="1330">
        <v>630</v>
      </c>
      <c r="H300" s="1337"/>
    </row>
    <row r="301" spans="1:8" s="1309" customFormat="1" ht="14.25" customHeight="1">
      <c r="A301" s="1317" t="s">
        <v>308</v>
      </c>
      <c r="B301" s="1322" t="s">
        <v>1653</v>
      </c>
      <c r="C301" s="1322">
        <v>2510</v>
      </c>
      <c r="D301" s="1322">
        <v>2480</v>
      </c>
      <c r="E301" s="1322">
        <v>2460</v>
      </c>
      <c r="F301" s="1339"/>
      <c r="H301" s="1337"/>
    </row>
    <row r="302" spans="1:8" s="1309" customFormat="1" ht="14.25" customHeight="1">
      <c r="A302" s="1317" t="s">
        <v>308</v>
      </c>
      <c r="B302" s="1322" t="s">
        <v>1663</v>
      </c>
      <c r="C302" s="1322">
        <v>2480</v>
      </c>
      <c r="D302" s="1322">
        <v>2450</v>
      </c>
      <c r="E302" s="1322">
        <v>2420</v>
      </c>
      <c r="F302" s="1330">
        <v>600</v>
      </c>
      <c r="H302" s="1337"/>
    </row>
    <row r="303" spans="1:8" s="1309" customFormat="1" ht="14.25" customHeight="1">
      <c r="A303" s="1317" t="s">
        <v>308</v>
      </c>
      <c r="B303" s="1322" t="s">
        <v>1673</v>
      </c>
      <c r="C303" s="1322">
        <v>2270</v>
      </c>
      <c r="D303" s="1322">
        <v>2240</v>
      </c>
      <c r="E303" s="1322">
        <v>2210</v>
      </c>
      <c r="F303" s="1330">
        <v>540</v>
      </c>
      <c r="H303" s="1337"/>
    </row>
    <row r="304" spans="1:8" s="1309" customFormat="1" ht="14.25" customHeight="1">
      <c r="A304" s="1317" t="s">
        <v>308</v>
      </c>
      <c r="B304" s="1322" t="s">
        <v>1683</v>
      </c>
      <c r="C304" s="1322">
        <v>2310</v>
      </c>
      <c r="D304" s="1322">
        <v>2290</v>
      </c>
      <c r="E304" s="1322">
        <v>2270</v>
      </c>
      <c r="F304" s="1339"/>
      <c r="H304" s="1337"/>
    </row>
    <row r="305" spans="1:8" s="1309" customFormat="1" ht="14.25" customHeight="1">
      <c r="A305" s="1317" t="s">
        <v>308</v>
      </c>
      <c r="B305" s="1322" t="s">
        <v>1693</v>
      </c>
      <c r="C305" s="1322">
        <v>2490</v>
      </c>
      <c r="D305" s="1322">
        <v>2470</v>
      </c>
      <c r="E305" s="1322">
        <v>2440</v>
      </c>
      <c r="F305" s="1330">
        <v>560</v>
      </c>
      <c r="H305" s="1337"/>
    </row>
    <row r="306" spans="1:8" s="1309" customFormat="1" ht="14.25" customHeight="1">
      <c r="A306" s="1317" t="s">
        <v>308</v>
      </c>
      <c r="B306" s="1322" t="s">
        <v>1703</v>
      </c>
      <c r="C306" s="1322">
        <v>2420</v>
      </c>
      <c r="D306" s="1322">
        <v>2400</v>
      </c>
      <c r="E306" s="1322">
        <v>2380</v>
      </c>
      <c r="F306" s="1339"/>
      <c r="H306" s="1337"/>
    </row>
    <row r="307" spans="1:8" s="1309" customFormat="1" ht="14.25" customHeight="1">
      <c r="A307" s="1317" t="s">
        <v>308</v>
      </c>
      <c r="B307" s="1322" t="s">
        <v>1713</v>
      </c>
      <c r="C307" s="1322">
        <v>2770</v>
      </c>
      <c r="D307" s="1322">
        <v>2740</v>
      </c>
      <c r="E307" s="1322">
        <v>2710</v>
      </c>
      <c r="F307" s="1330">
        <v>650</v>
      </c>
      <c r="H307" s="1337"/>
    </row>
    <row r="308" spans="1:8" s="1309" customFormat="1" ht="14.25" customHeight="1">
      <c r="A308" s="1317" t="s">
        <v>308</v>
      </c>
      <c r="B308" s="1322" t="s">
        <v>1723</v>
      </c>
      <c r="C308" s="1322">
        <v>2610</v>
      </c>
      <c r="D308" s="1322">
        <v>2580</v>
      </c>
      <c r="E308" s="1322">
        <v>2550</v>
      </c>
      <c r="F308" s="1330">
        <v>580</v>
      </c>
      <c r="H308" s="1337"/>
    </row>
    <row r="309" spans="1:8" s="1309" customFormat="1" ht="14.25" customHeight="1">
      <c r="A309" s="1317" t="s">
        <v>308</v>
      </c>
      <c r="B309" s="1322" t="s">
        <v>1733</v>
      </c>
      <c r="C309" s="1322">
        <v>2690</v>
      </c>
      <c r="D309" s="1322">
        <v>2670</v>
      </c>
      <c r="E309" s="1322">
        <v>2650</v>
      </c>
      <c r="F309" s="1339"/>
      <c r="H309" s="1337"/>
    </row>
    <row r="310" spans="1:8" s="1309" customFormat="1" ht="14.25" customHeight="1">
      <c r="A310" s="1317" t="s">
        <v>308</v>
      </c>
      <c r="B310" s="1322" t="s">
        <v>1742</v>
      </c>
      <c r="C310" s="1322">
        <v>2360</v>
      </c>
      <c r="D310" s="1322">
        <v>2330</v>
      </c>
      <c r="E310" s="1322">
        <v>2310</v>
      </c>
      <c r="F310" s="1330">
        <v>560</v>
      </c>
      <c r="H310" s="1337"/>
    </row>
    <row r="311" spans="1:8" s="1309" customFormat="1" ht="14.25" customHeight="1">
      <c r="A311" s="1317" t="s">
        <v>308</v>
      </c>
      <c r="B311" s="1322" t="s">
        <v>1750</v>
      </c>
      <c r="C311" s="1322">
        <v>1970</v>
      </c>
      <c r="D311" s="1322">
        <v>1950</v>
      </c>
      <c r="E311" s="1322">
        <v>1920</v>
      </c>
      <c r="F311" s="1330">
        <v>470</v>
      </c>
      <c r="H311" s="1337"/>
    </row>
    <row r="312" spans="1:8" s="1309" customFormat="1" ht="14.25" customHeight="1">
      <c r="A312" s="1317" t="s">
        <v>308</v>
      </c>
      <c r="B312" s="1322" t="s">
        <v>1758</v>
      </c>
      <c r="C312" s="1322">
        <v>2230</v>
      </c>
      <c r="D312" s="1322">
        <v>2200</v>
      </c>
      <c r="E312" s="1322">
        <v>2170</v>
      </c>
      <c r="F312" s="1330">
        <v>460</v>
      </c>
      <c r="H312" s="1337"/>
    </row>
    <row r="313" spans="1:8" s="1309" customFormat="1" ht="14.25" customHeight="1">
      <c r="A313" s="1317" t="s">
        <v>308</v>
      </c>
      <c r="B313" s="1322" t="s">
        <v>1765</v>
      </c>
      <c r="C313" s="1322">
        <v>2770</v>
      </c>
      <c r="D313" s="1322">
        <v>2740</v>
      </c>
      <c r="E313" s="1322">
        <v>2710</v>
      </c>
      <c r="F313" s="1330">
        <v>610</v>
      </c>
      <c r="H313" s="1337"/>
    </row>
    <row r="314" spans="1:8" s="1309" customFormat="1" ht="14.25" customHeight="1">
      <c r="A314" s="1317" t="s">
        <v>308</v>
      </c>
      <c r="B314" s="1322" t="s">
        <v>1772</v>
      </c>
      <c r="C314" s="1322"/>
      <c r="D314" s="1322"/>
      <c r="E314" s="1322"/>
      <c r="F314" s="1330">
        <v>490</v>
      </c>
      <c r="H314" s="1337"/>
    </row>
    <row r="315" spans="1:8" s="1309" customFormat="1" ht="14.25" customHeight="1">
      <c r="A315" s="1317" t="s">
        <v>308</v>
      </c>
      <c r="B315" s="1322" t="s">
        <v>1779</v>
      </c>
      <c r="C315" s="1322"/>
      <c r="D315" s="1322"/>
      <c r="E315" s="1322"/>
      <c r="F315" s="1330">
        <v>520</v>
      </c>
      <c r="H315" s="1337"/>
    </row>
    <row r="316" spans="1:8" s="1309" customFormat="1" ht="14.25" customHeight="1">
      <c r="A316" s="1317" t="s">
        <v>308</v>
      </c>
      <c r="B316" s="1328" t="s">
        <v>1786</v>
      </c>
      <c r="C316" s="1328"/>
      <c r="D316" s="1328"/>
      <c r="E316" s="1328"/>
      <c r="F316" s="1338">
        <v>460</v>
      </c>
      <c r="H316" s="1337"/>
    </row>
    <row r="317" spans="1:8" s="1309" customFormat="1" ht="14.25" customHeight="1">
      <c r="A317" s="1317" t="s">
        <v>311</v>
      </c>
      <c r="B317" s="1318" t="s">
        <v>1541</v>
      </c>
      <c r="C317" s="1318">
        <v>1200</v>
      </c>
      <c r="D317" s="1318">
        <v>1180</v>
      </c>
      <c r="E317" s="1318">
        <v>1160</v>
      </c>
      <c r="F317" s="1319">
        <v>370</v>
      </c>
      <c r="H317" s="1311"/>
    </row>
    <row r="318" spans="1:8" s="1309" customFormat="1" ht="14.25" customHeight="1">
      <c r="A318" s="1317" t="s">
        <v>311</v>
      </c>
      <c r="B318" s="1322" t="s">
        <v>1554</v>
      </c>
      <c r="C318" s="1322">
        <v>1090</v>
      </c>
      <c r="D318" s="1322">
        <v>1060</v>
      </c>
      <c r="E318" s="1322">
        <v>1040</v>
      </c>
      <c r="F318" s="1339"/>
      <c r="H318" s="1311"/>
    </row>
    <row r="319" spans="1:8" s="1309" customFormat="1" ht="14.25" customHeight="1">
      <c r="A319" s="1317" t="s">
        <v>311</v>
      </c>
      <c r="B319" s="1322" t="s">
        <v>1567</v>
      </c>
      <c r="C319" s="1322">
        <v>1520</v>
      </c>
      <c r="D319" s="1322">
        <v>1470</v>
      </c>
      <c r="E319" s="1322">
        <v>1440</v>
      </c>
      <c r="F319" s="1330">
        <v>370</v>
      </c>
      <c r="H319" s="1311"/>
    </row>
    <row r="320" spans="1:8" s="1309" customFormat="1" ht="14.25" customHeight="1">
      <c r="A320" s="1317" t="s">
        <v>311</v>
      </c>
      <c r="B320" s="1322" t="s">
        <v>1579</v>
      </c>
      <c r="C320" s="1322">
        <v>1360</v>
      </c>
      <c r="D320" s="1322">
        <v>1300</v>
      </c>
      <c r="E320" s="1322">
        <v>1270</v>
      </c>
      <c r="F320" s="1339"/>
      <c r="H320" s="1311"/>
    </row>
    <row r="321" spans="1:8" s="1309" customFormat="1" ht="14.25" customHeight="1">
      <c r="A321" s="1317" t="s">
        <v>311</v>
      </c>
      <c r="B321" s="1322" t="s">
        <v>1591</v>
      </c>
      <c r="C321" s="1322">
        <v>1750</v>
      </c>
      <c r="D321" s="1322">
        <v>1690</v>
      </c>
      <c r="E321" s="1322">
        <v>1660</v>
      </c>
      <c r="F321" s="1339"/>
      <c r="H321" s="1311"/>
    </row>
    <row r="322" spans="1:8" s="1309" customFormat="1" ht="14.25" customHeight="1">
      <c r="A322" s="1317" t="s">
        <v>311</v>
      </c>
      <c r="B322" s="1322" t="s">
        <v>1602</v>
      </c>
      <c r="C322" s="1322">
        <v>1650</v>
      </c>
      <c r="D322" s="1322">
        <v>1610</v>
      </c>
      <c r="E322" s="1322">
        <v>1580</v>
      </c>
      <c r="F322" s="1330">
        <v>500</v>
      </c>
      <c r="H322" s="1311"/>
    </row>
    <row r="323" spans="1:8" s="1309" customFormat="1" ht="14.25" customHeight="1">
      <c r="A323" s="1317" t="s">
        <v>311</v>
      </c>
      <c r="B323" s="1322" t="s">
        <v>1613</v>
      </c>
      <c r="C323" s="1322">
        <v>1780</v>
      </c>
      <c r="D323" s="1322">
        <v>1740</v>
      </c>
      <c r="E323" s="1322">
        <v>1720</v>
      </c>
      <c r="F323" s="1339"/>
      <c r="H323" s="1311"/>
    </row>
    <row r="324" spans="1:8" s="1309" customFormat="1" ht="14.25" customHeight="1">
      <c r="A324" s="1317" t="s">
        <v>311</v>
      </c>
      <c r="B324" s="1322" t="s">
        <v>1624</v>
      </c>
      <c r="C324" s="1322">
        <v>1650</v>
      </c>
      <c r="D324" s="1322">
        <v>1610</v>
      </c>
      <c r="E324" s="1322">
        <v>1580</v>
      </c>
      <c r="F324" s="1339"/>
      <c r="H324" s="1311"/>
    </row>
    <row r="325" spans="1:8" s="1309" customFormat="1" ht="14.25" customHeight="1">
      <c r="A325" s="1317" t="s">
        <v>311</v>
      </c>
      <c r="B325" s="1322" t="s">
        <v>1634</v>
      </c>
      <c r="C325" s="1322">
        <v>1330</v>
      </c>
      <c r="D325" s="1322">
        <v>1270</v>
      </c>
      <c r="E325" s="1322">
        <v>1240</v>
      </c>
      <c r="F325" s="1330">
        <v>430</v>
      </c>
      <c r="H325" s="1311"/>
    </row>
    <row r="326" spans="1:8" s="1309" customFormat="1" ht="14.25" customHeight="1">
      <c r="A326" s="1317" t="s">
        <v>311</v>
      </c>
      <c r="B326" s="1322" t="s">
        <v>1644</v>
      </c>
      <c r="C326" s="1322">
        <v>1470</v>
      </c>
      <c r="D326" s="1322">
        <v>1430</v>
      </c>
      <c r="E326" s="1322">
        <v>1400</v>
      </c>
      <c r="F326" s="1339"/>
      <c r="H326" s="1311"/>
    </row>
    <row r="327" spans="1:8" s="1309" customFormat="1" ht="14.25" customHeight="1">
      <c r="A327" s="1317" t="s">
        <v>311</v>
      </c>
      <c r="B327" s="1322" t="s">
        <v>1654</v>
      </c>
      <c r="C327" s="1322">
        <v>1420</v>
      </c>
      <c r="D327" s="1322">
        <v>1380</v>
      </c>
      <c r="E327" s="1322">
        <v>1360</v>
      </c>
      <c r="F327" s="1330">
        <v>420</v>
      </c>
      <c r="H327" s="1311"/>
    </row>
    <row r="328" spans="1:8" s="1309" customFormat="1" ht="14.25" customHeight="1">
      <c r="A328" s="1317" t="s">
        <v>311</v>
      </c>
      <c r="B328" s="1322" t="s">
        <v>1664</v>
      </c>
      <c r="C328" s="1322">
        <v>1400</v>
      </c>
      <c r="D328" s="1322">
        <v>1360</v>
      </c>
      <c r="E328" s="1322">
        <v>1330</v>
      </c>
      <c r="F328" s="1330">
        <v>460</v>
      </c>
      <c r="H328" s="1311"/>
    </row>
    <row r="329" spans="1:8" s="1309" customFormat="1" ht="14.25" customHeight="1">
      <c r="A329" s="1317" t="s">
        <v>311</v>
      </c>
      <c r="B329" s="1322" t="s">
        <v>1674</v>
      </c>
      <c r="C329" s="1322">
        <v>1640</v>
      </c>
      <c r="D329" s="1322">
        <v>1610</v>
      </c>
      <c r="E329" s="1322">
        <v>1580</v>
      </c>
      <c r="F329" s="1330">
        <v>410</v>
      </c>
      <c r="H329" s="1311"/>
    </row>
    <row r="330" spans="1:8" s="1309" customFormat="1" ht="14.25" customHeight="1">
      <c r="A330" s="1317" t="s">
        <v>311</v>
      </c>
      <c r="B330" s="1322" t="s">
        <v>1684</v>
      </c>
      <c r="C330" s="1322">
        <v>1260</v>
      </c>
      <c r="D330" s="1322">
        <v>1220</v>
      </c>
      <c r="E330" s="1322">
        <v>1200</v>
      </c>
      <c r="F330" s="1339"/>
      <c r="H330" s="1311"/>
    </row>
    <row r="331" spans="1:8" s="1309" customFormat="1" ht="14.25" customHeight="1">
      <c r="A331" s="1317" t="s">
        <v>311</v>
      </c>
      <c r="B331" s="1322" t="s">
        <v>1694</v>
      </c>
      <c r="C331" s="1322">
        <v>1620</v>
      </c>
      <c r="D331" s="1322">
        <v>1560</v>
      </c>
      <c r="E331" s="1322">
        <v>1530</v>
      </c>
      <c r="F331" s="1330">
        <v>490</v>
      </c>
      <c r="H331" s="1311"/>
    </row>
    <row r="332" spans="1:8" s="1309" customFormat="1" ht="14.25" customHeight="1">
      <c r="A332" s="1317" t="s">
        <v>311</v>
      </c>
      <c r="B332" s="1322" t="s">
        <v>1704</v>
      </c>
      <c r="C332" s="1322">
        <v>1520</v>
      </c>
      <c r="D332" s="1322">
        <v>1470</v>
      </c>
      <c r="E332" s="1322">
        <v>1440</v>
      </c>
      <c r="F332" s="1330">
        <v>440</v>
      </c>
      <c r="H332" s="1311"/>
    </row>
    <row r="333" spans="1:8" s="1309" customFormat="1" ht="14.25" customHeight="1">
      <c r="A333" s="1317" t="s">
        <v>311</v>
      </c>
      <c r="B333" s="1322" t="s">
        <v>1714</v>
      </c>
      <c r="C333" s="1322">
        <v>1370</v>
      </c>
      <c r="D333" s="1322">
        <v>1320</v>
      </c>
      <c r="E333" s="1322">
        <v>1300</v>
      </c>
      <c r="F333" s="1330">
        <v>460</v>
      </c>
      <c r="H333" s="1311"/>
    </row>
    <row r="334" spans="1:8" s="1309" customFormat="1" ht="14.25" customHeight="1">
      <c r="A334" s="1317" t="s">
        <v>311</v>
      </c>
      <c r="B334" s="1322" t="s">
        <v>1724</v>
      </c>
      <c r="C334" s="1322">
        <v>1410</v>
      </c>
      <c r="D334" s="1322">
        <v>1340</v>
      </c>
      <c r="E334" s="1322">
        <v>1310</v>
      </c>
      <c r="F334" s="1330">
        <v>410</v>
      </c>
      <c r="H334" s="1311"/>
    </row>
    <row r="335" spans="1:8" s="1309" customFormat="1" ht="14.25" customHeight="1">
      <c r="A335" s="1317" t="s">
        <v>311</v>
      </c>
      <c r="B335" s="1322" t="s">
        <v>1734</v>
      </c>
      <c r="C335" s="1322">
        <v>1260</v>
      </c>
      <c r="D335" s="1322">
        <v>1220</v>
      </c>
      <c r="E335" s="1322">
        <v>1200</v>
      </c>
      <c r="F335" s="1339"/>
      <c r="H335" s="1311"/>
    </row>
    <row r="336" spans="1:8" s="1309" customFormat="1" ht="14.25" customHeight="1">
      <c r="A336" s="1317" t="s">
        <v>311</v>
      </c>
      <c r="B336" s="1322" t="s">
        <v>1743</v>
      </c>
      <c r="C336" s="1322">
        <v>1160</v>
      </c>
      <c r="D336" s="1322">
        <v>1140</v>
      </c>
      <c r="E336" s="1322">
        <v>1120</v>
      </c>
      <c r="F336" s="1330">
        <v>430</v>
      </c>
      <c r="H336" s="1311"/>
    </row>
    <row r="337" spans="1:8" s="1309" customFormat="1" ht="14.25" customHeight="1">
      <c r="A337" s="1317" t="s">
        <v>311</v>
      </c>
      <c r="B337" s="1328" t="s">
        <v>1751</v>
      </c>
      <c r="C337" s="1328"/>
      <c r="D337" s="1328"/>
      <c r="E337" s="1328"/>
      <c r="F337" s="1338">
        <v>380</v>
      </c>
      <c r="H337" s="1311"/>
    </row>
    <row r="338" spans="1:8" s="1309" customFormat="1" ht="14.25" customHeight="1">
      <c r="A338" s="1317" t="s">
        <v>314</v>
      </c>
      <c r="B338" s="1318" t="s">
        <v>1542</v>
      </c>
      <c r="C338" s="1318">
        <v>880</v>
      </c>
      <c r="D338" s="1318">
        <v>850</v>
      </c>
      <c r="E338" s="1318">
        <v>830</v>
      </c>
      <c r="F338" s="1345"/>
      <c r="H338" s="1311"/>
    </row>
    <row r="339" spans="1:8" s="1309" customFormat="1" ht="14.25" customHeight="1">
      <c r="A339" s="1317" t="s">
        <v>314</v>
      </c>
      <c r="B339" s="1322" t="s">
        <v>1555</v>
      </c>
      <c r="C339" s="1322">
        <v>830</v>
      </c>
      <c r="D339" s="1322">
        <v>800</v>
      </c>
      <c r="E339" s="1322">
        <v>780</v>
      </c>
      <c r="F339" s="1339"/>
      <c r="H339" s="1311"/>
    </row>
    <row r="340" spans="1:8" s="1309" customFormat="1" ht="14.25" customHeight="1">
      <c r="A340" s="1317" t="s">
        <v>314</v>
      </c>
      <c r="B340" s="1322" t="s">
        <v>1568</v>
      </c>
      <c r="C340" s="1322">
        <v>980</v>
      </c>
      <c r="D340" s="1322">
        <v>950</v>
      </c>
      <c r="E340" s="1322">
        <v>920</v>
      </c>
      <c r="F340" s="1339"/>
      <c r="H340" s="1311"/>
    </row>
    <row r="341" spans="1:8" s="1309" customFormat="1" ht="14.25" customHeight="1">
      <c r="A341" s="1317" t="s">
        <v>314</v>
      </c>
      <c r="B341" s="1322" t="s">
        <v>1580</v>
      </c>
      <c r="C341" s="1322">
        <v>760</v>
      </c>
      <c r="D341" s="1322">
        <v>720</v>
      </c>
      <c r="E341" s="1322">
        <v>690</v>
      </c>
      <c r="F341" s="1330">
        <v>350</v>
      </c>
      <c r="H341" s="1311"/>
    </row>
    <row r="342" spans="1:8" s="1309" customFormat="1" ht="14.25" customHeight="1">
      <c r="A342" s="1317" t="s">
        <v>314</v>
      </c>
      <c r="B342" s="1322" t="s">
        <v>1592</v>
      </c>
      <c r="C342" s="1322">
        <v>910</v>
      </c>
      <c r="D342" s="1322">
        <v>870</v>
      </c>
      <c r="E342" s="1322">
        <v>850</v>
      </c>
      <c r="F342" s="1330">
        <v>370</v>
      </c>
      <c r="H342" s="1311"/>
    </row>
    <row r="343" spans="1:8" s="1309" customFormat="1" ht="14.25" customHeight="1">
      <c r="A343" s="1317" t="s">
        <v>314</v>
      </c>
      <c r="B343" s="1322" t="s">
        <v>1603</v>
      </c>
      <c r="C343" s="1322">
        <v>800</v>
      </c>
      <c r="D343" s="1322">
        <v>760</v>
      </c>
      <c r="E343" s="1322">
        <v>730</v>
      </c>
      <c r="F343" s="1330">
        <v>340</v>
      </c>
      <c r="H343" s="1311"/>
    </row>
    <row r="344" spans="1:8" s="1309" customFormat="1" ht="14.25" customHeight="1">
      <c r="A344" s="1317" t="s">
        <v>314</v>
      </c>
      <c r="B344" s="1328" t="s">
        <v>1614</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1873</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1874</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1875</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1876</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35" t="s">
        <v>1877</v>
      </c>
      <c r="B1" s="3435"/>
    </row>
    <row r="2" spans="1:6">
      <c r="A2" s="1268"/>
      <c r="B2" s="1268"/>
    </row>
    <row r="3" spans="1:6">
      <c r="A3" s="1268"/>
      <c r="B3" s="1268"/>
      <c r="C3" s="1269" t="s">
        <v>371</v>
      </c>
      <c r="D3" s="1269" t="s">
        <v>372</v>
      </c>
      <c r="E3" s="1269" t="s">
        <v>370</v>
      </c>
      <c r="F3" s="1269" t="s">
        <v>164</v>
      </c>
    </row>
    <row r="4" spans="1:6">
      <c r="A4" s="1270" t="s">
        <v>1543</v>
      </c>
      <c r="B4" s="1271" t="s">
        <v>419</v>
      </c>
      <c r="C4" s="1269"/>
      <c r="D4" s="1269"/>
      <c r="E4" s="1269"/>
      <c r="F4" s="1269"/>
    </row>
    <row r="5" spans="1:6">
      <c r="A5" s="1272" t="s">
        <v>240</v>
      </c>
      <c r="B5" s="1273" t="s">
        <v>1531</v>
      </c>
      <c r="C5" s="1274">
        <v>8.8999999999999996E-2</v>
      </c>
      <c r="D5" s="1274">
        <v>7.3999999999999996E-2</v>
      </c>
      <c r="E5" s="1274">
        <v>7.4999999999999997E-2</v>
      </c>
      <c r="F5" s="1275">
        <v>0.1</v>
      </c>
    </row>
    <row r="6" spans="1:6">
      <c r="A6" s="1272" t="s">
        <v>240</v>
      </c>
      <c r="B6" s="1276" t="s">
        <v>1544</v>
      </c>
      <c r="C6" s="1277">
        <v>0.1</v>
      </c>
      <c r="D6" s="1277">
        <v>9.0999999999999998E-2</v>
      </c>
      <c r="E6" s="1277">
        <v>9.0999999999999998E-2</v>
      </c>
      <c r="F6" s="1278">
        <v>0.1</v>
      </c>
    </row>
    <row r="7" spans="1:6">
      <c r="A7" s="1272" t="s">
        <v>240</v>
      </c>
      <c r="B7" s="1279" t="s">
        <v>1557</v>
      </c>
      <c r="C7" s="1277">
        <v>8.5999999999999993E-2</v>
      </c>
      <c r="D7" s="1277">
        <v>9.6000000000000002E-2</v>
      </c>
      <c r="E7" s="1277">
        <v>7.5999999999999998E-2</v>
      </c>
      <c r="F7" s="1278">
        <v>0.1</v>
      </c>
    </row>
    <row r="8" spans="1:6">
      <c r="A8" s="1272" t="s">
        <v>240</v>
      </c>
      <c r="B8" s="1276" t="s">
        <v>1569</v>
      </c>
      <c r="C8" s="1277">
        <v>9.9000000000000005E-2</v>
      </c>
      <c r="D8" s="1277">
        <v>9.8000000000000004E-2</v>
      </c>
      <c r="E8" s="1277">
        <v>9.8000000000000004E-2</v>
      </c>
      <c r="F8" s="1278">
        <v>0.1</v>
      </c>
    </row>
    <row r="9" spans="1:6">
      <c r="A9" s="1280" t="s">
        <v>240</v>
      </c>
      <c r="B9" s="1281" t="s">
        <v>1581</v>
      </c>
      <c r="C9" s="1282">
        <v>0.05</v>
      </c>
      <c r="D9" s="1283"/>
      <c r="E9" s="1283"/>
      <c r="F9" s="1284"/>
    </row>
    <row r="10" spans="1:6">
      <c r="A10" s="1272" t="s">
        <v>253</v>
      </c>
      <c r="B10" s="1273" t="s">
        <v>1532</v>
      </c>
      <c r="C10" s="1274">
        <v>8.8999999999999996E-2</v>
      </c>
      <c r="D10" s="1274">
        <v>7.2999999999999995E-2</v>
      </c>
      <c r="E10" s="1274">
        <v>8.2000000000000003E-2</v>
      </c>
      <c r="F10" s="1275">
        <v>0.1</v>
      </c>
    </row>
    <row r="11" spans="1:6">
      <c r="A11" s="1272" t="s">
        <v>253</v>
      </c>
      <c r="B11" s="1279" t="s">
        <v>1545</v>
      </c>
      <c r="C11" s="1277">
        <v>8.8999999999999996E-2</v>
      </c>
      <c r="D11" s="1277">
        <v>7.2999999999999995E-2</v>
      </c>
      <c r="E11" s="1277">
        <v>8.2000000000000003E-2</v>
      </c>
      <c r="F11" s="1278">
        <v>0.1</v>
      </c>
    </row>
    <row r="12" spans="1:6">
      <c r="A12" s="1272" t="s">
        <v>253</v>
      </c>
      <c r="B12" s="1279" t="s">
        <v>1558</v>
      </c>
      <c r="C12" s="1277">
        <v>6.0999999999999999E-2</v>
      </c>
      <c r="D12" s="1277">
        <v>7.0999999999999994E-2</v>
      </c>
      <c r="E12" s="1277">
        <v>9.6000000000000002E-2</v>
      </c>
      <c r="F12" s="1278">
        <v>0.1</v>
      </c>
    </row>
    <row r="13" spans="1:6">
      <c r="A13" s="1272" t="s">
        <v>253</v>
      </c>
      <c r="B13" s="1279" t="s">
        <v>1570</v>
      </c>
      <c r="C13" s="1277">
        <v>6.9000000000000006E-2</v>
      </c>
      <c r="D13" s="1277">
        <v>6.5000000000000002E-2</v>
      </c>
      <c r="E13" s="1277">
        <v>6.6000000000000003E-2</v>
      </c>
      <c r="F13" s="1278">
        <v>0.1</v>
      </c>
    </row>
    <row r="14" spans="1:6">
      <c r="A14" s="1272" t="s">
        <v>253</v>
      </c>
      <c r="B14" s="1279" t="s">
        <v>1582</v>
      </c>
      <c r="C14" s="1277">
        <v>0.1</v>
      </c>
      <c r="D14" s="1277">
        <v>6.5000000000000002E-2</v>
      </c>
      <c r="E14" s="1277">
        <v>7.0000000000000007E-2</v>
      </c>
      <c r="F14" s="1278">
        <v>0.1</v>
      </c>
    </row>
    <row r="15" spans="1:6">
      <c r="A15" s="1272" t="s">
        <v>253</v>
      </c>
      <c r="B15" s="1279" t="s">
        <v>1593</v>
      </c>
      <c r="C15" s="1277">
        <v>9.8000000000000004E-2</v>
      </c>
      <c r="D15" s="1277">
        <v>8.8999999999999996E-2</v>
      </c>
      <c r="E15" s="1277">
        <v>8.8999999999999996E-2</v>
      </c>
      <c r="F15" s="1278">
        <v>0.1</v>
      </c>
    </row>
    <row r="16" spans="1:6">
      <c r="A16" s="1272" t="s">
        <v>253</v>
      </c>
      <c r="B16" s="1279" t="s">
        <v>1604</v>
      </c>
      <c r="C16" s="1277">
        <v>7.0000000000000007E-2</v>
      </c>
      <c r="D16" s="1277">
        <v>9.2999999999999999E-2</v>
      </c>
      <c r="E16" s="1277">
        <v>9.6000000000000002E-2</v>
      </c>
      <c r="F16" s="1278">
        <v>0.1</v>
      </c>
    </row>
    <row r="17" spans="1:6">
      <c r="A17" s="1272" t="s">
        <v>253</v>
      </c>
      <c r="B17" s="1279" t="s">
        <v>1615</v>
      </c>
      <c r="C17" s="1277">
        <v>9.5000000000000001E-2</v>
      </c>
      <c r="D17" s="1277">
        <v>0.1</v>
      </c>
      <c r="E17" s="1277">
        <v>0.1</v>
      </c>
      <c r="F17" s="1285"/>
    </row>
    <row r="18" spans="1:6">
      <c r="A18" s="1272" t="s">
        <v>253</v>
      </c>
      <c r="B18" s="1279" t="s">
        <v>1625</v>
      </c>
      <c r="C18" s="1277">
        <v>7.3999999999999996E-2</v>
      </c>
      <c r="D18" s="1277">
        <v>9.9000000000000005E-2</v>
      </c>
      <c r="E18" s="1277">
        <v>0.1</v>
      </c>
      <c r="F18" s="1285"/>
    </row>
    <row r="19" spans="1:6">
      <c r="A19" s="1272" t="s">
        <v>253</v>
      </c>
      <c r="B19" s="1279" t="s">
        <v>1635</v>
      </c>
      <c r="C19" s="1277">
        <v>9.9000000000000005E-2</v>
      </c>
      <c r="D19" s="1277">
        <v>7.5999999999999998E-2</v>
      </c>
      <c r="E19" s="1277">
        <v>8.6999999999999994E-2</v>
      </c>
      <c r="F19" s="1285"/>
    </row>
    <row r="20" spans="1:6">
      <c r="A20" s="1272" t="s">
        <v>253</v>
      </c>
      <c r="B20" s="1279" t="s">
        <v>1645</v>
      </c>
      <c r="C20" s="1277">
        <v>9.8000000000000004E-2</v>
      </c>
      <c r="D20" s="1277">
        <v>8.5000000000000006E-2</v>
      </c>
      <c r="E20" s="1277">
        <v>8.2000000000000003E-2</v>
      </c>
      <c r="F20" s="1285"/>
    </row>
    <row r="21" spans="1:6">
      <c r="A21" s="1272" t="s">
        <v>253</v>
      </c>
      <c r="B21" s="1279" t="s">
        <v>1655</v>
      </c>
      <c r="C21" s="1277">
        <v>6.6000000000000003E-2</v>
      </c>
      <c r="D21" s="1277">
        <v>6.4000000000000001E-2</v>
      </c>
      <c r="E21" s="1277">
        <v>6.5000000000000002E-2</v>
      </c>
      <c r="F21" s="1285"/>
    </row>
    <row r="22" spans="1:6">
      <c r="A22" s="1272" t="s">
        <v>253</v>
      </c>
      <c r="B22" s="1279" t="s">
        <v>1665</v>
      </c>
      <c r="C22" s="1277">
        <v>0.08</v>
      </c>
      <c r="D22" s="1277">
        <v>9.8000000000000004E-2</v>
      </c>
      <c r="E22" s="1277">
        <v>9.8000000000000004E-2</v>
      </c>
      <c r="F22" s="1285"/>
    </row>
    <row r="23" spans="1:6">
      <c r="A23" s="1272" t="s">
        <v>253</v>
      </c>
      <c r="B23" s="1279" t="s">
        <v>1675</v>
      </c>
      <c r="C23" s="1277">
        <v>9.9000000000000005E-2</v>
      </c>
      <c r="D23" s="1277">
        <v>9.8000000000000004E-2</v>
      </c>
      <c r="E23" s="1277">
        <v>9.0999999999999998E-2</v>
      </c>
      <c r="F23" s="1285"/>
    </row>
    <row r="24" spans="1:6">
      <c r="A24" s="1272" t="s">
        <v>253</v>
      </c>
      <c r="B24" s="1279" t="s">
        <v>1685</v>
      </c>
      <c r="C24" s="1277">
        <v>8.8999999999999996E-2</v>
      </c>
      <c r="D24" s="1277">
        <v>9.7000000000000003E-2</v>
      </c>
      <c r="E24" s="1277">
        <v>7.0000000000000007E-2</v>
      </c>
      <c r="F24" s="1285"/>
    </row>
    <row r="25" spans="1:6">
      <c r="A25" s="1272" t="s">
        <v>253</v>
      </c>
      <c r="B25" s="1279" t="s">
        <v>1695</v>
      </c>
      <c r="C25" s="1277">
        <v>8.8999999999999996E-2</v>
      </c>
      <c r="D25" s="1277">
        <v>0.1</v>
      </c>
      <c r="E25" s="1277">
        <v>8.1000000000000003E-2</v>
      </c>
      <c r="F25" s="1285"/>
    </row>
    <row r="26" spans="1:6">
      <c r="A26" s="1272" t="s">
        <v>253</v>
      </c>
      <c r="B26" s="1279" t="s">
        <v>1705</v>
      </c>
      <c r="C26" s="1286"/>
      <c r="D26" s="1277">
        <v>9.6000000000000002E-2</v>
      </c>
      <c r="E26" s="1277">
        <v>9.2999999999999999E-2</v>
      </c>
      <c r="F26" s="1285"/>
    </row>
    <row r="27" spans="1:6">
      <c r="A27" s="1272" t="s">
        <v>253</v>
      </c>
      <c r="B27" s="1279" t="s">
        <v>1715</v>
      </c>
      <c r="C27" s="1286"/>
      <c r="D27" s="1277">
        <v>7.5999999999999998E-2</v>
      </c>
      <c r="E27" s="1277">
        <v>9.1999999999999998E-2</v>
      </c>
      <c r="F27" s="1285"/>
    </row>
    <row r="28" spans="1:6">
      <c r="A28" s="1280" t="s">
        <v>253</v>
      </c>
      <c r="B28" s="1281" t="s">
        <v>1725</v>
      </c>
      <c r="C28" s="1283"/>
      <c r="D28" s="1282">
        <v>7.5999999999999998E-2</v>
      </c>
      <c r="E28" s="1282">
        <v>9.1999999999999998E-2</v>
      </c>
      <c r="F28" s="1284"/>
    </row>
    <row r="29" spans="1:6">
      <c r="A29" s="1272" t="s">
        <v>265</v>
      </c>
      <c r="B29" s="1273" t="s">
        <v>1533</v>
      </c>
      <c r="C29" s="1274">
        <v>6.4000000000000001E-2</v>
      </c>
      <c r="D29" s="1274">
        <v>6.5000000000000002E-2</v>
      </c>
      <c r="E29" s="1274">
        <v>6.9000000000000006E-2</v>
      </c>
      <c r="F29" s="1275">
        <v>0.1</v>
      </c>
    </row>
    <row r="30" spans="1:6">
      <c r="A30" s="1272" t="s">
        <v>265</v>
      </c>
      <c r="B30" s="1279" t="s">
        <v>1546</v>
      </c>
      <c r="C30" s="1277">
        <v>6.4000000000000001E-2</v>
      </c>
      <c r="D30" s="1277">
        <v>9.9000000000000005E-2</v>
      </c>
      <c r="E30" s="1277">
        <v>0.1</v>
      </c>
      <c r="F30" s="1278">
        <v>0.1</v>
      </c>
    </row>
    <row r="31" spans="1:6">
      <c r="A31" s="1272" t="s">
        <v>265</v>
      </c>
      <c r="B31" s="1279" t="s">
        <v>1559</v>
      </c>
      <c r="C31" s="1277">
        <v>0.1</v>
      </c>
      <c r="D31" s="1277">
        <v>9.5000000000000001E-2</v>
      </c>
      <c r="E31" s="1277">
        <v>8.8999999999999996E-2</v>
      </c>
      <c r="F31" s="1278">
        <v>0.1</v>
      </c>
    </row>
    <row r="32" spans="1:6">
      <c r="A32" s="1272" t="s">
        <v>265</v>
      </c>
      <c r="B32" s="1279" t="s">
        <v>1571</v>
      </c>
      <c r="C32" s="1277">
        <v>0.05</v>
      </c>
      <c r="D32" s="1277">
        <v>0.05</v>
      </c>
      <c r="E32" s="1277">
        <v>8.7999999999999995E-2</v>
      </c>
      <c r="F32" s="1278">
        <v>0.1</v>
      </c>
    </row>
    <row r="33" spans="1:6">
      <c r="A33" s="1272" t="s">
        <v>265</v>
      </c>
      <c r="B33" s="1279" t="s">
        <v>1583</v>
      </c>
      <c r="C33" s="1277">
        <v>7.4999999999999997E-2</v>
      </c>
      <c r="D33" s="1277">
        <v>9.4E-2</v>
      </c>
      <c r="E33" s="1277">
        <v>9.7000000000000003E-2</v>
      </c>
      <c r="F33" s="1278">
        <v>0.1</v>
      </c>
    </row>
    <row r="34" spans="1:6">
      <c r="A34" s="1272" t="s">
        <v>265</v>
      </c>
      <c r="B34" s="1279" t="s">
        <v>1594</v>
      </c>
      <c r="C34" s="1277">
        <v>9.8000000000000004E-2</v>
      </c>
      <c r="D34" s="1277">
        <v>8.5999999999999993E-2</v>
      </c>
      <c r="E34" s="1277">
        <v>9.7000000000000003E-2</v>
      </c>
      <c r="F34" s="1278">
        <v>0.1</v>
      </c>
    </row>
    <row r="35" spans="1:6">
      <c r="A35" s="1272" t="s">
        <v>265</v>
      </c>
      <c r="B35" s="1279" t="s">
        <v>1605</v>
      </c>
      <c r="C35" s="1277">
        <v>5.8999999999999997E-2</v>
      </c>
      <c r="D35" s="1277">
        <v>6.5000000000000002E-2</v>
      </c>
      <c r="E35" s="1277">
        <v>7.0000000000000007E-2</v>
      </c>
      <c r="F35" s="1278">
        <v>0.1</v>
      </c>
    </row>
    <row r="36" spans="1:6">
      <c r="A36" s="1272" t="s">
        <v>265</v>
      </c>
      <c r="B36" s="1279" t="s">
        <v>1616</v>
      </c>
      <c r="C36" s="1277">
        <v>6.3E-2</v>
      </c>
      <c r="D36" s="1277">
        <v>0.1</v>
      </c>
      <c r="E36" s="1277">
        <v>0.1</v>
      </c>
      <c r="F36" s="1278">
        <v>0.1</v>
      </c>
    </row>
    <row r="37" spans="1:6">
      <c r="A37" s="1272" t="s">
        <v>265</v>
      </c>
      <c r="B37" s="1279" t="s">
        <v>1626</v>
      </c>
      <c r="C37" s="1277">
        <v>7.3999999999999996E-2</v>
      </c>
      <c r="D37" s="1277">
        <v>0.1</v>
      </c>
      <c r="E37" s="1277">
        <v>0.1</v>
      </c>
      <c r="F37" s="1278">
        <v>0.1</v>
      </c>
    </row>
    <row r="38" spans="1:6">
      <c r="A38" s="1272" t="s">
        <v>265</v>
      </c>
      <c r="B38" s="1279" t="s">
        <v>1636</v>
      </c>
      <c r="C38" s="1277">
        <v>0.1</v>
      </c>
      <c r="D38" s="1277">
        <v>9.6000000000000002E-2</v>
      </c>
      <c r="E38" s="1277">
        <v>9.6000000000000002E-2</v>
      </c>
      <c r="F38" s="1285"/>
    </row>
    <row r="39" spans="1:6">
      <c r="A39" s="1272" t="s">
        <v>265</v>
      </c>
      <c r="B39" s="1279" t="s">
        <v>1646</v>
      </c>
      <c r="C39" s="1277">
        <v>0.1</v>
      </c>
      <c r="D39" s="1277">
        <v>9.6000000000000002E-2</v>
      </c>
      <c r="E39" s="1277">
        <v>9.6000000000000002E-2</v>
      </c>
      <c r="F39" s="1285"/>
    </row>
    <row r="40" spans="1:6">
      <c r="A40" s="1272" t="s">
        <v>265</v>
      </c>
      <c r="B40" s="1279" t="s">
        <v>1656</v>
      </c>
      <c r="C40" s="1277">
        <v>9.6000000000000002E-2</v>
      </c>
      <c r="D40" s="1277">
        <v>0.1</v>
      </c>
      <c r="E40" s="1277">
        <v>9.9000000000000005E-2</v>
      </c>
      <c r="F40" s="1285"/>
    </row>
    <row r="41" spans="1:6">
      <c r="A41" s="1272" t="s">
        <v>265</v>
      </c>
      <c r="B41" s="1279" t="s">
        <v>1666</v>
      </c>
      <c r="C41" s="1277">
        <v>9.6000000000000002E-2</v>
      </c>
      <c r="D41" s="1277">
        <v>9.8000000000000004E-2</v>
      </c>
      <c r="E41" s="1277">
        <v>9.8000000000000004E-2</v>
      </c>
      <c r="F41" s="1285"/>
    </row>
    <row r="42" spans="1:6">
      <c r="A42" s="1272" t="s">
        <v>265</v>
      </c>
      <c r="B42" s="1279" t="s">
        <v>1676</v>
      </c>
      <c r="C42" s="1277">
        <v>0.1</v>
      </c>
      <c r="D42" s="1277">
        <v>8.7999999999999995E-2</v>
      </c>
      <c r="E42" s="1277">
        <v>0.1</v>
      </c>
      <c r="F42" s="1285"/>
    </row>
    <row r="43" spans="1:6">
      <c r="A43" s="1272" t="s">
        <v>265</v>
      </c>
      <c r="B43" s="1279" t="s">
        <v>1686</v>
      </c>
      <c r="C43" s="1277">
        <v>9.8000000000000004E-2</v>
      </c>
      <c r="D43" s="1277">
        <v>9.7000000000000003E-2</v>
      </c>
      <c r="E43" s="1277">
        <v>9.6000000000000002E-2</v>
      </c>
      <c r="F43" s="1285"/>
    </row>
    <row r="44" spans="1:6">
      <c r="A44" s="1272" t="s">
        <v>265</v>
      </c>
      <c r="B44" s="1279" t="s">
        <v>1696</v>
      </c>
      <c r="C44" s="1277">
        <v>8.5999999999999993E-2</v>
      </c>
      <c r="D44" s="1277">
        <v>7.9000000000000001E-2</v>
      </c>
      <c r="E44" s="1277">
        <v>7.0999999999999994E-2</v>
      </c>
      <c r="F44" s="1285"/>
    </row>
    <row r="45" spans="1:6">
      <c r="A45" s="1272" t="s">
        <v>265</v>
      </c>
      <c r="B45" s="1279" t="s">
        <v>1706</v>
      </c>
      <c r="C45" s="1277">
        <v>9.8000000000000004E-2</v>
      </c>
      <c r="D45" s="1277">
        <v>9.6000000000000002E-2</v>
      </c>
      <c r="E45" s="1277">
        <v>9.6000000000000002E-2</v>
      </c>
      <c r="F45" s="1285"/>
    </row>
    <row r="46" spans="1:6">
      <c r="A46" s="1272" t="s">
        <v>265</v>
      </c>
      <c r="B46" s="1279" t="s">
        <v>1716</v>
      </c>
      <c r="C46" s="1277">
        <v>8.5999999999999993E-2</v>
      </c>
      <c r="D46" s="1277">
        <v>9.8000000000000004E-2</v>
      </c>
      <c r="E46" s="1277">
        <v>8.7999999999999995E-2</v>
      </c>
      <c r="F46" s="1285"/>
    </row>
    <row r="47" spans="1:6">
      <c r="A47" s="1272" t="s">
        <v>265</v>
      </c>
      <c r="B47" s="1279" t="s">
        <v>1726</v>
      </c>
      <c r="C47" s="1277">
        <v>9.6000000000000002E-2</v>
      </c>
      <c r="D47" s="1286"/>
      <c r="E47" s="1277">
        <v>6.9000000000000006E-2</v>
      </c>
      <c r="F47" s="1285"/>
    </row>
    <row r="48" spans="1:6">
      <c r="A48" s="1280" t="s">
        <v>265</v>
      </c>
      <c r="B48" s="1281" t="s">
        <v>1735</v>
      </c>
      <c r="C48" s="1282">
        <v>9.8000000000000004E-2</v>
      </c>
      <c r="D48" s="1283"/>
      <c r="E48" s="1282">
        <v>9.5000000000000001E-2</v>
      </c>
      <c r="F48" s="1284"/>
    </row>
    <row r="49" spans="1:6">
      <c r="A49" s="1272" t="s">
        <v>275</v>
      </c>
      <c r="B49" s="1273" t="s">
        <v>1534</v>
      </c>
      <c r="C49" s="1274">
        <v>9.7000000000000003E-2</v>
      </c>
      <c r="D49" s="1274">
        <v>9.5000000000000001E-2</v>
      </c>
      <c r="E49" s="1274">
        <v>9.7000000000000003E-2</v>
      </c>
      <c r="F49" s="1275">
        <v>0.1</v>
      </c>
    </row>
    <row r="50" spans="1:6">
      <c r="A50" s="1272" t="s">
        <v>275</v>
      </c>
      <c r="B50" s="1276" t="s">
        <v>1547</v>
      </c>
      <c r="C50" s="1277">
        <v>7.4999999999999997E-2</v>
      </c>
      <c r="D50" s="1277">
        <v>9.5000000000000001E-2</v>
      </c>
      <c r="E50" s="1277">
        <v>0.1</v>
      </c>
      <c r="F50" s="1278">
        <v>0.1</v>
      </c>
    </row>
    <row r="51" spans="1:6">
      <c r="A51" s="1272" t="s">
        <v>275</v>
      </c>
      <c r="B51" s="1276" t="s">
        <v>1560</v>
      </c>
      <c r="C51" s="1277">
        <v>9.8000000000000004E-2</v>
      </c>
      <c r="D51" s="1277">
        <v>8.8999999999999996E-2</v>
      </c>
      <c r="E51" s="1277">
        <v>0.1</v>
      </c>
      <c r="F51" s="1278">
        <v>0.1</v>
      </c>
    </row>
    <row r="52" spans="1:6">
      <c r="A52" s="1272" t="s">
        <v>275</v>
      </c>
      <c r="B52" s="1276" t="s">
        <v>1572</v>
      </c>
      <c r="C52" s="1277">
        <v>9.8000000000000004E-2</v>
      </c>
      <c r="D52" s="1277">
        <v>9.7000000000000003E-2</v>
      </c>
      <c r="E52" s="1277">
        <v>8.1000000000000003E-2</v>
      </c>
      <c r="F52" s="1278">
        <v>0.1</v>
      </c>
    </row>
    <row r="53" spans="1:6">
      <c r="A53" s="1272" t="s">
        <v>275</v>
      </c>
      <c r="B53" s="1276" t="s">
        <v>1584</v>
      </c>
      <c r="C53" s="1277">
        <v>9.7000000000000003E-2</v>
      </c>
      <c r="D53" s="1277">
        <v>7.5999999999999998E-2</v>
      </c>
      <c r="E53" s="1277">
        <v>7.0999999999999994E-2</v>
      </c>
      <c r="F53" s="1278">
        <v>0.1</v>
      </c>
    </row>
    <row r="54" spans="1:6">
      <c r="A54" s="1272" t="s">
        <v>275</v>
      </c>
      <c r="B54" s="1276" t="s">
        <v>1595</v>
      </c>
      <c r="C54" s="1277">
        <v>7.5999999999999998E-2</v>
      </c>
      <c r="D54" s="1277">
        <v>0.1</v>
      </c>
      <c r="E54" s="1277">
        <v>9.9000000000000005E-2</v>
      </c>
      <c r="F54" s="1278">
        <v>0.1</v>
      </c>
    </row>
    <row r="55" spans="1:6">
      <c r="A55" s="1272" t="s">
        <v>275</v>
      </c>
      <c r="B55" s="1276" t="s">
        <v>1606</v>
      </c>
      <c r="C55" s="1277">
        <v>0.1</v>
      </c>
      <c r="D55" s="1277">
        <v>0.1</v>
      </c>
      <c r="E55" s="1277">
        <v>9.6000000000000002E-2</v>
      </c>
      <c r="F55" s="1278">
        <v>0.1</v>
      </c>
    </row>
    <row r="56" spans="1:6">
      <c r="A56" s="1272" t="s">
        <v>275</v>
      </c>
      <c r="B56" s="1276" t="s">
        <v>1617</v>
      </c>
      <c r="C56" s="1277">
        <v>0.1</v>
      </c>
      <c r="D56" s="1277">
        <v>9.6000000000000002E-2</v>
      </c>
      <c r="E56" s="1277">
        <v>5.1999999999999998E-2</v>
      </c>
      <c r="F56" s="1278">
        <v>0.1</v>
      </c>
    </row>
    <row r="57" spans="1:6">
      <c r="A57" s="1272" t="s">
        <v>275</v>
      </c>
      <c r="B57" s="1276" t="s">
        <v>1627</v>
      </c>
      <c r="C57" s="1277">
        <v>9.7000000000000003E-2</v>
      </c>
      <c r="D57" s="1277">
        <v>9.6000000000000002E-2</v>
      </c>
      <c r="E57" s="1277">
        <v>9.6000000000000002E-2</v>
      </c>
      <c r="F57" s="1278">
        <v>0.1</v>
      </c>
    </row>
    <row r="58" spans="1:6">
      <c r="A58" s="1272" t="s">
        <v>275</v>
      </c>
      <c r="B58" s="1276" t="s">
        <v>1637</v>
      </c>
      <c r="C58" s="1277">
        <v>9.6000000000000002E-2</v>
      </c>
      <c r="D58" s="1277">
        <v>9.9000000000000005E-2</v>
      </c>
      <c r="E58" s="1277">
        <v>9.6000000000000002E-2</v>
      </c>
      <c r="F58" s="1278">
        <v>0.1</v>
      </c>
    </row>
    <row r="59" spans="1:6">
      <c r="A59" s="1272" t="s">
        <v>275</v>
      </c>
      <c r="B59" s="1276" t="s">
        <v>1647</v>
      </c>
      <c r="C59" s="1277">
        <v>7.1999999999999995E-2</v>
      </c>
      <c r="D59" s="1277">
        <v>9.6000000000000002E-2</v>
      </c>
      <c r="E59" s="1277">
        <v>7.0999999999999994E-2</v>
      </c>
      <c r="F59" s="1278">
        <v>0.1</v>
      </c>
    </row>
    <row r="60" spans="1:6">
      <c r="A60" s="1272" t="s">
        <v>275</v>
      </c>
      <c r="B60" s="1276" t="s">
        <v>1657</v>
      </c>
      <c r="C60" s="1277">
        <v>9.6000000000000002E-2</v>
      </c>
      <c r="D60" s="1277">
        <v>8.8999999999999996E-2</v>
      </c>
      <c r="E60" s="1277">
        <v>9.6000000000000002E-2</v>
      </c>
      <c r="F60" s="1278">
        <v>0.1</v>
      </c>
    </row>
    <row r="61" spans="1:6">
      <c r="A61" s="1272" t="s">
        <v>275</v>
      </c>
      <c r="B61" s="1276" t="s">
        <v>1667</v>
      </c>
      <c r="C61" s="1277">
        <v>8.8999999999999996E-2</v>
      </c>
      <c r="D61" s="1277">
        <v>9.8000000000000004E-2</v>
      </c>
      <c r="E61" s="1277">
        <v>8.7999999999999995E-2</v>
      </c>
      <c r="F61" s="1285"/>
    </row>
    <row r="62" spans="1:6">
      <c r="A62" s="1272" t="s">
        <v>275</v>
      </c>
      <c r="B62" s="1276" t="s">
        <v>1677</v>
      </c>
      <c r="C62" s="1277">
        <v>9.8000000000000004E-2</v>
      </c>
      <c r="D62" s="1277">
        <v>9.2999999999999999E-2</v>
      </c>
      <c r="E62" s="1277">
        <v>9.7000000000000003E-2</v>
      </c>
      <c r="F62" s="1285"/>
    </row>
    <row r="63" spans="1:6">
      <c r="A63" s="1272" t="s">
        <v>275</v>
      </c>
      <c r="B63" s="1276" t="s">
        <v>1687</v>
      </c>
      <c r="C63" s="1277">
        <v>9.6000000000000002E-2</v>
      </c>
      <c r="D63" s="1277">
        <v>9.8000000000000004E-2</v>
      </c>
      <c r="E63" s="1277">
        <v>0.09</v>
      </c>
      <c r="F63" s="1285"/>
    </row>
    <row r="64" spans="1:6">
      <c r="A64" s="1272" t="s">
        <v>275</v>
      </c>
      <c r="B64" s="1276" t="s">
        <v>1697</v>
      </c>
      <c r="C64" s="1277">
        <v>9.9000000000000005E-2</v>
      </c>
      <c r="D64" s="1277">
        <v>9.7000000000000003E-2</v>
      </c>
      <c r="E64" s="1277">
        <v>9.9000000000000005E-2</v>
      </c>
      <c r="F64" s="1285"/>
    </row>
    <row r="65" spans="1:6">
      <c r="A65" s="1272" t="s">
        <v>275</v>
      </c>
      <c r="B65" s="1276" t="s">
        <v>1707</v>
      </c>
      <c r="C65" s="1277">
        <v>9.8000000000000004E-2</v>
      </c>
      <c r="D65" s="1277">
        <v>9.6000000000000002E-2</v>
      </c>
      <c r="E65" s="1277">
        <v>9.6000000000000002E-2</v>
      </c>
      <c r="F65" s="1285"/>
    </row>
    <row r="66" spans="1:6">
      <c r="A66" s="1272" t="s">
        <v>275</v>
      </c>
      <c r="B66" s="1276" t="s">
        <v>1717</v>
      </c>
      <c r="C66" s="1277">
        <v>9.6000000000000002E-2</v>
      </c>
      <c r="D66" s="1277">
        <v>9.1999999999999998E-2</v>
      </c>
      <c r="E66" s="1277">
        <v>9.6000000000000002E-2</v>
      </c>
      <c r="F66" s="1285"/>
    </row>
    <row r="67" spans="1:6">
      <c r="A67" s="1272" t="s">
        <v>275</v>
      </c>
      <c r="B67" s="1276" t="s">
        <v>1727</v>
      </c>
      <c r="C67" s="1277">
        <v>9.4E-2</v>
      </c>
      <c r="D67" s="1277">
        <v>0.1</v>
      </c>
      <c r="E67" s="1277">
        <v>8.7999999999999995E-2</v>
      </c>
      <c r="F67" s="1285"/>
    </row>
    <row r="68" spans="1:6">
      <c r="A68" s="1272" t="s">
        <v>275</v>
      </c>
      <c r="B68" s="1276" t="s">
        <v>1736</v>
      </c>
      <c r="C68" s="1277">
        <v>0.1</v>
      </c>
      <c r="D68" s="1277">
        <v>8.7999999999999995E-2</v>
      </c>
      <c r="E68" s="1277">
        <v>9.7000000000000003E-2</v>
      </c>
      <c r="F68" s="1285"/>
    </row>
    <row r="69" spans="1:6">
      <c r="A69" s="1272" t="s">
        <v>275</v>
      </c>
      <c r="B69" s="1276" t="s">
        <v>1744</v>
      </c>
      <c r="C69" s="1277">
        <v>6.4000000000000001E-2</v>
      </c>
      <c r="D69" s="1277">
        <v>0.1</v>
      </c>
      <c r="E69" s="1277">
        <v>0.1</v>
      </c>
      <c r="F69" s="1285"/>
    </row>
    <row r="70" spans="1:6">
      <c r="A70" s="1272" t="s">
        <v>275</v>
      </c>
      <c r="B70" s="1276" t="s">
        <v>1752</v>
      </c>
      <c r="C70" s="1277">
        <v>9.0999999999999998E-2</v>
      </c>
      <c r="D70" s="1286"/>
      <c r="E70" s="1286"/>
      <c r="F70" s="1285"/>
    </row>
    <row r="71" spans="1:6">
      <c r="A71" s="1272" t="s">
        <v>275</v>
      </c>
      <c r="B71" s="1276" t="s">
        <v>1759</v>
      </c>
      <c r="C71" s="1277">
        <v>0.1</v>
      </c>
      <c r="D71" s="1286"/>
      <c r="E71" s="1286"/>
      <c r="F71" s="1285"/>
    </row>
    <row r="72" spans="1:6">
      <c r="A72" s="1272" t="s">
        <v>275</v>
      </c>
      <c r="B72" s="1276" t="s">
        <v>1766</v>
      </c>
      <c r="C72" s="1286"/>
      <c r="D72" s="1286"/>
      <c r="E72" s="1286"/>
      <c r="F72" s="1278">
        <v>0.05</v>
      </c>
    </row>
    <row r="73" spans="1:6">
      <c r="A73" s="1272" t="s">
        <v>275</v>
      </c>
      <c r="B73" s="1276" t="s">
        <v>1773</v>
      </c>
      <c r="C73" s="1286"/>
      <c r="D73" s="1286"/>
      <c r="E73" s="1286"/>
      <c r="F73" s="1278">
        <v>0.05</v>
      </c>
    </row>
    <row r="74" spans="1:6">
      <c r="A74" s="1272" t="s">
        <v>275</v>
      </c>
      <c r="B74" s="1276" t="s">
        <v>1780</v>
      </c>
      <c r="C74" s="1286"/>
      <c r="D74" s="1286"/>
      <c r="E74" s="1286"/>
      <c r="F74" s="1278">
        <v>0.05</v>
      </c>
    </row>
    <row r="75" spans="1:6">
      <c r="A75" s="1280" t="s">
        <v>275</v>
      </c>
      <c r="B75" s="1287" t="s">
        <v>1787</v>
      </c>
      <c r="C75" s="1283"/>
      <c r="D75" s="1283"/>
      <c r="E75" s="1283"/>
      <c r="F75" s="1288">
        <v>0.05</v>
      </c>
    </row>
    <row r="76" spans="1:6">
      <c r="A76" s="1272" t="s">
        <v>284</v>
      </c>
      <c r="B76" s="1273" t="s">
        <v>1535</v>
      </c>
      <c r="C76" s="1274">
        <v>0.1</v>
      </c>
      <c r="D76" s="1274">
        <v>0.1</v>
      </c>
      <c r="E76" s="1274">
        <v>0.1</v>
      </c>
      <c r="F76" s="1275">
        <v>0.1</v>
      </c>
    </row>
    <row r="77" spans="1:6">
      <c r="A77" s="1272" t="s">
        <v>284</v>
      </c>
      <c r="B77" s="1276" t="s">
        <v>1548</v>
      </c>
      <c r="C77" s="1277">
        <v>8.7999999999999995E-2</v>
      </c>
      <c r="D77" s="1277">
        <v>8.6999999999999994E-2</v>
      </c>
      <c r="E77" s="1277">
        <v>7.9000000000000001E-2</v>
      </c>
      <c r="F77" s="1278">
        <v>0.1</v>
      </c>
    </row>
    <row r="78" spans="1:6">
      <c r="A78" s="1272" t="s">
        <v>284</v>
      </c>
      <c r="B78" s="1276" t="s">
        <v>1561</v>
      </c>
      <c r="C78" s="1277">
        <v>8.6999999999999994E-2</v>
      </c>
      <c r="D78" s="1277">
        <v>8.4000000000000005E-2</v>
      </c>
      <c r="E78" s="1277">
        <v>9.6000000000000002E-2</v>
      </c>
      <c r="F78" s="1278">
        <v>0.1</v>
      </c>
    </row>
    <row r="79" spans="1:6">
      <c r="A79" s="1272" t="s">
        <v>284</v>
      </c>
      <c r="B79" s="1276" t="s">
        <v>1573</v>
      </c>
      <c r="C79" s="1277">
        <v>9.8000000000000004E-2</v>
      </c>
      <c r="D79" s="1277">
        <v>9.8000000000000004E-2</v>
      </c>
      <c r="E79" s="1277">
        <v>9.0999999999999998E-2</v>
      </c>
      <c r="F79" s="1278">
        <v>0.1</v>
      </c>
    </row>
    <row r="80" spans="1:6">
      <c r="A80" s="1272" t="s">
        <v>284</v>
      </c>
      <c r="B80" s="1276" t="s">
        <v>1585</v>
      </c>
      <c r="C80" s="1277">
        <v>9.6000000000000002E-2</v>
      </c>
      <c r="D80" s="1277">
        <v>9.6000000000000002E-2</v>
      </c>
      <c r="E80" s="1277">
        <v>0.1</v>
      </c>
      <c r="F80" s="1278">
        <v>0.1</v>
      </c>
    </row>
    <row r="81" spans="1:6">
      <c r="A81" s="1272" t="s">
        <v>284</v>
      </c>
      <c r="B81" s="1276" t="s">
        <v>1596</v>
      </c>
      <c r="C81" s="1277">
        <v>9.9000000000000005E-2</v>
      </c>
      <c r="D81" s="1277">
        <v>9.9000000000000005E-2</v>
      </c>
      <c r="E81" s="1277">
        <v>9.8000000000000004E-2</v>
      </c>
      <c r="F81" s="1278">
        <v>0.1</v>
      </c>
    </row>
    <row r="82" spans="1:6">
      <c r="A82" s="1272" t="s">
        <v>284</v>
      </c>
      <c r="B82" s="1276" t="s">
        <v>1607</v>
      </c>
      <c r="C82" s="1277">
        <v>9.9000000000000005E-2</v>
      </c>
      <c r="D82" s="1277">
        <v>9.9000000000000005E-2</v>
      </c>
      <c r="E82" s="1277">
        <v>9.7000000000000003E-2</v>
      </c>
      <c r="F82" s="1278">
        <v>0.1</v>
      </c>
    </row>
    <row r="83" spans="1:6">
      <c r="A83" s="1272" t="s">
        <v>284</v>
      </c>
      <c r="B83" s="1276" t="s">
        <v>1618</v>
      </c>
      <c r="C83" s="1277">
        <v>9.8000000000000004E-2</v>
      </c>
      <c r="D83" s="1277">
        <v>9.8000000000000004E-2</v>
      </c>
      <c r="E83" s="1277">
        <v>9.8000000000000004E-2</v>
      </c>
      <c r="F83" s="1278">
        <v>0.1</v>
      </c>
    </row>
    <row r="84" spans="1:6">
      <c r="A84" s="1272" t="s">
        <v>284</v>
      </c>
      <c r="B84" s="1276" t="s">
        <v>1628</v>
      </c>
      <c r="C84" s="1277">
        <v>9.9000000000000005E-2</v>
      </c>
      <c r="D84" s="1277">
        <v>9.9000000000000005E-2</v>
      </c>
      <c r="E84" s="1277">
        <v>9.9000000000000005E-2</v>
      </c>
      <c r="F84" s="1278">
        <v>0.1</v>
      </c>
    </row>
    <row r="85" spans="1:6">
      <c r="A85" s="1272" t="s">
        <v>284</v>
      </c>
      <c r="B85" s="1276" t="s">
        <v>1638</v>
      </c>
      <c r="C85" s="1277">
        <v>9.9000000000000005E-2</v>
      </c>
      <c r="D85" s="1277">
        <v>9.9000000000000005E-2</v>
      </c>
      <c r="E85" s="1277">
        <v>9.9000000000000005E-2</v>
      </c>
      <c r="F85" s="1278">
        <v>0.1</v>
      </c>
    </row>
    <row r="86" spans="1:6">
      <c r="A86" s="1272" t="s">
        <v>284</v>
      </c>
      <c r="B86" s="1276" t="s">
        <v>1648</v>
      </c>
      <c r="C86" s="1277">
        <v>0.1</v>
      </c>
      <c r="D86" s="1277">
        <v>0.1</v>
      </c>
      <c r="E86" s="1277">
        <v>7.6999999999999999E-2</v>
      </c>
      <c r="F86" s="1278">
        <v>0.1</v>
      </c>
    </row>
    <row r="87" spans="1:6">
      <c r="A87" s="1272" t="s">
        <v>284</v>
      </c>
      <c r="B87" s="1276" t="s">
        <v>1658</v>
      </c>
      <c r="C87" s="1277">
        <v>0.1</v>
      </c>
      <c r="D87" s="1277">
        <v>0.1</v>
      </c>
      <c r="E87" s="1277">
        <v>9.8000000000000004E-2</v>
      </c>
      <c r="F87" s="1285"/>
    </row>
    <row r="88" spans="1:6">
      <c r="A88" s="1272" t="s">
        <v>284</v>
      </c>
      <c r="B88" s="1276" t="s">
        <v>1668</v>
      </c>
      <c r="C88" s="1277">
        <v>9.1999999999999998E-2</v>
      </c>
      <c r="D88" s="1277">
        <v>8.5000000000000006E-2</v>
      </c>
      <c r="E88" s="1277">
        <v>9.6000000000000002E-2</v>
      </c>
      <c r="F88" s="1285"/>
    </row>
    <row r="89" spans="1:6">
      <c r="A89" s="1272" t="s">
        <v>284</v>
      </c>
      <c r="B89" s="1276" t="s">
        <v>1678</v>
      </c>
      <c r="C89" s="1277">
        <v>0.1</v>
      </c>
      <c r="D89" s="1277">
        <v>0.1</v>
      </c>
      <c r="E89" s="1277">
        <v>9.7000000000000003E-2</v>
      </c>
      <c r="F89" s="1285"/>
    </row>
    <row r="90" spans="1:6">
      <c r="A90" s="1272" t="s">
        <v>284</v>
      </c>
      <c r="B90" s="1276" t="s">
        <v>1688</v>
      </c>
      <c r="C90" s="1277">
        <v>9.8000000000000004E-2</v>
      </c>
      <c r="D90" s="1277">
        <v>9.8000000000000004E-2</v>
      </c>
      <c r="E90" s="1277">
        <v>8.7999999999999995E-2</v>
      </c>
      <c r="F90" s="1285"/>
    </row>
    <row r="91" spans="1:6">
      <c r="A91" s="1272" t="s">
        <v>284</v>
      </c>
      <c r="B91" s="1276" t="s">
        <v>1698</v>
      </c>
      <c r="C91" s="1277">
        <v>9.9000000000000005E-2</v>
      </c>
      <c r="D91" s="1277">
        <v>9.9000000000000005E-2</v>
      </c>
      <c r="E91" s="1277">
        <v>9.0999999999999998E-2</v>
      </c>
      <c r="F91" s="1285"/>
    </row>
    <row r="92" spans="1:6">
      <c r="A92" s="1272" t="s">
        <v>284</v>
      </c>
      <c r="B92" s="1276" t="s">
        <v>1708</v>
      </c>
      <c r="C92" s="1277">
        <v>9.6000000000000002E-2</v>
      </c>
      <c r="D92" s="1277">
        <v>9.6000000000000002E-2</v>
      </c>
      <c r="E92" s="1277">
        <v>7.2999999999999995E-2</v>
      </c>
      <c r="F92" s="1285"/>
    </row>
    <row r="93" spans="1:6">
      <c r="A93" s="1272" t="s">
        <v>284</v>
      </c>
      <c r="B93" s="1276" t="s">
        <v>1718</v>
      </c>
      <c r="C93" s="1277">
        <v>9.6000000000000002E-2</v>
      </c>
      <c r="D93" s="1277">
        <v>9.6000000000000002E-2</v>
      </c>
      <c r="E93" s="1277">
        <v>9.9000000000000005E-2</v>
      </c>
      <c r="F93" s="1285"/>
    </row>
    <row r="94" spans="1:6">
      <c r="A94" s="1272" t="s">
        <v>284</v>
      </c>
      <c r="B94" s="1276" t="s">
        <v>1728</v>
      </c>
      <c r="C94" s="1277">
        <v>7.5999999999999998E-2</v>
      </c>
      <c r="D94" s="1277">
        <v>7.3999999999999996E-2</v>
      </c>
      <c r="E94" s="1277">
        <v>9.7000000000000003E-2</v>
      </c>
      <c r="F94" s="1285"/>
    </row>
    <row r="95" spans="1:6">
      <c r="A95" s="1272" t="s">
        <v>284</v>
      </c>
      <c r="B95" s="1276" t="s">
        <v>1737</v>
      </c>
      <c r="C95" s="1277">
        <v>9.9000000000000005E-2</v>
      </c>
      <c r="D95" s="1277">
        <v>9.4E-2</v>
      </c>
      <c r="E95" s="1277">
        <v>9.6000000000000002E-2</v>
      </c>
      <c r="F95" s="1285"/>
    </row>
    <row r="96" spans="1:6">
      <c r="A96" s="1272" t="s">
        <v>284</v>
      </c>
      <c r="B96" s="1276" t="s">
        <v>1745</v>
      </c>
      <c r="C96" s="1277">
        <v>9.9000000000000005E-2</v>
      </c>
      <c r="D96" s="1277">
        <v>9.9000000000000005E-2</v>
      </c>
      <c r="E96" s="1277">
        <v>9.9000000000000005E-2</v>
      </c>
      <c r="F96" s="1285"/>
    </row>
    <row r="97" spans="1:6">
      <c r="A97" s="1272" t="s">
        <v>284</v>
      </c>
      <c r="B97" s="1276" t="s">
        <v>1753</v>
      </c>
      <c r="C97" s="1277">
        <v>9.8000000000000004E-2</v>
      </c>
      <c r="D97" s="1277">
        <v>9.8000000000000004E-2</v>
      </c>
      <c r="E97" s="1277">
        <v>9.7000000000000003E-2</v>
      </c>
      <c r="F97" s="1285"/>
    </row>
    <row r="98" spans="1:6">
      <c r="A98" s="1272" t="s">
        <v>284</v>
      </c>
      <c r="B98" s="1276" t="s">
        <v>1760</v>
      </c>
      <c r="C98" s="1277">
        <v>0.1</v>
      </c>
      <c r="D98" s="1277">
        <v>0.1</v>
      </c>
      <c r="E98" s="1277">
        <v>9.7000000000000003E-2</v>
      </c>
      <c r="F98" s="1285"/>
    </row>
    <row r="99" spans="1:6">
      <c r="A99" s="1272" t="s">
        <v>284</v>
      </c>
      <c r="B99" s="1276" t="s">
        <v>1767</v>
      </c>
      <c r="C99" s="1277">
        <v>0.1</v>
      </c>
      <c r="D99" s="1277">
        <v>0.1</v>
      </c>
      <c r="E99" s="1286"/>
      <c r="F99" s="1285"/>
    </row>
    <row r="100" spans="1:6">
      <c r="A100" s="1272" t="s">
        <v>284</v>
      </c>
      <c r="B100" s="1276" t="s">
        <v>1774</v>
      </c>
      <c r="C100" s="1277">
        <v>0.09</v>
      </c>
      <c r="D100" s="1277">
        <v>8.8999999999999996E-2</v>
      </c>
      <c r="E100" s="1286"/>
      <c r="F100" s="1285"/>
    </row>
    <row r="101" spans="1:6">
      <c r="A101" s="1272" t="s">
        <v>284</v>
      </c>
      <c r="B101" s="1276" t="s">
        <v>1781</v>
      </c>
      <c r="C101" s="1277">
        <v>9.8000000000000004E-2</v>
      </c>
      <c r="D101" s="1277">
        <v>9.7000000000000003E-2</v>
      </c>
      <c r="E101" s="1286"/>
      <c r="F101" s="1285"/>
    </row>
    <row r="102" spans="1:6">
      <c r="A102" s="1272" t="s">
        <v>284</v>
      </c>
      <c r="B102" s="1276" t="s">
        <v>1788</v>
      </c>
      <c r="C102" s="1286"/>
      <c r="D102" s="1286"/>
      <c r="E102" s="1286"/>
      <c r="F102" s="1278">
        <v>0.05</v>
      </c>
    </row>
    <row r="103" spans="1:6" ht="24">
      <c r="A103" s="1272" t="s">
        <v>284</v>
      </c>
      <c r="B103" s="1276" t="s">
        <v>1793</v>
      </c>
      <c r="C103" s="1286"/>
      <c r="D103" s="1286"/>
      <c r="E103" s="1286"/>
      <c r="F103" s="1278">
        <v>0.05</v>
      </c>
    </row>
    <row r="104" spans="1:6">
      <c r="A104" s="1272" t="s">
        <v>284</v>
      </c>
      <c r="B104" s="1276" t="s">
        <v>1798</v>
      </c>
      <c r="C104" s="1286"/>
      <c r="D104" s="1286"/>
      <c r="E104" s="1286"/>
      <c r="F104" s="1278">
        <v>0.05</v>
      </c>
    </row>
    <row r="105" spans="1:6">
      <c r="A105" s="1272" t="s">
        <v>284</v>
      </c>
      <c r="B105" s="1276" t="s">
        <v>1803</v>
      </c>
      <c r="C105" s="1286"/>
      <c r="D105" s="1286"/>
      <c r="E105" s="1286"/>
      <c r="F105" s="1278">
        <v>0.05</v>
      </c>
    </row>
    <row r="106" spans="1:6">
      <c r="A106" s="1272" t="s">
        <v>284</v>
      </c>
      <c r="B106" s="1276" t="s">
        <v>1808</v>
      </c>
      <c r="C106" s="1286"/>
      <c r="D106" s="1286"/>
      <c r="E106" s="1286"/>
      <c r="F106" s="1278">
        <v>0.05</v>
      </c>
    </row>
    <row r="107" spans="1:6" ht="24">
      <c r="A107" s="1272" t="s">
        <v>284</v>
      </c>
      <c r="B107" s="1276" t="s">
        <v>1813</v>
      </c>
      <c r="C107" s="1286"/>
      <c r="D107" s="1286"/>
      <c r="E107" s="1286"/>
      <c r="F107" s="1278">
        <v>0.05</v>
      </c>
    </row>
    <row r="108" spans="1:6" ht="24">
      <c r="A108" s="1272" t="s">
        <v>284</v>
      </c>
      <c r="B108" s="1276" t="s">
        <v>1818</v>
      </c>
      <c r="C108" s="1286"/>
      <c r="D108" s="1286"/>
      <c r="E108" s="1286"/>
      <c r="F108" s="1278">
        <v>0.05</v>
      </c>
    </row>
    <row r="109" spans="1:6" ht="24">
      <c r="A109" s="1280" t="s">
        <v>284</v>
      </c>
      <c r="B109" s="1287" t="s">
        <v>1823</v>
      </c>
      <c r="C109" s="1283"/>
      <c r="D109" s="1283"/>
      <c r="E109" s="1283"/>
      <c r="F109" s="1288">
        <v>0.05</v>
      </c>
    </row>
    <row r="110" spans="1:6">
      <c r="A110" s="1272" t="s">
        <v>292</v>
      </c>
      <c r="B110" s="1273" t="s">
        <v>1536</v>
      </c>
      <c r="C110" s="1274">
        <v>0.129</v>
      </c>
      <c r="D110" s="1274">
        <v>0.129</v>
      </c>
      <c r="E110" s="1274">
        <v>0.126</v>
      </c>
      <c r="F110" s="1275">
        <v>0.13</v>
      </c>
    </row>
    <row r="111" spans="1:6">
      <c r="A111" s="1272" t="s">
        <v>292</v>
      </c>
      <c r="B111" s="1276" t="s">
        <v>1549</v>
      </c>
      <c r="C111" s="1277">
        <v>0.11</v>
      </c>
      <c r="D111" s="1277">
        <v>0.11</v>
      </c>
      <c r="E111" s="1277">
        <v>9.9000000000000005E-2</v>
      </c>
      <c r="F111" s="1278">
        <v>0.128</v>
      </c>
    </row>
    <row r="112" spans="1:6">
      <c r="A112" s="1272" t="s">
        <v>292</v>
      </c>
      <c r="B112" s="1276" t="s">
        <v>1562</v>
      </c>
      <c r="C112" s="1277">
        <v>0.125</v>
      </c>
      <c r="D112" s="1277">
        <v>0.125</v>
      </c>
      <c r="E112" s="1277">
        <v>0.12</v>
      </c>
      <c r="F112" s="1278">
        <v>0.125</v>
      </c>
    </row>
    <row r="113" spans="1:6">
      <c r="A113" s="1272" t="s">
        <v>292</v>
      </c>
      <c r="B113" s="1276" t="s">
        <v>1574</v>
      </c>
      <c r="C113" s="1277">
        <v>0.13</v>
      </c>
      <c r="D113" s="1277">
        <v>0.13</v>
      </c>
      <c r="E113" s="1277">
        <v>0.13</v>
      </c>
      <c r="F113" s="1278">
        <v>0.13</v>
      </c>
    </row>
    <row r="114" spans="1:6">
      <c r="A114" s="1272" t="s">
        <v>292</v>
      </c>
      <c r="B114" s="1276" t="s">
        <v>1586</v>
      </c>
      <c r="C114" s="1277">
        <v>0.123</v>
      </c>
      <c r="D114" s="1277">
        <v>0.123</v>
      </c>
      <c r="E114" s="1277">
        <v>0.12</v>
      </c>
      <c r="F114" s="1278">
        <v>0.13</v>
      </c>
    </row>
    <row r="115" spans="1:6">
      <c r="A115" s="1272" t="s">
        <v>292</v>
      </c>
      <c r="B115" s="1276" t="s">
        <v>1597</v>
      </c>
      <c r="C115" s="1277">
        <v>0.125</v>
      </c>
      <c r="D115" s="1277">
        <v>0.125</v>
      </c>
      <c r="E115" s="1277">
        <v>0.11700000000000001</v>
      </c>
      <c r="F115" s="1278">
        <v>0.13</v>
      </c>
    </row>
    <row r="116" spans="1:6">
      <c r="A116" s="1272" t="s">
        <v>292</v>
      </c>
      <c r="B116" s="1276" t="s">
        <v>1608</v>
      </c>
      <c r="C116" s="1277">
        <v>0.11700000000000001</v>
      </c>
      <c r="D116" s="1277">
        <v>0.11700000000000001</v>
      </c>
      <c r="E116" s="1277">
        <v>8.7999999999999995E-2</v>
      </c>
      <c r="F116" s="1278">
        <v>0.13</v>
      </c>
    </row>
    <row r="117" spans="1:6">
      <c r="A117" s="1272" t="s">
        <v>292</v>
      </c>
      <c r="B117" s="1276" t="s">
        <v>1619</v>
      </c>
      <c r="C117" s="1277">
        <v>0.13</v>
      </c>
      <c r="D117" s="1277">
        <v>0.13</v>
      </c>
      <c r="E117" s="1277">
        <v>0.129</v>
      </c>
      <c r="F117" s="1278">
        <v>0.13</v>
      </c>
    </row>
    <row r="118" spans="1:6">
      <c r="A118" s="1272" t="s">
        <v>292</v>
      </c>
      <c r="B118" s="1276" t="s">
        <v>1629</v>
      </c>
      <c r="C118" s="1277">
        <v>0.123</v>
      </c>
      <c r="D118" s="1277">
        <v>0.123</v>
      </c>
      <c r="E118" s="1277">
        <v>0.11600000000000001</v>
      </c>
      <c r="F118" s="1278">
        <v>0.13</v>
      </c>
    </row>
    <row r="119" spans="1:6">
      <c r="A119" s="1272" t="s">
        <v>292</v>
      </c>
      <c r="B119" s="1276" t="s">
        <v>1639</v>
      </c>
      <c r="C119" s="1277">
        <v>0.127</v>
      </c>
      <c r="D119" s="1277">
        <v>0.127</v>
      </c>
      <c r="E119" s="1277">
        <v>0.124</v>
      </c>
      <c r="F119" s="1278">
        <v>0.13</v>
      </c>
    </row>
    <row r="120" spans="1:6">
      <c r="A120" s="1272" t="s">
        <v>292</v>
      </c>
      <c r="B120" s="1276" t="s">
        <v>1649</v>
      </c>
      <c r="C120" s="1277">
        <v>0.125</v>
      </c>
      <c r="D120" s="1277">
        <v>0.125</v>
      </c>
      <c r="E120" s="1277">
        <v>0.122</v>
      </c>
      <c r="F120" s="1278">
        <v>0.13</v>
      </c>
    </row>
    <row r="121" spans="1:6">
      <c r="A121" s="1272" t="s">
        <v>292</v>
      </c>
      <c r="B121" s="1276" t="s">
        <v>1659</v>
      </c>
      <c r="C121" s="1277">
        <v>0.13</v>
      </c>
      <c r="D121" s="1277">
        <v>0.13</v>
      </c>
      <c r="E121" s="1277">
        <v>0.13</v>
      </c>
      <c r="F121" s="1278">
        <v>0.13</v>
      </c>
    </row>
    <row r="122" spans="1:6">
      <c r="A122" s="1272" t="s">
        <v>292</v>
      </c>
      <c r="B122" s="1276" t="s">
        <v>1669</v>
      </c>
      <c r="C122" s="1277">
        <v>0.13</v>
      </c>
      <c r="D122" s="1277">
        <v>0.13</v>
      </c>
      <c r="E122" s="1277">
        <v>0.125</v>
      </c>
      <c r="F122" s="1278">
        <v>0.13</v>
      </c>
    </row>
    <row r="123" spans="1:6">
      <c r="A123" s="1272" t="s">
        <v>292</v>
      </c>
      <c r="B123" s="1276" t="s">
        <v>1679</v>
      </c>
      <c r="C123" s="1277">
        <v>0.129</v>
      </c>
      <c r="D123" s="1277">
        <v>0.129</v>
      </c>
      <c r="E123" s="1277">
        <v>0.123</v>
      </c>
      <c r="F123" s="1278">
        <v>0.13</v>
      </c>
    </row>
    <row r="124" spans="1:6">
      <c r="A124" s="1272" t="s">
        <v>292</v>
      </c>
      <c r="B124" s="1276" t="s">
        <v>1689</v>
      </c>
      <c r="C124" s="1277">
        <v>0.10199999999999999</v>
      </c>
      <c r="D124" s="1277">
        <v>0.10100000000000001</v>
      </c>
      <c r="E124" s="1277">
        <v>0.08</v>
      </c>
      <c r="F124" s="1285"/>
    </row>
    <row r="125" spans="1:6">
      <c r="A125" s="1272" t="s">
        <v>292</v>
      </c>
      <c r="B125" s="1276" t="s">
        <v>1699</v>
      </c>
      <c r="C125" s="1277">
        <v>0.13</v>
      </c>
      <c r="D125" s="1277">
        <v>0.13</v>
      </c>
      <c r="E125" s="1277">
        <v>0.129</v>
      </c>
      <c r="F125" s="1285"/>
    </row>
    <row r="126" spans="1:6">
      <c r="A126" s="1272" t="s">
        <v>292</v>
      </c>
      <c r="B126" s="1276" t="s">
        <v>1709</v>
      </c>
      <c r="C126" s="1277">
        <v>0.13</v>
      </c>
      <c r="D126" s="1277">
        <v>0.13</v>
      </c>
      <c r="E126" s="1277">
        <v>0.126</v>
      </c>
      <c r="F126" s="1285"/>
    </row>
    <row r="127" spans="1:6">
      <c r="A127" s="1272" t="s">
        <v>292</v>
      </c>
      <c r="B127" s="1276" t="s">
        <v>1719</v>
      </c>
      <c r="C127" s="1277">
        <v>0.125</v>
      </c>
      <c r="D127" s="1277">
        <v>0.125</v>
      </c>
      <c r="E127" s="1277">
        <v>0.121</v>
      </c>
      <c r="F127" s="1285"/>
    </row>
    <row r="128" spans="1:6">
      <c r="A128" s="1272" t="s">
        <v>292</v>
      </c>
      <c r="B128" s="1276" t="s">
        <v>1729</v>
      </c>
      <c r="C128" s="1277">
        <v>0.12</v>
      </c>
      <c r="D128" s="1277">
        <v>0.12</v>
      </c>
      <c r="E128" s="1277">
        <v>0.105</v>
      </c>
      <c r="F128" s="1285"/>
    </row>
    <row r="129" spans="1:6">
      <c r="A129" s="1272" t="s">
        <v>292</v>
      </c>
      <c r="B129" s="1276" t="s">
        <v>1738</v>
      </c>
      <c r="C129" s="1277">
        <v>0.13</v>
      </c>
      <c r="D129" s="1277">
        <v>0.13</v>
      </c>
      <c r="E129" s="1277">
        <v>0.126</v>
      </c>
      <c r="F129" s="1285"/>
    </row>
    <row r="130" spans="1:6">
      <c r="A130" s="1272" t="s">
        <v>292</v>
      </c>
      <c r="B130" s="1276" t="s">
        <v>1746</v>
      </c>
      <c r="C130" s="1277">
        <v>0.125</v>
      </c>
      <c r="D130" s="1277">
        <v>0.125</v>
      </c>
      <c r="E130" s="1277">
        <v>0.122</v>
      </c>
      <c r="F130" s="1285"/>
    </row>
    <row r="131" spans="1:6">
      <c r="A131" s="1272" t="s">
        <v>292</v>
      </c>
      <c r="B131" s="1276" t="s">
        <v>1754</v>
      </c>
      <c r="C131" s="1277">
        <v>0.127</v>
      </c>
      <c r="D131" s="1277">
        <v>0.126</v>
      </c>
      <c r="E131" s="1277">
        <v>0.123</v>
      </c>
      <c r="F131" s="1285"/>
    </row>
    <row r="132" spans="1:6">
      <c r="A132" s="1272" t="s">
        <v>292</v>
      </c>
      <c r="B132" s="1276" t="s">
        <v>1761</v>
      </c>
      <c r="C132" s="1277">
        <v>9.0999999999999998E-2</v>
      </c>
      <c r="D132" s="1277">
        <v>0.121</v>
      </c>
      <c r="E132" s="1277">
        <v>9.9000000000000005E-2</v>
      </c>
      <c r="F132" s="1285"/>
    </row>
    <row r="133" spans="1:6">
      <c r="A133" s="1272" t="s">
        <v>292</v>
      </c>
      <c r="B133" s="1276" t="s">
        <v>1768</v>
      </c>
      <c r="C133" s="1277">
        <v>0.13</v>
      </c>
      <c r="D133" s="1277">
        <v>0.13</v>
      </c>
      <c r="E133" s="1277">
        <v>0.129</v>
      </c>
      <c r="F133" s="1285"/>
    </row>
    <row r="134" spans="1:6">
      <c r="A134" s="1272" t="s">
        <v>292</v>
      </c>
      <c r="B134" s="1276" t="s">
        <v>1775</v>
      </c>
      <c r="C134" s="1277">
        <v>6.8000000000000005E-2</v>
      </c>
      <c r="D134" s="1277">
        <v>6.5000000000000002E-2</v>
      </c>
      <c r="E134" s="1277">
        <v>6.5000000000000002E-2</v>
      </c>
      <c r="F134" s="1278">
        <v>0.13</v>
      </c>
    </row>
    <row r="135" spans="1:6">
      <c r="A135" s="1272" t="s">
        <v>292</v>
      </c>
      <c r="B135" s="1276" t="s">
        <v>1782</v>
      </c>
      <c r="C135" s="1277">
        <v>0.123</v>
      </c>
      <c r="D135" s="1277">
        <v>0.123</v>
      </c>
      <c r="E135" s="1277">
        <v>0.11</v>
      </c>
      <c r="F135" s="1285"/>
    </row>
    <row r="136" spans="1:6">
      <c r="A136" s="1272" t="s">
        <v>292</v>
      </c>
      <c r="B136" s="1276" t="s">
        <v>1789</v>
      </c>
      <c r="C136" s="1277">
        <v>0.13</v>
      </c>
      <c r="D136" s="1277">
        <v>0.13</v>
      </c>
      <c r="E136" s="1277">
        <v>0.125</v>
      </c>
      <c r="F136" s="1285"/>
    </row>
    <row r="137" spans="1:6">
      <c r="A137" s="1272" t="s">
        <v>292</v>
      </c>
      <c r="B137" s="1276" t="s">
        <v>1794</v>
      </c>
      <c r="C137" s="1277">
        <v>0.121</v>
      </c>
      <c r="D137" s="1277">
        <v>0.122</v>
      </c>
      <c r="E137" s="1277">
        <v>0.115</v>
      </c>
      <c r="F137" s="1285"/>
    </row>
    <row r="138" spans="1:6">
      <c r="A138" s="1272" t="s">
        <v>292</v>
      </c>
      <c r="B138" s="1276" t="s">
        <v>1799</v>
      </c>
      <c r="C138" s="1277">
        <v>0.105</v>
      </c>
      <c r="D138" s="1277">
        <v>0.125</v>
      </c>
      <c r="E138" s="1277">
        <v>0.112</v>
      </c>
      <c r="F138" s="1285"/>
    </row>
    <row r="139" spans="1:6">
      <c r="A139" s="1272" t="s">
        <v>292</v>
      </c>
      <c r="B139" s="1276" t="s">
        <v>1804</v>
      </c>
      <c r="C139" s="1277">
        <v>0.127</v>
      </c>
      <c r="D139" s="1277">
        <v>0.127</v>
      </c>
      <c r="E139" s="1277">
        <v>0.122</v>
      </c>
      <c r="F139" s="1278">
        <v>0.13</v>
      </c>
    </row>
    <row r="140" spans="1:6">
      <c r="A140" s="1272" t="s">
        <v>292</v>
      </c>
      <c r="B140" s="1276" t="s">
        <v>1809</v>
      </c>
      <c r="C140" s="1277">
        <v>0.125</v>
      </c>
      <c r="D140" s="1277">
        <v>0.125</v>
      </c>
      <c r="E140" s="1277">
        <v>0.11899999999999999</v>
      </c>
      <c r="F140" s="1278">
        <v>0.13</v>
      </c>
    </row>
    <row r="141" spans="1:6">
      <c r="A141" s="1272" t="s">
        <v>292</v>
      </c>
      <c r="B141" s="1276" t="s">
        <v>1814</v>
      </c>
      <c r="C141" s="1277">
        <v>0.125</v>
      </c>
      <c r="D141" s="1277">
        <v>0.125</v>
      </c>
      <c r="E141" s="1277">
        <v>0.11700000000000001</v>
      </c>
      <c r="F141" s="1285"/>
    </row>
    <row r="142" spans="1:6">
      <c r="A142" s="1272" t="s">
        <v>292</v>
      </c>
      <c r="B142" s="1276" t="s">
        <v>1819</v>
      </c>
      <c r="C142" s="1277">
        <v>0.125</v>
      </c>
      <c r="D142" s="1277">
        <v>0.125</v>
      </c>
      <c r="E142" s="1277">
        <v>0.115</v>
      </c>
      <c r="F142" s="1285"/>
    </row>
    <row r="143" spans="1:6">
      <c r="A143" s="1272" t="s">
        <v>292</v>
      </c>
      <c r="B143" s="1276" t="s">
        <v>1824</v>
      </c>
      <c r="C143" s="1277">
        <v>0.121</v>
      </c>
      <c r="D143" s="1277">
        <v>0.121</v>
      </c>
      <c r="E143" s="1277">
        <v>0.108</v>
      </c>
      <c r="F143" s="1285"/>
    </row>
    <row r="144" spans="1:6">
      <c r="A144" s="1272" t="s">
        <v>292</v>
      </c>
      <c r="B144" s="1289" t="s">
        <v>1828</v>
      </c>
      <c r="C144" s="1290">
        <v>0.126</v>
      </c>
      <c r="D144" s="1290">
        <v>0.126</v>
      </c>
      <c r="E144" s="1290">
        <v>0.121</v>
      </c>
      <c r="F144" s="1285"/>
    </row>
    <row r="145" spans="1:6">
      <c r="A145" s="1280" t="s">
        <v>292</v>
      </c>
      <c r="B145" s="1291" t="s">
        <v>1832</v>
      </c>
      <c r="C145" s="1292"/>
      <c r="D145" s="1292"/>
      <c r="E145" s="1292"/>
      <c r="F145" s="1293">
        <v>0.05</v>
      </c>
    </row>
    <row r="146" spans="1:6" ht="24">
      <c r="A146" s="1294" t="s">
        <v>292</v>
      </c>
      <c r="B146" s="1279" t="s">
        <v>1836</v>
      </c>
      <c r="C146" s="1286"/>
      <c r="D146" s="1286"/>
      <c r="E146" s="1286"/>
      <c r="F146" s="1295">
        <v>0.05</v>
      </c>
    </row>
    <row r="147" spans="1:6" ht="24">
      <c r="A147" s="1272" t="s">
        <v>292</v>
      </c>
      <c r="B147" s="1276" t="s">
        <v>1840</v>
      </c>
      <c r="C147" s="1286"/>
      <c r="D147" s="1286"/>
      <c r="E147" s="1286"/>
      <c r="F147" s="1278">
        <v>0.05</v>
      </c>
    </row>
    <row r="148" spans="1:6" ht="24">
      <c r="A148" s="1272" t="s">
        <v>292</v>
      </c>
      <c r="B148" s="1276" t="s">
        <v>1844</v>
      </c>
      <c r="C148" s="1286"/>
      <c r="D148" s="1286"/>
      <c r="E148" s="1286"/>
      <c r="F148" s="1278">
        <v>0.05</v>
      </c>
    </row>
    <row r="149" spans="1:6" ht="24">
      <c r="A149" s="1272" t="s">
        <v>292</v>
      </c>
      <c r="B149" s="1276" t="s">
        <v>1848</v>
      </c>
      <c r="C149" s="1286"/>
      <c r="D149" s="1286"/>
      <c r="E149" s="1286"/>
      <c r="F149" s="1278">
        <v>0.05</v>
      </c>
    </row>
    <row r="150" spans="1:6" ht="24">
      <c r="A150" s="1272" t="s">
        <v>292</v>
      </c>
      <c r="B150" s="1276" t="s">
        <v>1851</v>
      </c>
      <c r="C150" s="1286"/>
      <c r="D150" s="1286"/>
      <c r="E150" s="1286"/>
      <c r="F150" s="1278">
        <v>0.05</v>
      </c>
    </row>
    <row r="151" spans="1:6" ht="24">
      <c r="A151" s="1272" t="s">
        <v>292</v>
      </c>
      <c r="B151" s="1276" t="s">
        <v>1854</v>
      </c>
      <c r="C151" s="1286"/>
      <c r="D151" s="1286"/>
      <c r="E151" s="1286"/>
      <c r="F151" s="1278">
        <v>0.05</v>
      </c>
    </row>
    <row r="152" spans="1:6" ht="24">
      <c r="A152" s="1272" t="s">
        <v>292</v>
      </c>
      <c r="B152" s="1276" t="s">
        <v>1857</v>
      </c>
      <c r="C152" s="1286"/>
      <c r="D152" s="1286"/>
      <c r="E152" s="1286"/>
      <c r="F152" s="1278">
        <v>0.05</v>
      </c>
    </row>
    <row r="153" spans="1:6">
      <c r="A153" s="1272" t="s">
        <v>292</v>
      </c>
      <c r="B153" s="1276" t="s">
        <v>1860</v>
      </c>
      <c r="C153" s="1286"/>
      <c r="D153" s="1286"/>
      <c r="E153" s="1286"/>
      <c r="F153" s="1278">
        <v>0.05</v>
      </c>
    </row>
    <row r="154" spans="1:6">
      <c r="A154" s="1272" t="s">
        <v>292</v>
      </c>
      <c r="B154" s="1276" t="s">
        <v>1863</v>
      </c>
      <c r="C154" s="1286"/>
      <c r="D154" s="1286"/>
      <c r="E154" s="1286"/>
      <c r="F154" s="1278">
        <v>0.05</v>
      </c>
    </row>
    <row r="155" spans="1:6" ht="24">
      <c r="A155" s="1272" t="s">
        <v>292</v>
      </c>
      <c r="B155" s="1276" t="s">
        <v>1866</v>
      </c>
      <c r="C155" s="1286"/>
      <c r="D155" s="1286"/>
      <c r="E155" s="1286"/>
      <c r="F155" s="1278">
        <v>0.05</v>
      </c>
    </row>
    <row r="156" spans="1:6" ht="24">
      <c r="A156" s="1272" t="s">
        <v>292</v>
      </c>
      <c r="B156" s="1276" t="s">
        <v>1868</v>
      </c>
      <c r="C156" s="1286"/>
      <c r="D156" s="1286"/>
      <c r="E156" s="1286"/>
      <c r="F156" s="1278">
        <v>0.05</v>
      </c>
    </row>
    <row r="157" spans="1:6">
      <c r="A157" s="1280" t="s">
        <v>292</v>
      </c>
      <c r="B157" s="1287" t="s">
        <v>1870</v>
      </c>
      <c r="C157" s="1283"/>
      <c r="D157" s="1283"/>
      <c r="E157" s="1283"/>
      <c r="F157" s="1288">
        <v>0.05</v>
      </c>
    </row>
    <row r="158" spans="1:6">
      <c r="A158" s="1272" t="s">
        <v>297</v>
      </c>
      <c r="B158" s="1273" t="s">
        <v>1537</v>
      </c>
      <c r="C158" s="1274">
        <v>0.13</v>
      </c>
      <c r="D158" s="1274">
        <v>0.13</v>
      </c>
      <c r="E158" s="1274">
        <v>0.13</v>
      </c>
      <c r="F158" s="1275">
        <v>0.13</v>
      </c>
    </row>
    <row r="159" spans="1:6">
      <c r="A159" s="1272" t="s">
        <v>297</v>
      </c>
      <c r="B159" s="1276" t="s">
        <v>1550</v>
      </c>
      <c r="C159" s="1277">
        <v>0.13</v>
      </c>
      <c r="D159" s="1277">
        <v>0.13</v>
      </c>
      <c r="E159" s="1277">
        <v>0.13</v>
      </c>
      <c r="F159" s="1278">
        <v>0.13</v>
      </c>
    </row>
    <row r="160" spans="1:6">
      <c r="A160" s="1272" t="s">
        <v>297</v>
      </c>
      <c r="B160" s="1276" t="s">
        <v>1563</v>
      </c>
      <c r="C160" s="1277">
        <v>0.13</v>
      </c>
      <c r="D160" s="1277">
        <v>0.13</v>
      </c>
      <c r="E160" s="1277">
        <v>0.129</v>
      </c>
      <c r="F160" s="1278">
        <v>0.13</v>
      </c>
    </row>
    <row r="161" spans="1:6">
      <c r="A161" s="1272" t="s">
        <v>297</v>
      </c>
      <c r="B161" s="1276" t="s">
        <v>1575</v>
      </c>
      <c r="C161" s="1277">
        <v>0.128</v>
      </c>
      <c r="D161" s="1277">
        <v>0.128</v>
      </c>
      <c r="E161" s="1277">
        <v>0.125</v>
      </c>
      <c r="F161" s="1278">
        <v>0.13</v>
      </c>
    </row>
    <row r="162" spans="1:6">
      <c r="A162" s="1272" t="s">
        <v>297</v>
      </c>
      <c r="B162" s="1276" t="s">
        <v>1587</v>
      </c>
      <c r="C162" s="1277">
        <v>0.122</v>
      </c>
      <c r="D162" s="1277">
        <v>0.122</v>
      </c>
      <c r="E162" s="1277">
        <v>0.126</v>
      </c>
      <c r="F162" s="1278">
        <v>0.122</v>
      </c>
    </row>
    <row r="163" spans="1:6">
      <c r="A163" s="1272" t="s">
        <v>297</v>
      </c>
      <c r="B163" s="1276" t="s">
        <v>1598</v>
      </c>
      <c r="C163" s="1277">
        <v>0.13</v>
      </c>
      <c r="D163" s="1277">
        <v>0.13</v>
      </c>
      <c r="E163" s="1277">
        <v>0.125</v>
      </c>
      <c r="F163" s="1278">
        <v>0.13</v>
      </c>
    </row>
    <row r="164" spans="1:6">
      <c r="A164" s="1272" t="s">
        <v>297</v>
      </c>
      <c r="B164" s="1276" t="s">
        <v>1609</v>
      </c>
      <c r="C164" s="1277">
        <v>0.13</v>
      </c>
      <c r="D164" s="1277">
        <v>0.13</v>
      </c>
      <c r="E164" s="1277">
        <v>0.13</v>
      </c>
      <c r="F164" s="1278">
        <v>0.13</v>
      </c>
    </row>
    <row r="165" spans="1:6">
      <c r="A165" s="1272" t="s">
        <v>297</v>
      </c>
      <c r="B165" s="1276" t="s">
        <v>1620</v>
      </c>
      <c r="C165" s="1277">
        <v>0.13</v>
      </c>
      <c r="D165" s="1277">
        <v>0.13</v>
      </c>
      <c r="E165" s="1277">
        <v>0.124</v>
      </c>
      <c r="F165" s="1278">
        <v>0.13</v>
      </c>
    </row>
    <row r="166" spans="1:6">
      <c r="A166" s="1272" t="s">
        <v>297</v>
      </c>
      <c r="B166" s="1276" t="s">
        <v>1630</v>
      </c>
      <c r="C166" s="1277">
        <v>0.13</v>
      </c>
      <c r="D166" s="1277">
        <v>0.13</v>
      </c>
      <c r="E166" s="1277">
        <v>0.13</v>
      </c>
      <c r="F166" s="1278">
        <v>0.13</v>
      </c>
    </row>
    <row r="167" spans="1:6">
      <c r="A167" s="1272" t="s">
        <v>297</v>
      </c>
      <c r="B167" s="1276" t="s">
        <v>1640</v>
      </c>
      <c r="C167" s="1277">
        <v>0.125</v>
      </c>
      <c r="D167" s="1277">
        <v>0.125</v>
      </c>
      <c r="E167" s="1277">
        <v>0.121</v>
      </c>
      <c r="F167" s="1285"/>
    </row>
    <row r="168" spans="1:6">
      <c r="A168" s="1272" t="s">
        <v>297</v>
      </c>
      <c r="B168" s="1276" t="s">
        <v>1650</v>
      </c>
      <c r="C168" s="1277">
        <v>0.13</v>
      </c>
      <c r="D168" s="1277">
        <v>0.13</v>
      </c>
      <c r="E168" s="1277">
        <v>0.126</v>
      </c>
      <c r="F168" s="1285"/>
    </row>
    <row r="169" spans="1:6">
      <c r="A169" s="1272" t="s">
        <v>297</v>
      </c>
      <c r="B169" s="1276" t="s">
        <v>1660</v>
      </c>
      <c r="C169" s="1277">
        <v>0.128</v>
      </c>
      <c r="D169" s="1277">
        <v>0.129</v>
      </c>
      <c r="E169" s="1277">
        <v>0.13</v>
      </c>
      <c r="F169" s="1285"/>
    </row>
    <row r="170" spans="1:6">
      <c r="A170" s="1272" t="s">
        <v>297</v>
      </c>
      <c r="B170" s="1276" t="s">
        <v>1670</v>
      </c>
      <c r="C170" s="1277">
        <v>0.14099999999999999</v>
      </c>
      <c r="D170" s="1277">
        <v>0.13</v>
      </c>
      <c r="E170" s="1277">
        <v>0.125</v>
      </c>
      <c r="F170" s="1285"/>
    </row>
    <row r="171" spans="1:6">
      <c r="A171" s="1272" t="s">
        <v>297</v>
      </c>
      <c r="B171" s="1276" t="s">
        <v>1680</v>
      </c>
      <c r="C171" s="1277">
        <v>0.127</v>
      </c>
      <c r="D171" s="1277">
        <v>0.126</v>
      </c>
      <c r="E171" s="1277">
        <v>0.126</v>
      </c>
      <c r="F171" s="1278">
        <v>0.11799999999999999</v>
      </c>
    </row>
    <row r="172" spans="1:6">
      <c r="A172" s="1272" t="s">
        <v>297</v>
      </c>
      <c r="B172" s="1276" t="s">
        <v>1690</v>
      </c>
      <c r="C172" s="1277">
        <v>0.13</v>
      </c>
      <c r="D172" s="1277">
        <v>0.13</v>
      </c>
      <c r="E172" s="1277">
        <v>0.13</v>
      </c>
      <c r="F172" s="1285"/>
    </row>
    <row r="173" spans="1:6">
      <c r="A173" s="1272" t="s">
        <v>297</v>
      </c>
      <c r="B173" s="1276" t="s">
        <v>1700</v>
      </c>
      <c r="C173" s="1277">
        <v>0.13</v>
      </c>
      <c r="D173" s="1277">
        <v>0.13</v>
      </c>
      <c r="E173" s="1277">
        <v>0.13</v>
      </c>
      <c r="F173" s="1285"/>
    </row>
    <row r="174" spans="1:6">
      <c r="A174" s="1272" t="s">
        <v>297</v>
      </c>
      <c r="B174" s="1276" t="s">
        <v>1710</v>
      </c>
      <c r="C174" s="1277">
        <v>0.13</v>
      </c>
      <c r="D174" s="1277">
        <v>0.13</v>
      </c>
      <c r="E174" s="1277">
        <v>0.13</v>
      </c>
      <c r="F174" s="1278">
        <v>0.13</v>
      </c>
    </row>
    <row r="175" spans="1:6">
      <c r="A175" s="1272" t="s">
        <v>297</v>
      </c>
      <c r="B175" s="1276" t="s">
        <v>1720</v>
      </c>
      <c r="C175" s="1277">
        <v>0.13</v>
      </c>
      <c r="D175" s="1277">
        <v>0.13</v>
      </c>
      <c r="E175" s="1277">
        <v>0.13</v>
      </c>
      <c r="F175" s="1278">
        <v>0.13</v>
      </c>
    </row>
    <row r="176" spans="1:6">
      <c r="A176" s="1272" t="s">
        <v>297</v>
      </c>
      <c r="B176" s="1276" t="s">
        <v>1730</v>
      </c>
      <c r="C176" s="1277">
        <v>0.13</v>
      </c>
      <c r="D176" s="1277">
        <v>0.13</v>
      </c>
      <c r="E176" s="1277">
        <v>0.13</v>
      </c>
      <c r="F176" s="1278">
        <v>0.13</v>
      </c>
    </row>
    <row r="177" spans="1:6">
      <c r="A177" s="1272" t="s">
        <v>297</v>
      </c>
      <c r="B177" s="1276" t="s">
        <v>1739</v>
      </c>
      <c r="C177" s="1277">
        <v>0.13</v>
      </c>
      <c r="D177" s="1277">
        <v>0.13</v>
      </c>
      <c r="E177" s="1277">
        <v>0.13</v>
      </c>
      <c r="F177" s="1278">
        <v>0.13</v>
      </c>
    </row>
    <row r="178" spans="1:6">
      <c r="A178" s="1272" t="s">
        <v>297</v>
      </c>
      <c r="B178" s="1276" t="s">
        <v>1747</v>
      </c>
      <c r="C178" s="1277">
        <v>0.13</v>
      </c>
      <c r="D178" s="1277">
        <v>0.13</v>
      </c>
      <c r="E178" s="1277">
        <v>0.13</v>
      </c>
      <c r="F178" s="1278">
        <v>0.127</v>
      </c>
    </row>
    <row r="179" spans="1:6">
      <c r="A179" s="1272" t="s">
        <v>297</v>
      </c>
      <c r="B179" s="1276" t="s">
        <v>1755</v>
      </c>
      <c r="C179" s="1277">
        <v>0.13</v>
      </c>
      <c r="D179" s="1277">
        <v>0.13</v>
      </c>
      <c r="E179" s="1277">
        <v>0.13</v>
      </c>
      <c r="F179" s="1285"/>
    </row>
    <row r="180" spans="1:6">
      <c r="A180" s="1272" t="s">
        <v>297</v>
      </c>
      <c r="B180" s="1276" t="s">
        <v>1762</v>
      </c>
      <c r="C180" s="1277">
        <v>0.13</v>
      </c>
      <c r="D180" s="1277">
        <v>0.13</v>
      </c>
      <c r="E180" s="1277">
        <v>0.125</v>
      </c>
      <c r="F180" s="1278">
        <v>0.13</v>
      </c>
    </row>
    <row r="181" spans="1:6">
      <c r="A181" s="1272" t="s">
        <v>297</v>
      </c>
      <c r="B181" s="1276" t="s">
        <v>1769</v>
      </c>
      <c r="C181" s="1277">
        <v>0.122</v>
      </c>
      <c r="D181" s="1277">
        <v>0.123</v>
      </c>
      <c r="E181" s="1277">
        <v>0.126</v>
      </c>
      <c r="F181" s="1278">
        <v>0.121</v>
      </c>
    </row>
    <row r="182" spans="1:6">
      <c r="A182" s="1272" t="s">
        <v>297</v>
      </c>
      <c r="B182" s="1276" t="s">
        <v>1776</v>
      </c>
      <c r="C182" s="1277">
        <v>0.125</v>
      </c>
      <c r="D182" s="1277">
        <v>0.125</v>
      </c>
      <c r="E182" s="1277">
        <v>0.11700000000000001</v>
      </c>
      <c r="F182" s="1278">
        <v>0.13</v>
      </c>
    </row>
    <row r="183" spans="1:6">
      <c r="A183" s="1272" t="s">
        <v>297</v>
      </c>
      <c r="B183" s="1276" t="s">
        <v>1783</v>
      </c>
      <c r="C183" s="1277">
        <v>0.127</v>
      </c>
      <c r="D183" s="1277">
        <v>0.127</v>
      </c>
      <c r="E183" s="1277">
        <v>0.128</v>
      </c>
      <c r="F183" s="1285"/>
    </row>
    <row r="184" spans="1:6">
      <c r="A184" s="1272" t="s">
        <v>297</v>
      </c>
      <c r="B184" s="1276" t="s">
        <v>1790</v>
      </c>
      <c r="C184" s="1277">
        <v>0.125</v>
      </c>
      <c r="D184" s="1277">
        <v>0.125</v>
      </c>
      <c r="E184" s="1277">
        <v>0.127</v>
      </c>
      <c r="F184" s="1285"/>
    </row>
    <row r="185" spans="1:6">
      <c r="A185" s="1272" t="s">
        <v>297</v>
      </c>
      <c r="B185" s="1276" t="s">
        <v>1795</v>
      </c>
      <c r="C185" s="1277">
        <v>0.127</v>
      </c>
      <c r="D185" s="1277">
        <v>0.127</v>
      </c>
      <c r="E185" s="1277">
        <v>0.128</v>
      </c>
      <c r="F185" s="1278">
        <v>0.13</v>
      </c>
    </row>
    <row r="186" spans="1:6" ht="24">
      <c r="A186" s="1272" t="s">
        <v>297</v>
      </c>
      <c r="B186" s="1276" t="s">
        <v>1800</v>
      </c>
      <c r="C186" s="1286"/>
      <c r="D186" s="1286"/>
      <c r="E186" s="1286"/>
      <c r="F186" s="1278">
        <v>0.05</v>
      </c>
    </row>
    <row r="187" spans="1:6">
      <c r="A187" s="1272" t="s">
        <v>297</v>
      </c>
      <c r="B187" s="1276" t="s">
        <v>1805</v>
      </c>
      <c r="C187" s="1286"/>
      <c r="D187" s="1286"/>
      <c r="E187" s="1286"/>
      <c r="F187" s="1278">
        <v>0.05</v>
      </c>
    </row>
    <row r="188" spans="1:6">
      <c r="A188" s="1272" t="s">
        <v>297</v>
      </c>
      <c r="B188" s="1276" t="s">
        <v>1810</v>
      </c>
      <c r="C188" s="1286"/>
      <c r="D188" s="1286"/>
      <c r="E188" s="1286"/>
      <c r="F188" s="1278">
        <v>0.05</v>
      </c>
    </row>
    <row r="189" spans="1:6" ht="24">
      <c r="A189" s="1272" t="s">
        <v>297</v>
      </c>
      <c r="B189" s="1276" t="s">
        <v>1815</v>
      </c>
      <c r="C189" s="1286"/>
      <c r="D189" s="1286"/>
      <c r="E189" s="1286"/>
      <c r="F189" s="1278">
        <v>0.05</v>
      </c>
    </row>
    <row r="190" spans="1:6" ht="24">
      <c r="A190" s="1272" t="s">
        <v>297</v>
      </c>
      <c r="B190" s="1276" t="s">
        <v>1820</v>
      </c>
      <c r="C190" s="1286"/>
      <c r="D190" s="1286"/>
      <c r="E190" s="1286"/>
      <c r="F190" s="1278">
        <v>0.05</v>
      </c>
    </row>
    <row r="191" spans="1:6" ht="24">
      <c r="A191" s="1272" t="s">
        <v>297</v>
      </c>
      <c r="B191" s="1276" t="s">
        <v>1825</v>
      </c>
      <c r="C191" s="1286"/>
      <c r="D191" s="1286"/>
      <c r="E191" s="1286"/>
      <c r="F191" s="1278">
        <v>0.05</v>
      </c>
    </row>
    <row r="192" spans="1:6" ht="24">
      <c r="A192" s="1272" t="s">
        <v>297</v>
      </c>
      <c r="B192" s="1276" t="s">
        <v>1829</v>
      </c>
      <c r="C192" s="1286"/>
      <c r="D192" s="1286"/>
      <c r="E192" s="1286"/>
      <c r="F192" s="1278">
        <v>0.05</v>
      </c>
    </row>
    <row r="193" spans="1:6" ht="24">
      <c r="A193" s="1272" t="s">
        <v>297</v>
      </c>
      <c r="B193" s="1276" t="s">
        <v>1833</v>
      </c>
      <c r="C193" s="1286"/>
      <c r="D193" s="1286"/>
      <c r="E193" s="1286"/>
      <c r="F193" s="1278">
        <v>0.05</v>
      </c>
    </row>
    <row r="194" spans="1:6" ht="24">
      <c r="A194" s="1272" t="s">
        <v>297</v>
      </c>
      <c r="B194" s="1276" t="s">
        <v>1837</v>
      </c>
      <c r="C194" s="1286"/>
      <c r="D194" s="1286"/>
      <c r="E194" s="1286"/>
      <c r="F194" s="1278">
        <v>0.05</v>
      </c>
    </row>
    <row r="195" spans="1:6">
      <c r="A195" s="1272" t="s">
        <v>297</v>
      </c>
      <c r="B195" s="1276" t="s">
        <v>1841</v>
      </c>
      <c r="C195" s="1286"/>
      <c r="D195" s="1286"/>
      <c r="E195" s="1286"/>
      <c r="F195" s="1278">
        <v>0.05</v>
      </c>
    </row>
    <row r="196" spans="1:6" ht="24">
      <c r="A196" s="1272" t="s">
        <v>297</v>
      </c>
      <c r="B196" s="1276" t="s">
        <v>1845</v>
      </c>
      <c r="C196" s="1286"/>
      <c r="D196" s="1286"/>
      <c r="E196" s="1286"/>
      <c r="F196" s="1278">
        <v>0.05</v>
      </c>
    </row>
    <row r="197" spans="1:6" ht="24">
      <c r="A197" s="1272" t="s">
        <v>297</v>
      </c>
      <c r="B197" s="1276" t="s">
        <v>1849</v>
      </c>
      <c r="C197" s="1286"/>
      <c r="D197" s="1286"/>
      <c r="E197" s="1286"/>
      <c r="F197" s="1278">
        <v>0.05</v>
      </c>
    </row>
    <row r="198" spans="1:6" ht="24">
      <c r="A198" s="1272" t="s">
        <v>297</v>
      </c>
      <c r="B198" s="1276" t="s">
        <v>1852</v>
      </c>
      <c r="C198" s="1286"/>
      <c r="D198" s="1286"/>
      <c r="E198" s="1286"/>
      <c r="F198" s="1278">
        <v>0.05</v>
      </c>
    </row>
    <row r="199" spans="1:6" ht="24">
      <c r="A199" s="1272" t="s">
        <v>297</v>
      </c>
      <c r="B199" s="1276" t="s">
        <v>1855</v>
      </c>
      <c r="C199" s="1286"/>
      <c r="D199" s="1286"/>
      <c r="E199" s="1286"/>
      <c r="F199" s="1278">
        <v>0.05</v>
      </c>
    </row>
    <row r="200" spans="1:6" ht="24">
      <c r="A200" s="1272" t="s">
        <v>297</v>
      </c>
      <c r="B200" s="1276" t="s">
        <v>1858</v>
      </c>
      <c r="C200" s="1286"/>
      <c r="D200" s="1286"/>
      <c r="E200" s="1286"/>
      <c r="F200" s="1278">
        <v>0.05</v>
      </c>
    </row>
    <row r="201" spans="1:6" ht="24">
      <c r="A201" s="1272" t="s">
        <v>297</v>
      </c>
      <c r="B201" s="1276" t="s">
        <v>1861</v>
      </c>
      <c r="C201" s="1286"/>
      <c r="D201" s="1286"/>
      <c r="E201" s="1286"/>
      <c r="F201" s="1278">
        <v>0.05</v>
      </c>
    </row>
    <row r="202" spans="1:6" ht="24">
      <c r="A202" s="1272" t="s">
        <v>297</v>
      </c>
      <c r="B202" s="1276" t="s">
        <v>1864</v>
      </c>
      <c r="C202" s="1286"/>
      <c r="D202" s="1286"/>
      <c r="E202" s="1286"/>
      <c r="F202" s="1278">
        <v>0.05</v>
      </c>
    </row>
    <row r="203" spans="1:6" ht="24">
      <c r="A203" s="1272" t="s">
        <v>297</v>
      </c>
      <c r="B203" s="1276" t="s">
        <v>1867</v>
      </c>
      <c r="C203" s="1286"/>
      <c r="D203" s="1286"/>
      <c r="E203" s="1286"/>
      <c r="F203" s="1278">
        <v>0.05</v>
      </c>
    </row>
    <row r="204" spans="1:6">
      <c r="A204" s="1272" t="s">
        <v>297</v>
      </c>
      <c r="B204" s="1276" t="s">
        <v>1869</v>
      </c>
      <c r="C204" s="1286"/>
      <c r="D204" s="1286"/>
      <c r="E204" s="1286"/>
      <c r="F204" s="1278">
        <v>0.05</v>
      </c>
    </row>
    <row r="205" spans="1:6">
      <c r="A205" s="1280" t="s">
        <v>297</v>
      </c>
      <c r="B205" s="1287" t="s">
        <v>1871</v>
      </c>
      <c r="C205" s="1283"/>
      <c r="D205" s="1283"/>
      <c r="E205" s="1283"/>
      <c r="F205" s="1288">
        <v>0.05</v>
      </c>
    </row>
    <row r="206" spans="1:6">
      <c r="A206" s="1272" t="s">
        <v>302</v>
      </c>
      <c r="B206" s="1273" t="s">
        <v>1538</v>
      </c>
      <c r="C206" s="1274">
        <v>0.15</v>
      </c>
      <c r="D206" s="1274">
        <v>0.15</v>
      </c>
      <c r="E206" s="1274">
        <v>0.15</v>
      </c>
      <c r="F206" s="1275">
        <v>0.15</v>
      </c>
    </row>
    <row r="207" spans="1:6">
      <c r="A207" s="1272" t="s">
        <v>302</v>
      </c>
      <c r="B207" s="1276" t="s">
        <v>1551</v>
      </c>
      <c r="C207" s="1277">
        <v>0.15</v>
      </c>
      <c r="D207" s="1277">
        <v>0.15</v>
      </c>
      <c r="E207" s="1277">
        <v>0.15</v>
      </c>
      <c r="F207" s="1278">
        <v>0.14399999999999999</v>
      </c>
    </row>
    <row r="208" spans="1:6">
      <c r="A208" s="1272" t="s">
        <v>302</v>
      </c>
      <c r="B208" s="1276" t="s">
        <v>1564</v>
      </c>
      <c r="C208" s="1277">
        <v>0.15</v>
      </c>
      <c r="D208" s="1277">
        <v>0.15</v>
      </c>
      <c r="E208" s="1277">
        <v>0.15</v>
      </c>
      <c r="F208" s="1278">
        <v>0.15</v>
      </c>
    </row>
    <row r="209" spans="1:6">
      <c r="A209" s="1272" t="s">
        <v>302</v>
      </c>
      <c r="B209" s="1276" t="s">
        <v>1576</v>
      </c>
      <c r="C209" s="1277">
        <v>0.13700000000000001</v>
      </c>
      <c r="D209" s="1277">
        <v>0.13700000000000001</v>
      </c>
      <c r="E209" s="1277">
        <v>0.14000000000000001</v>
      </c>
      <c r="F209" s="1278">
        <v>0.11700000000000001</v>
      </c>
    </row>
    <row r="210" spans="1:6">
      <c r="A210" s="1272" t="s">
        <v>302</v>
      </c>
      <c r="B210" s="1276" t="s">
        <v>1588</v>
      </c>
      <c r="C210" s="1277">
        <v>0.15</v>
      </c>
      <c r="D210" s="1277">
        <v>0.15</v>
      </c>
      <c r="E210" s="1277">
        <v>0.15</v>
      </c>
      <c r="F210" s="1278">
        <v>0.13800000000000001</v>
      </c>
    </row>
    <row r="211" spans="1:6">
      <c r="A211" s="1272" t="s">
        <v>302</v>
      </c>
      <c r="B211" s="1276" t="s">
        <v>1599</v>
      </c>
      <c r="C211" s="1277">
        <v>0.13700000000000001</v>
      </c>
      <c r="D211" s="1277">
        <v>0.13500000000000001</v>
      </c>
      <c r="E211" s="1277">
        <v>0.13600000000000001</v>
      </c>
      <c r="F211" s="1278">
        <v>0.1</v>
      </c>
    </row>
    <row r="212" spans="1:6">
      <c r="A212" s="1272" t="s">
        <v>302</v>
      </c>
      <c r="B212" s="1276" t="s">
        <v>1610</v>
      </c>
      <c r="C212" s="1277">
        <v>0.15</v>
      </c>
      <c r="D212" s="1277">
        <v>0.15</v>
      </c>
      <c r="E212" s="1277">
        <v>0.14799999999999999</v>
      </c>
      <c r="F212" s="1278">
        <v>0.13600000000000001</v>
      </c>
    </row>
    <row r="213" spans="1:6">
      <c r="A213" s="1272" t="s">
        <v>302</v>
      </c>
      <c r="B213" s="1276" t="s">
        <v>1621</v>
      </c>
      <c r="C213" s="1277">
        <v>0.15</v>
      </c>
      <c r="D213" s="1277">
        <v>0.15</v>
      </c>
      <c r="E213" s="1277">
        <v>0.15</v>
      </c>
      <c r="F213" s="1278">
        <v>0.13800000000000001</v>
      </c>
    </row>
    <row r="214" spans="1:6">
      <c r="A214" s="1272" t="s">
        <v>302</v>
      </c>
      <c r="B214" s="1276" t="s">
        <v>1631</v>
      </c>
      <c r="C214" s="1277">
        <v>9.0999999999999998E-2</v>
      </c>
      <c r="D214" s="1277">
        <v>0.09</v>
      </c>
      <c r="E214" s="1277">
        <v>9.1999999999999998E-2</v>
      </c>
      <c r="F214" s="1285"/>
    </row>
    <row r="215" spans="1:6">
      <c r="A215" s="1272" t="s">
        <v>302</v>
      </c>
      <c r="B215" s="1276" t="s">
        <v>1641</v>
      </c>
      <c r="C215" s="1277">
        <v>0.15</v>
      </c>
      <c r="D215" s="1277">
        <v>0.15</v>
      </c>
      <c r="E215" s="1277">
        <v>0.15</v>
      </c>
      <c r="F215" s="1278">
        <v>0.15</v>
      </c>
    </row>
    <row r="216" spans="1:6">
      <c r="A216" s="1272" t="s">
        <v>302</v>
      </c>
      <c r="B216" s="1276" t="s">
        <v>1651</v>
      </c>
      <c r="C216" s="1277">
        <v>0.14699999999999999</v>
      </c>
      <c r="D216" s="1277">
        <v>0.14699999999999999</v>
      </c>
      <c r="E216" s="1277">
        <v>0.15</v>
      </c>
      <c r="F216" s="1278">
        <v>0.14000000000000001</v>
      </c>
    </row>
    <row r="217" spans="1:6">
      <c r="A217" s="1272" t="s">
        <v>302</v>
      </c>
      <c r="B217" s="1276" t="s">
        <v>1661</v>
      </c>
      <c r="C217" s="1277">
        <v>0.15</v>
      </c>
      <c r="D217" s="1277">
        <v>0.15</v>
      </c>
      <c r="E217" s="1277">
        <v>0.15</v>
      </c>
      <c r="F217" s="1278">
        <v>0.15</v>
      </c>
    </row>
    <row r="218" spans="1:6">
      <c r="A218" s="1272" t="s">
        <v>302</v>
      </c>
      <c r="B218" s="1276" t="s">
        <v>1671</v>
      </c>
      <c r="C218" s="1277">
        <v>0.15</v>
      </c>
      <c r="D218" s="1277">
        <v>0.15</v>
      </c>
      <c r="E218" s="1277">
        <v>0.15</v>
      </c>
      <c r="F218" s="1278">
        <v>0.15</v>
      </c>
    </row>
    <row r="219" spans="1:6">
      <c r="A219" s="1272" t="s">
        <v>302</v>
      </c>
      <c r="B219" s="1276" t="s">
        <v>1681</v>
      </c>
      <c r="C219" s="1277">
        <v>0.15</v>
      </c>
      <c r="D219" s="1277">
        <v>0.15</v>
      </c>
      <c r="E219" s="1277">
        <v>0.15</v>
      </c>
      <c r="F219" s="1278">
        <v>0.14799999999999999</v>
      </c>
    </row>
    <row r="220" spans="1:6">
      <c r="A220" s="1272" t="s">
        <v>302</v>
      </c>
      <c r="B220" s="1276" t="s">
        <v>1691</v>
      </c>
      <c r="C220" s="1277">
        <v>0.15</v>
      </c>
      <c r="D220" s="1277">
        <v>0.15</v>
      </c>
      <c r="E220" s="1277">
        <v>0.15</v>
      </c>
      <c r="F220" s="1278">
        <v>0.15</v>
      </c>
    </row>
    <row r="221" spans="1:6">
      <c r="A221" s="1272" t="s">
        <v>302</v>
      </c>
      <c r="B221" s="1276" t="s">
        <v>1701</v>
      </c>
      <c r="C221" s="1277"/>
      <c r="D221" s="1286"/>
      <c r="E221" s="1286"/>
      <c r="F221" s="1278">
        <v>0.14799999999999999</v>
      </c>
    </row>
    <row r="222" spans="1:6">
      <c r="A222" s="1272" t="s">
        <v>302</v>
      </c>
      <c r="B222" s="1276" t="s">
        <v>1711</v>
      </c>
      <c r="C222" s="1277"/>
      <c r="D222" s="1286"/>
      <c r="E222" s="1286"/>
      <c r="F222" s="1278">
        <v>0.1</v>
      </c>
    </row>
    <row r="223" spans="1:6">
      <c r="A223" s="1272" t="s">
        <v>302</v>
      </c>
      <c r="B223" s="1276" t="s">
        <v>1721</v>
      </c>
      <c r="C223" s="1277"/>
      <c r="D223" s="1286"/>
      <c r="E223" s="1286"/>
      <c r="F223" s="1278">
        <v>0.15</v>
      </c>
    </row>
    <row r="224" spans="1:6">
      <c r="A224" s="1272" t="s">
        <v>302</v>
      </c>
      <c r="B224" s="1276" t="s">
        <v>1731</v>
      </c>
      <c r="C224" s="1277"/>
      <c r="D224" s="1286"/>
      <c r="E224" s="1286"/>
      <c r="F224" s="1278">
        <v>0.15</v>
      </c>
    </row>
    <row r="225" spans="1:6">
      <c r="A225" s="1272" t="s">
        <v>302</v>
      </c>
      <c r="B225" s="1276" t="s">
        <v>1740</v>
      </c>
      <c r="C225" s="1277">
        <v>0.15</v>
      </c>
      <c r="D225" s="1277">
        <v>0.15</v>
      </c>
      <c r="E225" s="1277">
        <v>0.15</v>
      </c>
      <c r="F225" s="1278">
        <v>0.15</v>
      </c>
    </row>
    <row r="226" spans="1:6">
      <c r="A226" s="1272" t="s">
        <v>302</v>
      </c>
      <c r="B226" s="1276" t="s">
        <v>1748</v>
      </c>
      <c r="C226" s="1277">
        <v>0.15</v>
      </c>
      <c r="D226" s="1277">
        <v>0.15</v>
      </c>
      <c r="E226" s="1277">
        <v>0.15</v>
      </c>
      <c r="F226" s="1278">
        <v>0.14799999999999999</v>
      </c>
    </row>
    <row r="227" spans="1:6">
      <c r="A227" s="1272" t="s">
        <v>302</v>
      </c>
      <c r="B227" s="1276" t="s">
        <v>1756</v>
      </c>
      <c r="C227" s="1277">
        <v>0.15</v>
      </c>
      <c r="D227" s="1277">
        <v>0.15</v>
      </c>
      <c r="E227" s="1277">
        <v>0.15</v>
      </c>
      <c r="F227" s="1278">
        <v>0.15</v>
      </c>
    </row>
    <row r="228" spans="1:6">
      <c r="A228" s="1272" t="s">
        <v>302</v>
      </c>
      <c r="B228" s="1276" t="s">
        <v>1763</v>
      </c>
      <c r="C228" s="1277">
        <v>0.15</v>
      </c>
      <c r="D228" s="1277">
        <v>0.15</v>
      </c>
      <c r="E228" s="1277">
        <v>0.15</v>
      </c>
      <c r="F228" s="1278">
        <v>0.15</v>
      </c>
    </row>
    <row r="229" spans="1:6">
      <c r="A229" s="1272" t="s">
        <v>302</v>
      </c>
      <c r="B229" s="1276" t="s">
        <v>1770</v>
      </c>
      <c r="C229" s="1277">
        <v>0.15</v>
      </c>
      <c r="D229" s="1277">
        <v>0.15</v>
      </c>
      <c r="E229" s="1277">
        <v>0.15</v>
      </c>
      <c r="F229" s="1285"/>
    </row>
    <row r="230" spans="1:6">
      <c r="A230" s="1272" t="s">
        <v>302</v>
      </c>
      <c r="B230" s="1276" t="s">
        <v>1777</v>
      </c>
      <c r="C230" s="1277">
        <v>0.14499999999999999</v>
      </c>
      <c r="D230" s="1277">
        <v>0.14499999999999999</v>
      </c>
      <c r="E230" s="1277">
        <v>0.14399999999999999</v>
      </c>
      <c r="F230" s="1285"/>
    </row>
    <row r="231" spans="1:6">
      <c r="A231" s="1272" t="s">
        <v>302</v>
      </c>
      <c r="B231" s="1276" t="s">
        <v>1784</v>
      </c>
      <c r="C231" s="1277">
        <v>0.128</v>
      </c>
      <c r="D231" s="1277">
        <v>0.125</v>
      </c>
      <c r="E231" s="1277">
        <v>0.13200000000000001</v>
      </c>
      <c r="F231" s="1285"/>
    </row>
    <row r="232" spans="1:6">
      <c r="A232" s="1272" t="s">
        <v>302</v>
      </c>
      <c r="B232" s="1276" t="s">
        <v>1791</v>
      </c>
      <c r="C232" s="1277">
        <v>0.14499999999999999</v>
      </c>
      <c r="D232" s="1277">
        <v>0.14399999999999999</v>
      </c>
      <c r="E232" s="1277">
        <v>0.14599999999999999</v>
      </c>
      <c r="F232" s="1278">
        <v>0.13800000000000001</v>
      </c>
    </row>
    <row r="233" spans="1:6">
      <c r="A233" s="1272" t="s">
        <v>302</v>
      </c>
      <c r="B233" s="1276" t="s">
        <v>1796</v>
      </c>
      <c r="C233" s="1277">
        <v>0.14499999999999999</v>
      </c>
      <c r="D233" s="1277">
        <v>0.14299999999999999</v>
      </c>
      <c r="E233" s="1277">
        <v>0.14199999999999999</v>
      </c>
      <c r="F233" s="1285"/>
    </row>
    <row r="234" spans="1:6">
      <c r="A234" s="1272" t="s">
        <v>302</v>
      </c>
      <c r="B234" s="1276" t="s">
        <v>1878</v>
      </c>
      <c r="C234" s="1277">
        <v>0.14000000000000001</v>
      </c>
      <c r="D234" s="1277">
        <v>0.14000000000000001</v>
      </c>
      <c r="E234" s="1277">
        <v>0.14399999999999999</v>
      </c>
      <c r="F234" s="1285"/>
    </row>
    <row r="235" spans="1:6">
      <c r="A235" s="1272" t="s">
        <v>302</v>
      </c>
      <c r="B235" s="1276" t="s">
        <v>1806</v>
      </c>
      <c r="C235" s="1277">
        <v>0.14099999999999999</v>
      </c>
      <c r="D235" s="1277">
        <v>0.14199999999999999</v>
      </c>
      <c r="E235" s="1277">
        <v>0.14499999999999999</v>
      </c>
      <c r="F235" s="1278">
        <v>0.15</v>
      </c>
    </row>
    <row r="236" spans="1:6">
      <c r="A236" s="1272" t="s">
        <v>302</v>
      </c>
      <c r="B236" s="1276" t="s">
        <v>1811</v>
      </c>
      <c r="C236" s="1286"/>
      <c r="D236" s="1286"/>
      <c r="E236" s="1286"/>
      <c r="F236" s="1278">
        <v>0.14299999999999999</v>
      </c>
    </row>
    <row r="237" spans="1:6" ht="24">
      <c r="A237" s="1272" t="s">
        <v>302</v>
      </c>
      <c r="B237" s="1276" t="s">
        <v>1816</v>
      </c>
      <c r="C237" s="1286"/>
      <c r="D237" s="1286"/>
      <c r="E237" s="1286"/>
      <c r="F237" s="1278">
        <v>0.05</v>
      </c>
    </row>
    <row r="238" spans="1:6" ht="24">
      <c r="A238" s="1272" t="s">
        <v>302</v>
      </c>
      <c r="B238" s="1276" t="s">
        <v>1821</v>
      </c>
      <c r="C238" s="1286"/>
      <c r="D238" s="1286"/>
      <c r="E238" s="1286"/>
      <c r="F238" s="1278">
        <v>0.05</v>
      </c>
    </row>
    <row r="239" spans="1:6" ht="24">
      <c r="A239" s="1272" t="s">
        <v>302</v>
      </c>
      <c r="B239" s="1276" t="s">
        <v>1826</v>
      </c>
      <c r="C239" s="1286"/>
      <c r="D239" s="1286"/>
      <c r="E239" s="1286"/>
      <c r="F239" s="1278">
        <v>0.05</v>
      </c>
    </row>
    <row r="240" spans="1:6" ht="24">
      <c r="A240" s="1272" t="s">
        <v>302</v>
      </c>
      <c r="B240" s="1276" t="s">
        <v>1830</v>
      </c>
      <c r="C240" s="1286"/>
      <c r="D240" s="1286"/>
      <c r="E240" s="1286"/>
      <c r="F240" s="1278">
        <v>0.05</v>
      </c>
    </row>
    <row r="241" spans="1:6" ht="24">
      <c r="A241" s="1272" t="s">
        <v>302</v>
      </c>
      <c r="B241" s="1276" t="s">
        <v>1834</v>
      </c>
      <c r="C241" s="1286"/>
      <c r="D241" s="1286"/>
      <c r="E241" s="1286"/>
      <c r="F241" s="1278">
        <v>0.05</v>
      </c>
    </row>
    <row r="242" spans="1:6" ht="24">
      <c r="A242" s="1272" t="s">
        <v>302</v>
      </c>
      <c r="B242" s="1276" t="s">
        <v>1838</v>
      </c>
      <c r="C242" s="1286"/>
      <c r="D242" s="1286"/>
      <c r="E242" s="1286"/>
      <c r="F242" s="1278">
        <v>0.05</v>
      </c>
    </row>
    <row r="243" spans="1:6" ht="24">
      <c r="A243" s="1272" t="s">
        <v>302</v>
      </c>
      <c r="B243" s="1276" t="s">
        <v>1842</v>
      </c>
      <c r="C243" s="1286"/>
      <c r="D243" s="1286"/>
      <c r="E243" s="1286"/>
      <c r="F243" s="1278">
        <v>0.05</v>
      </c>
    </row>
    <row r="244" spans="1:6" ht="24">
      <c r="A244" s="1280" t="s">
        <v>302</v>
      </c>
      <c r="B244" s="1287" t="s">
        <v>1846</v>
      </c>
      <c r="C244" s="1283"/>
      <c r="D244" s="1283"/>
      <c r="E244" s="1283"/>
      <c r="F244" s="1288">
        <v>0.05</v>
      </c>
    </row>
    <row r="245" spans="1:6">
      <c r="A245" s="1272" t="s">
        <v>305</v>
      </c>
      <c r="B245" s="1273" t="s">
        <v>1539</v>
      </c>
      <c r="C245" s="1274">
        <v>0.15</v>
      </c>
      <c r="D245" s="1274">
        <v>0.15</v>
      </c>
      <c r="E245" s="1274">
        <v>0.15</v>
      </c>
      <c r="F245" s="1275">
        <v>0.14299999999999999</v>
      </c>
    </row>
    <row r="246" spans="1:6">
      <c r="A246" s="1272" t="s">
        <v>305</v>
      </c>
      <c r="B246" s="1276" t="s">
        <v>1552</v>
      </c>
      <c r="C246" s="1277">
        <v>0.15</v>
      </c>
      <c r="D246" s="1277">
        <v>0.15</v>
      </c>
      <c r="E246" s="1277">
        <v>0.15</v>
      </c>
      <c r="F246" s="1278">
        <v>0.114</v>
      </c>
    </row>
    <row r="247" spans="1:6">
      <c r="A247" s="1272" t="s">
        <v>305</v>
      </c>
      <c r="B247" s="1276" t="s">
        <v>1565</v>
      </c>
      <c r="C247" s="1277">
        <v>0.15</v>
      </c>
      <c r="D247" s="1277">
        <v>0.15</v>
      </c>
      <c r="E247" s="1277">
        <v>0.15</v>
      </c>
      <c r="F247" s="1278">
        <v>0.15</v>
      </c>
    </row>
    <row r="248" spans="1:6">
      <c r="A248" s="1272" t="s">
        <v>305</v>
      </c>
      <c r="B248" s="1276" t="s">
        <v>1577</v>
      </c>
      <c r="C248" s="1277">
        <v>0.15</v>
      </c>
      <c r="D248" s="1277">
        <v>0.15</v>
      </c>
      <c r="E248" s="1277">
        <v>0.15</v>
      </c>
      <c r="F248" s="1278">
        <v>0.14000000000000001</v>
      </c>
    </row>
    <row r="249" spans="1:6">
      <c r="A249" s="1272" t="s">
        <v>305</v>
      </c>
      <c r="B249" s="1276" t="s">
        <v>1589</v>
      </c>
      <c r="C249" s="1277">
        <v>0.15</v>
      </c>
      <c r="D249" s="1277">
        <v>0.14899999999999999</v>
      </c>
      <c r="E249" s="1277">
        <v>0.15</v>
      </c>
      <c r="F249" s="1278">
        <v>0.1</v>
      </c>
    </row>
    <row r="250" spans="1:6">
      <c r="A250" s="1272" t="s">
        <v>305</v>
      </c>
      <c r="B250" s="1276" t="s">
        <v>1600</v>
      </c>
      <c r="C250" s="1277">
        <v>0.15</v>
      </c>
      <c r="D250" s="1277">
        <v>0.15</v>
      </c>
      <c r="E250" s="1277">
        <v>0.15</v>
      </c>
      <c r="F250" s="1278">
        <v>0.14399999999999999</v>
      </c>
    </row>
    <row r="251" spans="1:6">
      <c r="A251" s="1272" t="s">
        <v>305</v>
      </c>
      <c r="B251" s="1276" t="s">
        <v>1611</v>
      </c>
      <c r="C251" s="1277">
        <v>0.15</v>
      </c>
      <c r="D251" s="1277">
        <v>0.15</v>
      </c>
      <c r="E251" s="1277">
        <v>0.15</v>
      </c>
      <c r="F251" s="1278">
        <v>0.14299999999999999</v>
      </c>
    </row>
    <row r="252" spans="1:6">
      <c r="A252" s="1272" t="s">
        <v>305</v>
      </c>
      <c r="B252" s="1276" t="s">
        <v>1622</v>
      </c>
      <c r="C252" s="1277">
        <v>0.15</v>
      </c>
      <c r="D252" s="1277">
        <v>0.15</v>
      </c>
      <c r="E252" s="1277">
        <v>0.15</v>
      </c>
      <c r="F252" s="1278">
        <v>0.1</v>
      </c>
    </row>
    <row r="253" spans="1:6">
      <c r="A253" s="1272" t="s">
        <v>305</v>
      </c>
      <c r="B253" s="1276" t="s">
        <v>1632</v>
      </c>
      <c r="C253" s="1277">
        <v>0.15</v>
      </c>
      <c r="D253" s="1277">
        <v>0.15</v>
      </c>
      <c r="E253" s="1277">
        <v>0.15</v>
      </c>
      <c r="F253" s="1278">
        <v>0.1</v>
      </c>
    </row>
    <row r="254" spans="1:6">
      <c r="A254" s="1272" t="s">
        <v>305</v>
      </c>
      <c r="B254" s="1276" t="s">
        <v>1642</v>
      </c>
      <c r="C254" s="1286"/>
      <c r="D254" s="1286"/>
      <c r="E254" s="1286"/>
      <c r="F254" s="1278">
        <v>0.15</v>
      </c>
    </row>
    <row r="255" spans="1:6">
      <c r="A255" s="1272" t="s">
        <v>305</v>
      </c>
      <c r="B255" s="1276" t="s">
        <v>1652</v>
      </c>
      <c r="C255" s="1286"/>
      <c r="D255" s="1286"/>
      <c r="E255" s="1286"/>
      <c r="F255" s="1278">
        <v>0.14299999999999999</v>
      </c>
    </row>
    <row r="256" spans="1:6">
      <c r="A256" s="1272" t="s">
        <v>305</v>
      </c>
      <c r="B256" s="1276" t="s">
        <v>1662</v>
      </c>
      <c r="C256" s="1277">
        <v>0.14599999999999999</v>
      </c>
      <c r="D256" s="1277">
        <v>0.14699999999999999</v>
      </c>
      <c r="E256" s="1277">
        <v>0.15</v>
      </c>
      <c r="F256" s="1278">
        <v>0.13200000000000001</v>
      </c>
    </row>
    <row r="257" spans="1:6">
      <c r="A257" s="1272" t="s">
        <v>305</v>
      </c>
      <c r="B257" s="1276" t="s">
        <v>1672</v>
      </c>
      <c r="C257" s="1277">
        <v>0.15</v>
      </c>
      <c r="D257" s="1277">
        <v>0.15</v>
      </c>
      <c r="E257" s="1277">
        <v>0.15</v>
      </c>
      <c r="F257" s="1278">
        <v>0.13900000000000001</v>
      </c>
    </row>
    <row r="258" spans="1:6">
      <c r="A258" s="1272" t="s">
        <v>305</v>
      </c>
      <c r="B258" s="1276" t="s">
        <v>1682</v>
      </c>
      <c r="C258" s="1277">
        <v>0.15</v>
      </c>
      <c r="D258" s="1277">
        <v>0.15</v>
      </c>
      <c r="E258" s="1277">
        <v>0.15</v>
      </c>
      <c r="F258" s="1278">
        <v>0.13</v>
      </c>
    </row>
    <row r="259" spans="1:6">
      <c r="A259" s="1272" t="s">
        <v>305</v>
      </c>
      <c r="B259" s="1276" t="s">
        <v>1692</v>
      </c>
      <c r="C259" s="1277">
        <v>0.14799999999999999</v>
      </c>
      <c r="D259" s="1277">
        <v>0.14899999999999999</v>
      </c>
      <c r="E259" s="1277">
        <v>0.15</v>
      </c>
      <c r="F259" s="1278">
        <v>0.13700000000000001</v>
      </c>
    </row>
    <row r="260" spans="1:6">
      <c r="A260" s="1272" t="s">
        <v>305</v>
      </c>
      <c r="B260" s="1276" t="s">
        <v>1702</v>
      </c>
      <c r="C260" s="1277">
        <v>0.15</v>
      </c>
      <c r="D260" s="1277">
        <v>0.15</v>
      </c>
      <c r="E260" s="1277">
        <v>0.15</v>
      </c>
      <c r="F260" s="1278">
        <v>0.14199999999999999</v>
      </c>
    </row>
    <row r="261" spans="1:6">
      <c r="A261" s="1272" t="s">
        <v>305</v>
      </c>
      <c r="B261" s="1276" t="s">
        <v>1712</v>
      </c>
      <c r="C261" s="1277">
        <v>0.15</v>
      </c>
      <c r="D261" s="1277">
        <v>0.15</v>
      </c>
      <c r="E261" s="1277">
        <v>0.14899999999999999</v>
      </c>
      <c r="F261" s="1278">
        <v>0.14799999999999999</v>
      </c>
    </row>
    <row r="262" spans="1:6">
      <c r="A262" s="1272" t="s">
        <v>305</v>
      </c>
      <c r="B262" s="1276" t="s">
        <v>1722</v>
      </c>
      <c r="C262" s="1277">
        <v>0.15</v>
      </c>
      <c r="D262" s="1277">
        <v>0.15</v>
      </c>
      <c r="E262" s="1277">
        <v>0.15</v>
      </c>
      <c r="F262" s="1285"/>
    </row>
    <row r="263" spans="1:6">
      <c r="A263" s="1272" t="s">
        <v>305</v>
      </c>
      <c r="B263" s="1276" t="s">
        <v>1732</v>
      </c>
      <c r="C263" s="1277">
        <v>0.14899999999999999</v>
      </c>
      <c r="D263" s="1277">
        <v>0.14899999999999999</v>
      </c>
      <c r="E263" s="1277">
        <v>0.15</v>
      </c>
      <c r="F263" s="1278">
        <v>0.13</v>
      </c>
    </row>
    <row r="264" spans="1:6">
      <c r="A264" s="1272" t="s">
        <v>305</v>
      </c>
      <c r="B264" s="1276" t="s">
        <v>1741</v>
      </c>
      <c r="C264" s="1277">
        <v>0.14799999999999999</v>
      </c>
      <c r="D264" s="1277">
        <v>0.14699999999999999</v>
      </c>
      <c r="E264" s="1277">
        <v>0.15</v>
      </c>
      <c r="F264" s="1278">
        <v>7.8E-2</v>
      </c>
    </row>
    <row r="265" spans="1:6">
      <c r="A265" s="1272" t="s">
        <v>305</v>
      </c>
      <c r="B265" s="1276" t="s">
        <v>1749</v>
      </c>
      <c r="C265" s="1277">
        <v>0.15</v>
      </c>
      <c r="D265" s="1277">
        <v>0.15</v>
      </c>
      <c r="E265" s="1277">
        <v>0.15</v>
      </c>
      <c r="F265" s="1278">
        <v>7.3999999999999996E-2</v>
      </c>
    </row>
    <row r="266" spans="1:6">
      <c r="A266" s="1272" t="s">
        <v>305</v>
      </c>
      <c r="B266" s="1276" t="s">
        <v>1757</v>
      </c>
      <c r="C266" s="1277">
        <v>0.14699999999999999</v>
      </c>
      <c r="D266" s="1277">
        <v>0.14699999999999999</v>
      </c>
      <c r="E266" s="1277">
        <v>0.15</v>
      </c>
      <c r="F266" s="1278">
        <v>0.14299999999999999</v>
      </c>
    </row>
    <row r="267" spans="1:6">
      <c r="A267" s="1272" t="s">
        <v>305</v>
      </c>
      <c r="B267" s="1276" t="s">
        <v>1764</v>
      </c>
      <c r="C267" s="1277">
        <v>0.14199999999999999</v>
      </c>
      <c r="D267" s="1277">
        <v>0.14299999999999999</v>
      </c>
      <c r="E267" s="1277">
        <v>0.15</v>
      </c>
      <c r="F267" s="1285"/>
    </row>
    <row r="268" spans="1:6">
      <c r="A268" s="1272" t="s">
        <v>305</v>
      </c>
      <c r="B268" s="1276" t="s">
        <v>1771</v>
      </c>
      <c r="C268" s="1277">
        <v>0.15</v>
      </c>
      <c r="D268" s="1277">
        <v>0.15</v>
      </c>
      <c r="E268" s="1277">
        <v>0.15</v>
      </c>
      <c r="F268" s="1278">
        <v>0.13</v>
      </c>
    </row>
    <row r="269" spans="1:6">
      <c r="A269" s="1272" t="s">
        <v>305</v>
      </c>
      <c r="B269" s="1276" t="s">
        <v>1778</v>
      </c>
      <c r="C269" s="1277">
        <v>0.15</v>
      </c>
      <c r="D269" s="1277">
        <v>0.15</v>
      </c>
      <c r="E269" s="1277">
        <v>0.15</v>
      </c>
      <c r="F269" s="1278">
        <v>0.14299999999999999</v>
      </c>
    </row>
    <row r="270" spans="1:6">
      <c r="A270" s="1272" t="s">
        <v>305</v>
      </c>
      <c r="B270" s="1276" t="s">
        <v>1785</v>
      </c>
      <c r="C270" s="1277">
        <v>0.14499999999999999</v>
      </c>
      <c r="D270" s="1277">
        <v>0.14499999999999999</v>
      </c>
      <c r="E270" s="1277">
        <v>0.15</v>
      </c>
      <c r="F270" s="1278">
        <v>0.14699999999999999</v>
      </c>
    </row>
    <row r="271" spans="1:6">
      <c r="A271" s="1272" t="s">
        <v>305</v>
      </c>
      <c r="B271" s="1276" t="s">
        <v>1792</v>
      </c>
      <c r="C271" s="1277">
        <v>0.15</v>
      </c>
      <c r="D271" s="1277">
        <v>0.15</v>
      </c>
      <c r="E271" s="1277">
        <v>0.15</v>
      </c>
      <c r="F271" s="1278">
        <v>0.13800000000000001</v>
      </c>
    </row>
    <row r="272" spans="1:6">
      <c r="A272" s="1272" t="s">
        <v>305</v>
      </c>
      <c r="B272" s="1276" t="s">
        <v>1797</v>
      </c>
      <c r="C272" s="1286"/>
      <c r="D272" s="1286"/>
      <c r="E272" s="1286"/>
      <c r="F272" s="1278">
        <v>0.14000000000000001</v>
      </c>
    </row>
    <row r="273" spans="1:6">
      <c r="A273" s="1272" t="s">
        <v>305</v>
      </c>
      <c r="B273" s="1276" t="s">
        <v>1802</v>
      </c>
      <c r="C273" s="1277">
        <v>0.14199999999999999</v>
      </c>
      <c r="D273" s="1277">
        <v>0.14299999999999999</v>
      </c>
      <c r="E273" s="1277">
        <v>0.15</v>
      </c>
      <c r="F273" s="1278">
        <v>0.1</v>
      </c>
    </row>
    <row r="274" spans="1:6">
      <c r="A274" s="1272" t="s">
        <v>305</v>
      </c>
      <c r="B274" s="1276" t="s">
        <v>1807</v>
      </c>
      <c r="C274" s="1277">
        <v>0.14799999999999999</v>
      </c>
      <c r="D274" s="1277">
        <v>0.14799999999999999</v>
      </c>
      <c r="E274" s="1277">
        <v>0.15</v>
      </c>
      <c r="F274" s="1278">
        <v>6.7000000000000004E-2</v>
      </c>
    </row>
    <row r="275" spans="1:6">
      <c r="A275" s="1272" t="s">
        <v>305</v>
      </c>
      <c r="B275" s="1276" t="s">
        <v>1812</v>
      </c>
      <c r="C275" s="1277">
        <v>0.15</v>
      </c>
      <c r="D275" s="1277">
        <v>0.15</v>
      </c>
      <c r="E275" s="1277">
        <v>0.15</v>
      </c>
      <c r="F275" s="1278">
        <v>0.15</v>
      </c>
    </row>
    <row r="276" spans="1:6">
      <c r="A276" s="1272" t="s">
        <v>305</v>
      </c>
      <c r="B276" s="1276" t="s">
        <v>1817</v>
      </c>
      <c r="C276" s="1277">
        <v>0.14499999999999999</v>
      </c>
      <c r="D276" s="1277">
        <v>0.14299999999999999</v>
      </c>
      <c r="E276" s="1277">
        <v>0.15</v>
      </c>
      <c r="F276" s="1278">
        <v>5.8999999999999997E-2</v>
      </c>
    </row>
    <row r="277" spans="1:6">
      <c r="A277" s="1272" t="s">
        <v>305</v>
      </c>
      <c r="B277" s="1276" t="s">
        <v>1822</v>
      </c>
      <c r="C277" s="1277">
        <v>0.15</v>
      </c>
      <c r="D277" s="1277">
        <v>0.15</v>
      </c>
      <c r="E277" s="1277">
        <v>0.15</v>
      </c>
      <c r="F277" s="1278">
        <v>0.121</v>
      </c>
    </row>
    <row r="278" spans="1:6">
      <c r="A278" s="1272" t="s">
        <v>305</v>
      </c>
      <c r="B278" s="1276" t="s">
        <v>1827</v>
      </c>
      <c r="C278" s="1277">
        <v>0.15</v>
      </c>
      <c r="D278" s="1277">
        <v>0.15</v>
      </c>
      <c r="E278" s="1277">
        <v>0.15</v>
      </c>
      <c r="F278" s="1278">
        <v>0.13800000000000001</v>
      </c>
    </row>
    <row r="279" spans="1:6" ht="24">
      <c r="A279" s="1272" t="s">
        <v>305</v>
      </c>
      <c r="B279" s="1276" t="s">
        <v>1831</v>
      </c>
      <c r="C279" s="1286"/>
      <c r="D279" s="1286"/>
      <c r="E279" s="1286"/>
      <c r="F279" s="1278">
        <v>0.05</v>
      </c>
    </row>
    <row r="280" spans="1:6" ht="24">
      <c r="A280" s="1272" t="s">
        <v>305</v>
      </c>
      <c r="B280" s="1276" t="s">
        <v>1835</v>
      </c>
      <c r="C280" s="1286"/>
      <c r="D280" s="1286"/>
      <c r="E280" s="1286"/>
      <c r="F280" s="1278">
        <v>0.05</v>
      </c>
    </row>
    <row r="281" spans="1:6" ht="24">
      <c r="A281" s="1272" t="s">
        <v>305</v>
      </c>
      <c r="B281" s="1276" t="s">
        <v>1839</v>
      </c>
      <c r="C281" s="1286"/>
      <c r="D281" s="1286"/>
      <c r="E281" s="1286"/>
      <c r="F281" s="1278">
        <v>0.05</v>
      </c>
    </row>
    <row r="282" spans="1:6" ht="24">
      <c r="A282" s="1272" t="s">
        <v>305</v>
      </c>
      <c r="B282" s="1276" t="s">
        <v>1843</v>
      </c>
      <c r="C282" s="1286"/>
      <c r="D282" s="1286"/>
      <c r="E282" s="1286"/>
      <c r="F282" s="1278">
        <v>0.05</v>
      </c>
    </row>
    <row r="283" spans="1:6" ht="24">
      <c r="A283" s="1272" t="s">
        <v>305</v>
      </c>
      <c r="B283" s="1276" t="s">
        <v>1847</v>
      </c>
      <c r="C283" s="1286"/>
      <c r="D283" s="1286"/>
      <c r="E283" s="1286"/>
      <c r="F283" s="1278">
        <v>0.05</v>
      </c>
    </row>
    <row r="284" spans="1:6" ht="24">
      <c r="A284" s="1272" t="s">
        <v>305</v>
      </c>
      <c r="B284" s="1276" t="s">
        <v>1850</v>
      </c>
      <c r="C284" s="1286"/>
      <c r="D284" s="1286"/>
      <c r="E284" s="1286"/>
      <c r="F284" s="1278">
        <v>0.05</v>
      </c>
    </row>
    <row r="285" spans="1:6" ht="24">
      <c r="A285" s="1272" t="s">
        <v>305</v>
      </c>
      <c r="B285" s="1276" t="s">
        <v>1853</v>
      </c>
      <c r="C285" s="1286"/>
      <c r="D285" s="1286"/>
      <c r="E285" s="1286"/>
      <c r="F285" s="1278">
        <v>0.05</v>
      </c>
    </row>
    <row r="286" spans="1:6" ht="24">
      <c r="A286" s="1272" t="s">
        <v>305</v>
      </c>
      <c r="B286" s="1276" t="s">
        <v>1856</v>
      </c>
      <c r="C286" s="1286"/>
      <c r="D286" s="1286"/>
      <c r="E286" s="1286"/>
      <c r="F286" s="1278">
        <v>0.05</v>
      </c>
    </row>
    <row r="287" spans="1:6" ht="24">
      <c r="A287" s="1272" t="s">
        <v>305</v>
      </c>
      <c r="B287" s="1276" t="s">
        <v>1859</v>
      </c>
      <c r="C287" s="1286"/>
      <c r="D287" s="1286"/>
      <c r="E287" s="1286"/>
      <c r="F287" s="1278">
        <v>0.05</v>
      </c>
    </row>
    <row r="288" spans="1:6" ht="24">
      <c r="A288" s="1272" t="s">
        <v>305</v>
      </c>
      <c r="B288" s="1276" t="s">
        <v>1862</v>
      </c>
      <c r="C288" s="1286"/>
      <c r="D288" s="1286"/>
      <c r="E288" s="1286"/>
      <c r="F288" s="1278">
        <v>0.05</v>
      </c>
    </row>
    <row r="289" spans="1:6" ht="24">
      <c r="A289" s="1280" t="s">
        <v>305</v>
      </c>
      <c r="B289" s="1287" t="s">
        <v>1865</v>
      </c>
      <c r="C289" s="1283"/>
      <c r="D289" s="1283"/>
      <c r="E289" s="1283"/>
      <c r="F289" s="1288">
        <v>0.05</v>
      </c>
    </row>
    <row r="290" spans="1:6">
      <c r="A290" s="1272" t="s">
        <v>308</v>
      </c>
      <c r="B290" s="1273" t="s">
        <v>1540</v>
      </c>
      <c r="C290" s="1274">
        <v>0.15</v>
      </c>
      <c r="D290" s="1274">
        <v>0.15</v>
      </c>
      <c r="E290" s="1274">
        <v>0.15</v>
      </c>
      <c r="F290" s="1296"/>
    </row>
    <row r="291" spans="1:6">
      <c r="A291" s="1272" t="s">
        <v>308</v>
      </c>
      <c r="B291" s="1276" t="s">
        <v>1553</v>
      </c>
      <c r="C291" s="1277">
        <v>0.15</v>
      </c>
      <c r="D291" s="1277">
        <v>0.15</v>
      </c>
      <c r="E291" s="1277">
        <v>0.15</v>
      </c>
      <c r="F291" s="1285"/>
    </row>
    <row r="292" spans="1:6">
      <c r="A292" s="1272" t="s">
        <v>308</v>
      </c>
      <c r="B292" s="1276" t="s">
        <v>1566</v>
      </c>
      <c r="C292" s="1277">
        <v>0.15</v>
      </c>
      <c r="D292" s="1277">
        <v>0.15</v>
      </c>
      <c r="E292" s="1277">
        <v>0.15</v>
      </c>
      <c r="F292" s="1278">
        <v>0.14699999999999999</v>
      </c>
    </row>
    <row r="293" spans="1:6">
      <c r="A293" s="1272" t="s">
        <v>308</v>
      </c>
      <c r="B293" s="1276" t="s">
        <v>1872</v>
      </c>
      <c r="C293" s="1286"/>
      <c r="D293" s="1286"/>
      <c r="E293" s="1286"/>
      <c r="F293" s="1278">
        <v>0.1</v>
      </c>
    </row>
    <row r="294" spans="1:6">
      <c r="A294" s="1272" t="s">
        <v>308</v>
      </c>
      <c r="B294" s="1276" t="s">
        <v>1578</v>
      </c>
      <c r="C294" s="1277">
        <v>0.15</v>
      </c>
      <c r="D294" s="1277">
        <v>0.15</v>
      </c>
      <c r="E294" s="1277">
        <v>0.15</v>
      </c>
      <c r="F294" s="1278">
        <v>0.15</v>
      </c>
    </row>
    <row r="295" spans="1:6">
      <c r="A295" s="1272" t="s">
        <v>308</v>
      </c>
      <c r="B295" s="1276" t="s">
        <v>1590</v>
      </c>
      <c r="C295" s="1277">
        <v>0.15</v>
      </c>
      <c r="D295" s="1277">
        <v>0.15</v>
      </c>
      <c r="E295" s="1277">
        <v>0.15</v>
      </c>
      <c r="F295" s="1278">
        <v>0.15</v>
      </c>
    </row>
    <row r="296" spans="1:6">
      <c r="A296" s="1272" t="s">
        <v>308</v>
      </c>
      <c r="B296" s="1276" t="s">
        <v>1601</v>
      </c>
      <c r="C296" s="1277">
        <v>0.15</v>
      </c>
      <c r="D296" s="1277">
        <v>0.15</v>
      </c>
      <c r="E296" s="1277">
        <v>0.15</v>
      </c>
      <c r="F296" s="1278">
        <v>0.15</v>
      </c>
    </row>
    <row r="297" spans="1:6">
      <c r="A297" s="1272" t="s">
        <v>308</v>
      </c>
      <c r="B297" s="1276" t="s">
        <v>1612</v>
      </c>
      <c r="C297" s="1277">
        <v>0.14799999999999999</v>
      </c>
      <c r="D297" s="1277">
        <v>0.14899999999999999</v>
      </c>
      <c r="E297" s="1277">
        <v>0.15</v>
      </c>
      <c r="F297" s="1278">
        <v>0.13700000000000001</v>
      </c>
    </row>
    <row r="298" spans="1:6">
      <c r="A298" s="1272" t="s">
        <v>308</v>
      </c>
      <c r="B298" s="1276" t="s">
        <v>1623</v>
      </c>
      <c r="C298" s="1277">
        <v>0.13400000000000001</v>
      </c>
      <c r="D298" s="1277">
        <v>0.13400000000000001</v>
      </c>
      <c r="E298" s="1277">
        <v>0.14499999999999999</v>
      </c>
      <c r="F298" s="1278">
        <v>0.14799999999999999</v>
      </c>
    </row>
    <row r="299" spans="1:6">
      <c r="A299" s="1272" t="s">
        <v>308</v>
      </c>
      <c r="B299" s="1276" t="s">
        <v>1633</v>
      </c>
      <c r="C299" s="1277">
        <v>0.15</v>
      </c>
      <c r="D299" s="1277">
        <v>0.15</v>
      </c>
      <c r="E299" s="1277">
        <v>0.15</v>
      </c>
      <c r="F299" s="1285"/>
    </row>
    <row r="300" spans="1:6">
      <c r="A300" s="1272" t="s">
        <v>308</v>
      </c>
      <c r="B300" s="1276" t="s">
        <v>1643</v>
      </c>
      <c r="C300" s="1277">
        <v>0.15</v>
      </c>
      <c r="D300" s="1277">
        <v>0.15</v>
      </c>
      <c r="E300" s="1277">
        <v>0.15</v>
      </c>
      <c r="F300" s="1278">
        <v>0.15</v>
      </c>
    </row>
    <row r="301" spans="1:6">
      <c r="A301" s="1272" t="s">
        <v>308</v>
      </c>
      <c r="B301" s="1276" t="s">
        <v>1653</v>
      </c>
      <c r="C301" s="1277">
        <v>0.15</v>
      </c>
      <c r="D301" s="1277">
        <v>0.15</v>
      </c>
      <c r="E301" s="1277">
        <v>0.15</v>
      </c>
      <c r="F301" s="1285"/>
    </row>
    <row r="302" spans="1:6">
      <c r="A302" s="1272" t="s">
        <v>308</v>
      </c>
      <c r="B302" s="1276" t="s">
        <v>1663</v>
      </c>
      <c r="C302" s="1277">
        <v>0.15</v>
      </c>
      <c r="D302" s="1277">
        <v>0.15</v>
      </c>
      <c r="E302" s="1277">
        <v>0.15</v>
      </c>
      <c r="F302" s="1278">
        <v>0.15</v>
      </c>
    </row>
    <row r="303" spans="1:6">
      <c r="A303" s="1272" t="s">
        <v>308</v>
      </c>
      <c r="B303" s="1276" t="s">
        <v>1673</v>
      </c>
      <c r="C303" s="1277">
        <v>0.15</v>
      </c>
      <c r="D303" s="1277">
        <v>0.15</v>
      </c>
      <c r="E303" s="1277">
        <v>0.15</v>
      </c>
      <c r="F303" s="1278">
        <v>0.15</v>
      </c>
    </row>
    <row r="304" spans="1:6">
      <c r="A304" s="1272" t="s">
        <v>308</v>
      </c>
      <c r="B304" s="1276" t="s">
        <v>1683</v>
      </c>
      <c r="C304" s="1277">
        <v>0.15</v>
      </c>
      <c r="D304" s="1277">
        <v>0.15</v>
      </c>
      <c r="E304" s="1277">
        <v>0.15</v>
      </c>
      <c r="F304" s="1285"/>
    </row>
    <row r="305" spans="1:6">
      <c r="A305" s="1272" t="s">
        <v>308</v>
      </c>
      <c r="B305" s="1276" t="s">
        <v>1693</v>
      </c>
      <c r="C305" s="1277">
        <v>0.15</v>
      </c>
      <c r="D305" s="1277">
        <v>0.15</v>
      </c>
      <c r="E305" s="1277">
        <v>0.15</v>
      </c>
      <c r="F305" s="1278">
        <v>0.14000000000000001</v>
      </c>
    </row>
    <row r="306" spans="1:6">
      <c r="A306" s="1272" t="s">
        <v>308</v>
      </c>
      <c r="B306" s="1276" t="s">
        <v>1703</v>
      </c>
      <c r="C306" s="1277">
        <v>0.15</v>
      </c>
      <c r="D306" s="1277">
        <v>0.15</v>
      </c>
      <c r="E306" s="1277">
        <v>0.15</v>
      </c>
      <c r="F306" s="1285"/>
    </row>
    <row r="307" spans="1:6">
      <c r="A307" s="1272" t="s">
        <v>308</v>
      </c>
      <c r="B307" s="1276" t="s">
        <v>1713</v>
      </c>
      <c r="C307" s="1277">
        <v>0.15</v>
      </c>
      <c r="D307" s="1277">
        <v>0.15</v>
      </c>
      <c r="E307" s="1277">
        <v>0.15</v>
      </c>
      <c r="F307" s="1278">
        <v>0.14299999999999999</v>
      </c>
    </row>
    <row r="308" spans="1:6">
      <c r="A308" s="1272" t="s">
        <v>308</v>
      </c>
      <c r="B308" s="1276" t="s">
        <v>1723</v>
      </c>
      <c r="C308" s="1277">
        <v>0.15</v>
      </c>
      <c r="D308" s="1277">
        <v>0.15</v>
      </c>
      <c r="E308" s="1277">
        <v>0.15</v>
      </c>
      <c r="F308" s="1278">
        <v>0.15</v>
      </c>
    </row>
    <row r="309" spans="1:6">
      <c r="A309" s="1272" t="s">
        <v>308</v>
      </c>
      <c r="B309" s="1276" t="s">
        <v>1733</v>
      </c>
      <c r="C309" s="1277">
        <v>0.15</v>
      </c>
      <c r="D309" s="1277">
        <v>0.15</v>
      </c>
      <c r="E309" s="1277">
        <v>0.15</v>
      </c>
      <c r="F309" s="1285"/>
    </row>
    <row r="310" spans="1:6">
      <c r="A310" s="1272" t="s">
        <v>308</v>
      </c>
      <c r="B310" s="1276" t="s">
        <v>1742</v>
      </c>
      <c r="C310" s="1277">
        <v>0.15</v>
      </c>
      <c r="D310" s="1277">
        <v>0.15</v>
      </c>
      <c r="E310" s="1277">
        <v>0.15</v>
      </c>
      <c r="F310" s="1278">
        <v>0.13700000000000001</v>
      </c>
    </row>
    <row r="311" spans="1:6">
      <c r="A311" s="1272" t="s">
        <v>308</v>
      </c>
      <c r="B311" s="1276" t="s">
        <v>1750</v>
      </c>
      <c r="C311" s="1277">
        <v>0.15</v>
      </c>
      <c r="D311" s="1277">
        <v>0.15</v>
      </c>
      <c r="E311" s="1277">
        <v>0.15</v>
      </c>
      <c r="F311" s="1278">
        <v>0.15</v>
      </c>
    </row>
    <row r="312" spans="1:6">
      <c r="A312" s="1272" t="s">
        <v>308</v>
      </c>
      <c r="B312" s="1276" t="s">
        <v>1758</v>
      </c>
      <c r="C312" s="1277">
        <v>0.15</v>
      </c>
      <c r="D312" s="1277">
        <v>0.15</v>
      </c>
      <c r="E312" s="1277">
        <v>0.15</v>
      </c>
      <c r="F312" s="1278">
        <v>0.1</v>
      </c>
    </row>
    <row r="313" spans="1:6">
      <c r="A313" s="1272" t="s">
        <v>308</v>
      </c>
      <c r="B313" s="1276" t="s">
        <v>1765</v>
      </c>
      <c r="C313" s="1277">
        <v>0.15</v>
      </c>
      <c r="D313" s="1277">
        <v>0.15</v>
      </c>
      <c r="E313" s="1277">
        <v>0.15</v>
      </c>
      <c r="F313" s="1278">
        <v>0.15</v>
      </c>
    </row>
    <row r="314" spans="1:6" ht="24">
      <c r="A314" s="1272" t="s">
        <v>308</v>
      </c>
      <c r="B314" s="1276" t="s">
        <v>1772</v>
      </c>
      <c r="C314" s="1286"/>
      <c r="D314" s="1286"/>
      <c r="E314" s="1286"/>
      <c r="F314" s="1278">
        <v>0.05</v>
      </c>
    </row>
    <row r="315" spans="1:6" ht="24">
      <c r="A315" s="1272" t="s">
        <v>308</v>
      </c>
      <c r="B315" s="1276" t="s">
        <v>1779</v>
      </c>
      <c r="C315" s="1286"/>
      <c r="D315" s="1286"/>
      <c r="E315" s="1286"/>
      <c r="F315" s="1278">
        <v>0.05</v>
      </c>
    </row>
    <row r="316" spans="1:6" ht="24">
      <c r="A316" s="1280" t="s">
        <v>308</v>
      </c>
      <c r="B316" s="1287" t="s">
        <v>1786</v>
      </c>
      <c r="C316" s="1283"/>
      <c r="D316" s="1283"/>
      <c r="E316" s="1283"/>
      <c r="F316" s="1288">
        <v>0.05</v>
      </c>
    </row>
    <row r="317" spans="1:6">
      <c r="A317" s="1272" t="s">
        <v>311</v>
      </c>
      <c r="B317" s="1273" t="s">
        <v>1541</v>
      </c>
      <c r="C317" s="1274">
        <v>0.15</v>
      </c>
      <c r="D317" s="1274">
        <v>0.15</v>
      </c>
      <c r="E317" s="1274">
        <v>0.15</v>
      </c>
      <c r="F317" s="1275">
        <v>0.15</v>
      </c>
    </row>
    <row r="318" spans="1:6">
      <c r="A318" s="1272" t="s">
        <v>311</v>
      </c>
      <c r="B318" s="1276" t="s">
        <v>1554</v>
      </c>
      <c r="C318" s="1277">
        <v>0.107</v>
      </c>
      <c r="D318" s="1277">
        <v>0.11</v>
      </c>
      <c r="E318" s="1277">
        <v>0.112</v>
      </c>
      <c r="F318" s="1285"/>
    </row>
    <row r="319" spans="1:6">
      <c r="A319" s="1272" t="s">
        <v>311</v>
      </c>
      <c r="B319" s="1276" t="s">
        <v>1567</v>
      </c>
      <c r="C319" s="1277">
        <v>0.15</v>
      </c>
      <c r="D319" s="1277">
        <v>0.15</v>
      </c>
      <c r="E319" s="1277">
        <v>0.15</v>
      </c>
      <c r="F319" s="1278">
        <v>0.15</v>
      </c>
    </row>
    <row r="320" spans="1:6">
      <c r="A320" s="1272" t="s">
        <v>311</v>
      </c>
      <c r="B320" s="1276" t="s">
        <v>1579</v>
      </c>
      <c r="C320" s="1277">
        <v>0.15</v>
      </c>
      <c r="D320" s="1277">
        <v>0.15</v>
      </c>
      <c r="E320" s="1277">
        <v>0.15</v>
      </c>
      <c r="F320" s="1285"/>
    </row>
    <row r="321" spans="1:6">
      <c r="A321" s="1272" t="s">
        <v>311</v>
      </c>
      <c r="B321" s="1276" t="s">
        <v>1591</v>
      </c>
      <c r="C321" s="1277">
        <v>0.15</v>
      </c>
      <c r="D321" s="1277">
        <v>0.15</v>
      </c>
      <c r="E321" s="1277">
        <v>0.15</v>
      </c>
      <c r="F321" s="1285"/>
    </row>
    <row r="322" spans="1:6">
      <c r="A322" s="1272" t="s">
        <v>311</v>
      </c>
      <c r="B322" s="1276" t="s">
        <v>1602</v>
      </c>
      <c r="C322" s="1277">
        <v>0.15</v>
      </c>
      <c r="D322" s="1277">
        <v>0.15</v>
      </c>
      <c r="E322" s="1277">
        <v>0.15</v>
      </c>
      <c r="F322" s="1278">
        <v>0.15</v>
      </c>
    </row>
    <row r="323" spans="1:6">
      <c r="A323" s="1272" t="s">
        <v>311</v>
      </c>
      <c r="B323" s="1276" t="s">
        <v>1613</v>
      </c>
      <c r="C323" s="1277">
        <v>0.15</v>
      </c>
      <c r="D323" s="1277">
        <v>0.15</v>
      </c>
      <c r="E323" s="1277">
        <v>0.15</v>
      </c>
      <c r="F323" s="1285"/>
    </row>
    <row r="324" spans="1:6">
      <c r="A324" s="1272" t="s">
        <v>311</v>
      </c>
      <c r="B324" s="1276" t="s">
        <v>1624</v>
      </c>
      <c r="C324" s="1277">
        <v>0.15</v>
      </c>
      <c r="D324" s="1277">
        <v>0.15</v>
      </c>
      <c r="E324" s="1277">
        <v>0.15</v>
      </c>
      <c r="F324" s="1285"/>
    </row>
    <row r="325" spans="1:6">
      <c r="A325" s="1272" t="s">
        <v>311</v>
      </c>
      <c r="B325" s="1276" t="s">
        <v>1634</v>
      </c>
      <c r="C325" s="1277">
        <v>0.15</v>
      </c>
      <c r="D325" s="1277">
        <v>0.15</v>
      </c>
      <c r="E325" s="1277">
        <v>0.15</v>
      </c>
      <c r="F325" s="1278">
        <v>0.14699999999999999</v>
      </c>
    </row>
    <row r="326" spans="1:6">
      <c r="A326" s="1272" t="s">
        <v>311</v>
      </c>
      <c r="B326" s="1276" t="s">
        <v>1644</v>
      </c>
      <c r="C326" s="1277">
        <v>0.15</v>
      </c>
      <c r="D326" s="1277">
        <v>0.15</v>
      </c>
      <c r="E326" s="1277">
        <v>0.15</v>
      </c>
      <c r="F326" s="1285"/>
    </row>
    <row r="327" spans="1:6">
      <c r="A327" s="1272" t="s">
        <v>311</v>
      </c>
      <c r="B327" s="1276" t="s">
        <v>1654</v>
      </c>
      <c r="C327" s="1277">
        <v>0.15</v>
      </c>
      <c r="D327" s="1277">
        <v>0.15</v>
      </c>
      <c r="E327" s="1277">
        <v>0.15</v>
      </c>
      <c r="F327" s="1278">
        <v>0.15</v>
      </c>
    </row>
    <row r="328" spans="1:6">
      <c r="A328" s="1272" t="s">
        <v>311</v>
      </c>
      <c r="B328" s="1276" t="s">
        <v>1664</v>
      </c>
      <c r="C328" s="1277">
        <v>0.15</v>
      </c>
      <c r="D328" s="1277">
        <v>0.15</v>
      </c>
      <c r="E328" s="1277">
        <v>0.15</v>
      </c>
      <c r="F328" s="1278">
        <v>0.14099999999999999</v>
      </c>
    </row>
    <row r="329" spans="1:6">
      <c r="A329" s="1272" t="s">
        <v>311</v>
      </c>
      <c r="B329" s="1276" t="s">
        <v>1674</v>
      </c>
      <c r="C329" s="1277">
        <v>0.15</v>
      </c>
      <c r="D329" s="1277">
        <v>0.15</v>
      </c>
      <c r="E329" s="1277">
        <v>0.15</v>
      </c>
      <c r="F329" s="1278">
        <v>0.15</v>
      </c>
    </row>
    <row r="330" spans="1:6">
      <c r="A330" s="1272" t="s">
        <v>311</v>
      </c>
      <c r="B330" s="1276" t="s">
        <v>1684</v>
      </c>
      <c r="C330" s="1277">
        <v>0.15</v>
      </c>
      <c r="D330" s="1277">
        <v>0.15</v>
      </c>
      <c r="E330" s="1277">
        <v>0.15</v>
      </c>
      <c r="F330" s="1285"/>
    </row>
    <row r="331" spans="1:6">
      <c r="A331" s="1272" t="s">
        <v>311</v>
      </c>
      <c r="B331" s="1276" t="s">
        <v>1694</v>
      </c>
      <c r="C331" s="1277">
        <v>0.15</v>
      </c>
      <c r="D331" s="1277">
        <v>0.15</v>
      </c>
      <c r="E331" s="1277">
        <v>0.15</v>
      </c>
      <c r="F331" s="1278">
        <v>0.15</v>
      </c>
    </row>
    <row r="332" spans="1:6">
      <c r="A332" s="1272" t="s">
        <v>311</v>
      </c>
      <c r="B332" s="1276" t="s">
        <v>1704</v>
      </c>
      <c r="C332" s="1277">
        <v>0.15</v>
      </c>
      <c r="D332" s="1277">
        <v>0.15</v>
      </c>
      <c r="E332" s="1277">
        <v>0.15</v>
      </c>
      <c r="F332" s="1278">
        <v>0.15</v>
      </c>
    </row>
    <row r="333" spans="1:6">
      <c r="A333" s="1272" t="s">
        <v>311</v>
      </c>
      <c r="B333" s="1276" t="s">
        <v>1714</v>
      </c>
      <c r="C333" s="1277">
        <v>0.15</v>
      </c>
      <c r="D333" s="1277">
        <v>0.15</v>
      </c>
      <c r="E333" s="1277">
        <v>0.15</v>
      </c>
      <c r="F333" s="1278">
        <v>0.14099999999999999</v>
      </c>
    </row>
    <row r="334" spans="1:6">
      <c r="A334" s="1272" t="s">
        <v>311</v>
      </c>
      <c r="B334" s="1276" t="s">
        <v>1724</v>
      </c>
      <c r="C334" s="1277">
        <v>0.15</v>
      </c>
      <c r="D334" s="1277">
        <v>0.15</v>
      </c>
      <c r="E334" s="1277">
        <v>0.15</v>
      </c>
      <c r="F334" s="1278">
        <v>0.15</v>
      </c>
    </row>
    <row r="335" spans="1:6">
      <c r="A335" s="1272" t="s">
        <v>311</v>
      </c>
      <c r="B335" s="1276" t="s">
        <v>1734</v>
      </c>
      <c r="C335" s="1277">
        <v>0.15</v>
      </c>
      <c r="D335" s="1277">
        <v>0.15</v>
      </c>
      <c r="E335" s="1277">
        <v>0.15</v>
      </c>
      <c r="F335" s="1285"/>
    </row>
    <row r="336" spans="1:6">
      <c r="A336" s="1272" t="s">
        <v>311</v>
      </c>
      <c r="B336" s="1276" t="s">
        <v>1743</v>
      </c>
      <c r="C336" s="1277">
        <v>0.15</v>
      </c>
      <c r="D336" s="1277">
        <v>0.15</v>
      </c>
      <c r="E336" s="1277">
        <v>0.15</v>
      </c>
      <c r="F336" s="1278">
        <v>0.11799999999999999</v>
      </c>
    </row>
    <row r="337" spans="1:6">
      <c r="A337" s="1280" t="s">
        <v>311</v>
      </c>
      <c r="B337" s="1287" t="s">
        <v>1751</v>
      </c>
      <c r="C337" s="1283"/>
      <c r="D337" s="1283"/>
      <c r="E337" s="1283"/>
      <c r="F337" s="1288">
        <v>0.14299999999999999</v>
      </c>
    </row>
    <row r="338" spans="1:6">
      <c r="A338" s="1272" t="s">
        <v>314</v>
      </c>
      <c r="B338" s="1273" t="s">
        <v>1542</v>
      </c>
      <c r="C338" s="1274">
        <v>0.15</v>
      </c>
      <c r="D338" s="1274">
        <v>0.15</v>
      </c>
      <c r="E338" s="1274">
        <v>0.15</v>
      </c>
      <c r="F338" s="1296"/>
    </row>
    <row r="339" spans="1:6">
      <c r="A339" s="1272" t="s">
        <v>314</v>
      </c>
      <c r="B339" s="1276" t="s">
        <v>1555</v>
      </c>
      <c r="C339" s="1277">
        <v>0.15</v>
      </c>
      <c r="D339" s="1277">
        <v>0.15</v>
      </c>
      <c r="E339" s="1277">
        <v>0.15</v>
      </c>
      <c r="F339" s="1285"/>
    </row>
    <row r="340" spans="1:6">
      <c r="A340" s="1272" t="s">
        <v>314</v>
      </c>
      <c r="B340" s="1276" t="s">
        <v>1568</v>
      </c>
      <c r="C340" s="1277">
        <v>0.15</v>
      </c>
      <c r="D340" s="1277">
        <v>0.15</v>
      </c>
      <c r="E340" s="1277">
        <v>0.15</v>
      </c>
      <c r="F340" s="1285"/>
    </row>
    <row r="341" spans="1:6">
      <c r="A341" s="1272" t="s">
        <v>314</v>
      </c>
      <c r="B341" s="1276" t="s">
        <v>1580</v>
      </c>
      <c r="C341" s="1277">
        <v>0.15</v>
      </c>
      <c r="D341" s="1277">
        <v>0.15</v>
      </c>
      <c r="E341" s="1277">
        <v>0.15</v>
      </c>
      <c r="F341" s="1278">
        <v>0.15</v>
      </c>
    </row>
    <row r="342" spans="1:6">
      <c r="A342" s="1272" t="s">
        <v>314</v>
      </c>
      <c r="B342" s="1276" t="s">
        <v>1592</v>
      </c>
      <c r="C342" s="1277">
        <v>0.15</v>
      </c>
      <c r="D342" s="1277">
        <v>0.15</v>
      </c>
      <c r="E342" s="1277">
        <v>0.15</v>
      </c>
      <c r="F342" s="1278">
        <v>0.15</v>
      </c>
    </row>
    <row r="343" spans="1:6">
      <c r="A343" s="1272" t="s">
        <v>314</v>
      </c>
      <c r="B343" s="1276" t="s">
        <v>1603</v>
      </c>
      <c r="C343" s="1277">
        <v>0.15</v>
      </c>
      <c r="D343" s="1277">
        <v>0.15</v>
      </c>
      <c r="E343" s="1277">
        <v>0.15</v>
      </c>
      <c r="F343" s="1278">
        <v>0.15</v>
      </c>
    </row>
    <row r="344" spans="1:6">
      <c r="A344" s="1280" t="s">
        <v>314</v>
      </c>
      <c r="B344" s="1287" t="s">
        <v>1614</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36" t="s">
        <v>1879</v>
      </c>
      <c r="C1" s="3436"/>
      <c r="D1" s="3436"/>
      <c r="E1" s="3436"/>
      <c r="F1" s="3436"/>
      <c r="G1" s="3437" t="s">
        <v>1880</v>
      </c>
      <c r="H1" s="3437"/>
      <c r="I1" s="3437"/>
      <c r="J1" s="3437"/>
      <c r="K1" s="3437"/>
      <c r="L1" s="3437"/>
      <c r="N1" s="3437" t="s">
        <v>1881</v>
      </c>
      <c r="O1" s="3437"/>
      <c r="P1" s="3437"/>
      <c r="Q1" s="3437"/>
      <c r="R1" s="1135"/>
      <c r="S1" s="3437" t="s">
        <v>1882</v>
      </c>
      <c r="T1" s="3437"/>
      <c r="U1" s="3437"/>
      <c r="V1" s="3437"/>
      <c r="X1" s="3438" t="s">
        <v>1883</v>
      </c>
      <c r="Y1" s="3437"/>
      <c r="Z1" s="3437"/>
      <c r="AA1" s="3437"/>
      <c r="AB1" s="3437"/>
      <c r="AD1" s="3438" t="s">
        <v>1884</v>
      </c>
      <c r="AE1" s="3437"/>
      <c r="AF1" s="3437"/>
      <c r="AG1" s="3437"/>
      <c r="AH1" s="3437"/>
    </row>
    <row r="2" spans="1:34" s="1125" customFormat="1" ht="13.5">
      <c r="B2" s="1136" t="s">
        <v>999</v>
      </c>
      <c r="C2" s="1136" t="s">
        <v>1885</v>
      </c>
      <c r="D2" s="1137" t="s">
        <v>372</v>
      </c>
      <c r="E2" s="1137" t="s">
        <v>370</v>
      </c>
      <c r="F2" s="1136" t="s">
        <v>1886</v>
      </c>
      <c r="G2" s="1138"/>
      <c r="H2" s="1139"/>
      <c r="I2" s="1136" t="s">
        <v>999</v>
      </c>
      <c r="J2" s="1137" t="s">
        <v>1887</v>
      </c>
      <c r="K2" s="1137" t="s">
        <v>370</v>
      </c>
      <c r="L2" s="1136" t="s">
        <v>1886</v>
      </c>
      <c r="N2" s="1136" t="s">
        <v>999</v>
      </c>
      <c r="O2" s="1137" t="s">
        <v>1887</v>
      </c>
      <c r="P2" s="1137" t="s">
        <v>370</v>
      </c>
      <c r="Q2" s="1136" t="s">
        <v>1886</v>
      </c>
      <c r="R2" s="1209"/>
      <c r="S2" s="1136" t="s">
        <v>999</v>
      </c>
      <c r="T2" s="1137" t="s">
        <v>1887</v>
      </c>
      <c r="U2" s="1137" t="s">
        <v>370</v>
      </c>
      <c r="V2" s="1136" t="s">
        <v>1886</v>
      </c>
      <c r="X2" s="1136" t="s">
        <v>999</v>
      </c>
      <c r="Y2" s="1136" t="s">
        <v>1885</v>
      </c>
      <c r="Z2" s="1137" t="s">
        <v>372</v>
      </c>
      <c r="AA2" s="1137" t="s">
        <v>370</v>
      </c>
      <c r="AB2" s="1136" t="s">
        <v>1886</v>
      </c>
      <c r="AD2" s="1136" t="s">
        <v>999</v>
      </c>
      <c r="AE2" s="1136" t="s">
        <v>1885</v>
      </c>
      <c r="AF2" s="1137" t="s">
        <v>372</v>
      </c>
      <c r="AG2" s="1137" t="s">
        <v>370</v>
      </c>
      <c r="AH2" s="1136" t="s">
        <v>1886</v>
      </c>
    </row>
    <row r="3" spans="1:34" s="1126" customFormat="1" ht="14.25">
      <c r="A3" s="1140" t="s">
        <v>1888</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1889</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1890</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1891</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1892</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1893</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1894</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1895</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39">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5" customHeight="1">
      <c r="A11" s="1152" t="s">
        <v>1896</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39"/>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5" customHeight="1">
      <c r="A12" s="1152" t="s">
        <v>1897</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39"/>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1898</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40"/>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1899</v>
      </c>
      <c r="B14" s="1159">
        <v>439</v>
      </c>
      <c r="C14" s="1159">
        <v>327</v>
      </c>
      <c r="D14" s="1159">
        <f t="shared" si="87"/>
        <v>327</v>
      </c>
      <c r="E14" s="1159">
        <v>627</v>
      </c>
      <c r="F14" s="1160">
        <v>283</v>
      </c>
      <c r="G14" s="3441">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5" customHeight="1">
      <c r="A15" s="1152" t="s">
        <v>1900</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39"/>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5" customHeight="1">
      <c r="A16" s="1152" t="s">
        <v>1901</v>
      </c>
      <c r="B16" s="1153">
        <f t="shared" si="99"/>
        <v>419.31181600000002</v>
      </c>
      <c r="C16" s="1153">
        <f t="shared" si="99"/>
        <v>313.95436800000004</v>
      </c>
      <c r="D16" s="1153">
        <f t="shared" si="87"/>
        <v>313.95436800000004</v>
      </c>
      <c r="E16" s="1153">
        <f t="shared" si="100"/>
        <v>596.63028431999999</v>
      </c>
      <c r="F16" s="1153">
        <f t="shared" si="100"/>
        <v>274.74220703999998</v>
      </c>
      <c r="G16" s="3439"/>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1902</v>
      </c>
      <c r="B17" s="1153">
        <f t="shared" si="99"/>
        <v>405.524</v>
      </c>
      <c r="C17" s="1153">
        <f t="shared" si="99"/>
        <v>307.79840000000002</v>
      </c>
      <c r="D17" s="1153">
        <f t="shared" si="87"/>
        <v>307.79840000000002</v>
      </c>
      <c r="E17" s="1153">
        <f t="shared" si="100"/>
        <v>574.67759999999998</v>
      </c>
      <c r="F17" s="1153">
        <f t="shared" si="100"/>
        <v>270.20280000000002</v>
      </c>
      <c r="G17" s="3440"/>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1903</v>
      </c>
      <c r="B18" s="1161">
        <v>392</v>
      </c>
      <c r="C18" s="1161">
        <v>302</v>
      </c>
      <c r="D18" s="1161">
        <f t="shared" si="87"/>
        <v>302</v>
      </c>
      <c r="E18" s="1161">
        <v>553</v>
      </c>
      <c r="F18" s="1162">
        <v>266</v>
      </c>
      <c r="G18" s="3441">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1904</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39"/>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1905</v>
      </c>
      <c r="B20" s="1153">
        <f t="shared" si="108"/>
        <v>360.06949782209392</v>
      </c>
      <c r="C20" s="1153">
        <f t="shared" si="108"/>
        <v>289.84672674747821</v>
      </c>
      <c r="D20" s="1153">
        <f t="shared" si="109"/>
        <v>289.84672674747821</v>
      </c>
      <c r="E20" s="1153">
        <f t="shared" si="110"/>
        <v>501.06543001181495</v>
      </c>
      <c r="F20" s="1153">
        <f t="shared" si="110"/>
        <v>256.82882500744967</v>
      </c>
      <c r="G20" s="3439"/>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1906</v>
      </c>
      <c r="B21" s="1153">
        <f t="shared" si="108"/>
        <v>346.720748986128</v>
      </c>
      <c r="C21" s="1153">
        <f t="shared" si="108"/>
        <v>284.30282172386285</v>
      </c>
      <c r="D21" s="1153">
        <f t="shared" si="109"/>
        <v>284.30282172386285</v>
      </c>
      <c r="E21" s="1153">
        <f t="shared" si="110"/>
        <v>479.58023546306947</v>
      </c>
      <c r="F21" s="1153">
        <f t="shared" si="110"/>
        <v>253.25788877571213</v>
      </c>
      <c r="G21" s="3442"/>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1907</v>
      </c>
      <c r="B22" s="1161">
        <v>333</v>
      </c>
      <c r="C22" s="1161">
        <v>277</v>
      </c>
      <c r="D22" s="1161">
        <f t="shared" si="109"/>
        <v>277</v>
      </c>
      <c r="E22" s="1161">
        <v>459</v>
      </c>
      <c r="F22" s="1162">
        <v>249</v>
      </c>
      <c r="G22" s="3443">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1908</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39"/>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1909</v>
      </c>
      <c r="B24" s="1153">
        <f t="shared" si="112"/>
        <v>322.34053690220776</v>
      </c>
      <c r="C24" s="1153">
        <f t="shared" si="112"/>
        <v>271.46160770422546</v>
      </c>
      <c r="D24" s="1153">
        <f t="shared" si="109"/>
        <v>271.46160770422546</v>
      </c>
      <c r="E24" s="1153">
        <f t="shared" si="113"/>
        <v>442.69434542172456</v>
      </c>
      <c r="F24" s="1153">
        <f t="shared" si="113"/>
        <v>241.34030753190925</v>
      </c>
      <c r="G24" s="3439"/>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1910</v>
      </c>
      <c r="B25" s="1153">
        <f t="shared" si="112"/>
        <v>319.87748030386797</v>
      </c>
      <c r="C25" s="1153">
        <f t="shared" si="112"/>
        <v>269.60135833173649</v>
      </c>
      <c r="D25" s="1153">
        <f t="shared" si="109"/>
        <v>269.60135833173649</v>
      </c>
      <c r="E25" s="1153">
        <f t="shared" si="113"/>
        <v>439.18089823583784</v>
      </c>
      <c r="F25" s="1153">
        <f t="shared" si="113"/>
        <v>239.23503918706311</v>
      </c>
      <c r="G25" s="3442"/>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1911</v>
      </c>
      <c r="B26" s="1165">
        <v>318</v>
      </c>
      <c r="C26" s="1165">
        <v>268</v>
      </c>
      <c r="D26" s="1165">
        <f t="shared" si="109"/>
        <v>268</v>
      </c>
      <c r="E26" s="1165">
        <v>437</v>
      </c>
      <c r="F26" s="1166">
        <v>237</v>
      </c>
      <c r="G26" s="3443">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1912</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39"/>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1913</v>
      </c>
      <c r="B28" s="1153">
        <f t="shared" si="114"/>
        <v>314.72141172386546</v>
      </c>
      <c r="C28" s="1153">
        <f t="shared" si="114"/>
        <v>263.03901319069001</v>
      </c>
      <c r="D28" s="1153">
        <f t="shared" si="109"/>
        <v>263.03901319069001</v>
      </c>
      <c r="E28" s="1153">
        <f t="shared" si="115"/>
        <v>433.65745506782821</v>
      </c>
      <c r="F28" s="1153">
        <f t="shared" si="115"/>
        <v>233.23005080045735</v>
      </c>
      <c r="G28" s="3439"/>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1914</v>
      </c>
      <c r="B29" s="1169">
        <f t="shared" si="114"/>
        <v>307.34512863658733</v>
      </c>
      <c r="C29" s="1169">
        <f t="shared" si="114"/>
        <v>257.80556031626975</v>
      </c>
      <c r="D29" s="1169">
        <f t="shared" si="109"/>
        <v>257.80556031626975</v>
      </c>
      <c r="E29" s="1169">
        <f t="shared" si="115"/>
        <v>422.70928459677179</v>
      </c>
      <c r="F29" s="1169">
        <f t="shared" si="115"/>
        <v>229.73803270336617</v>
      </c>
      <c r="G29" s="3442"/>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1915</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1916</v>
      </c>
      <c r="B30" s="1161">
        <v>299</v>
      </c>
      <c r="C30" s="1161">
        <v>252</v>
      </c>
      <c r="D30" s="1161">
        <f t="shared" si="109"/>
        <v>252</v>
      </c>
      <c r="E30" s="1161">
        <v>409</v>
      </c>
      <c r="F30" s="1162">
        <v>227</v>
      </c>
      <c r="G30" s="3444">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1917</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45"/>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1918</v>
      </c>
      <c r="B32" s="1153">
        <f t="shared" si="118"/>
        <v>288.2649053828776</v>
      </c>
      <c r="C32" s="1153">
        <f t="shared" si="118"/>
        <v>243.64564425013293</v>
      </c>
      <c r="D32" s="1153">
        <f t="shared" si="109"/>
        <v>243.64564425013293</v>
      </c>
      <c r="E32" s="1153">
        <f t="shared" si="119"/>
        <v>393.31080825986544</v>
      </c>
      <c r="F32" s="1153">
        <f t="shared" si="119"/>
        <v>223.07903790551154</v>
      </c>
      <c r="G32" s="3445"/>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1919</v>
      </c>
      <c r="B33" s="1153">
        <f t="shared" si="118"/>
        <v>282.50186729015837</v>
      </c>
      <c r="C33" s="1153">
        <f t="shared" si="118"/>
        <v>238.09796174155468</v>
      </c>
      <c r="D33" s="1153">
        <f t="shared" si="109"/>
        <v>238.09796174155468</v>
      </c>
      <c r="E33" s="1153">
        <f t="shared" si="119"/>
        <v>385.33438646014054</v>
      </c>
      <c r="F33" s="1153">
        <f t="shared" si="119"/>
        <v>221.55034055567739</v>
      </c>
      <c r="G33" s="3446"/>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1920</v>
      </c>
      <c r="B34" s="1172">
        <v>278</v>
      </c>
      <c r="C34" s="1172">
        <v>234</v>
      </c>
      <c r="D34" s="1172">
        <f t="shared" si="109"/>
        <v>234</v>
      </c>
      <c r="E34" s="1172">
        <v>379</v>
      </c>
      <c r="F34" s="1173">
        <v>220</v>
      </c>
      <c r="G34" s="3443">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1921</v>
      </c>
      <c r="B35" s="1153">
        <f>B34/(1+N34)</f>
        <v>275.49301357645425</v>
      </c>
      <c r="C35" s="1153">
        <f>C34/(1+O34)</f>
        <v>232.41954707985698</v>
      </c>
      <c r="D35" s="1153">
        <f t="shared" si="109"/>
        <v>232.41954707985698</v>
      </c>
      <c r="E35" s="1153">
        <f t="shared" ref="E35:F37" si="120">E34/(1+P34)</f>
        <v>375.32184591008121</v>
      </c>
      <c r="F35" s="1153">
        <f t="shared" si="120"/>
        <v>218.03766105054513</v>
      </c>
      <c r="G35" s="3439"/>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1922</v>
      </c>
      <c r="B36" s="1153">
        <f>B35/(1+N35)</f>
        <v>275.24529281292263</v>
      </c>
      <c r="C36" s="1153">
        <f>C35/(1+O35)</f>
        <v>231.74747938962707</v>
      </c>
      <c r="D36" s="1153">
        <f t="shared" si="109"/>
        <v>231.74747938962707</v>
      </c>
      <c r="E36" s="1153">
        <f t="shared" si="120"/>
        <v>375.35938184826603</v>
      </c>
      <c r="F36" s="1153">
        <f t="shared" si="120"/>
        <v>216.78033510692495</v>
      </c>
      <c r="G36" s="3439"/>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1923</v>
      </c>
      <c r="B37" s="1153">
        <f>B36/(1+N36)</f>
        <v>275.19025476197027</v>
      </c>
      <c r="C37" s="1174">
        <v>232</v>
      </c>
      <c r="D37" s="1174">
        <f t="shared" si="109"/>
        <v>232</v>
      </c>
      <c r="E37" s="1153">
        <f t="shared" si="120"/>
        <v>375.65990977608692</v>
      </c>
      <c r="F37" s="1153">
        <f t="shared" si="120"/>
        <v>214.12518283971252</v>
      </c>
      <c r="G37" s="3442"/>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1924</v>
      </c>
      <c r="B38" s="1161">
        <v>275</v>
      </c>
      <c r="C38" s="1161">
        <v>232</v>
      </c>
      <c r="D38" s="1161">
        <f t="shared" si="109"/>
        <v>232</v>
      </c>
      <c r="E38" s="1161">
        <v>376</v>
      </c>
      <c r="F38" s="1162">
        <v>213</v>
      </c>
      <c r="G38" s="3443">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1925</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39">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1926</v>
      </c>
      <c r="B40" s="1153">
        <f t="shared" si="121"/>
        <v>275.19335084830601</v>
      </c>
      <c r="C40" s="1153">
        <f t="shared" si="121"/>
        <v>230.18088050139744</v>
      </c>
      <c r="D40" s="1153">
        <f t="shared" si="109"/>
        <v>230.18088050139744</v>
      </c>
      <c r="E40" s="1153">
        <f t="shared" si="122"/>
        <v>377.58482925212331</v>
      </c>
      <c r="F40" s="1153">
        <f t="shared" si="122"/>
        <v>210.90687997847917</v>
      </c>
      <c r="G40" s="3439">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1927</v>
      </c>
      <c r="B41" s="1153">
        <f t="shared" si="121"/>
        <v>276.29854502841971</v>
      </c>
      <c r="C41" s="1153">
        <f t="shared" si="121"/>
        <v>229.79023709833027</v>
      </c>
      <c r="D41" s="1153">
        <f t="shared" si="109"/>
        <v>229.79023709833027</v>
      </c>
      <c r="E41" s="1153">
        <f t="shared" si="122"/>
        <v>379.78759731655936</v>
      </c>
      <c r="F41" s="1153">
        <f t="shared" si="122"/>
        <v>211.32953905659235</v>
      </c>
      <c r="G41" s="3442">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1928</v>
      </c>
      <c r="B42" s="1161">
        <v>269</v>
      </c>
      <c r="C42" s="1161">
        <v>221</v>
      </c>
      <c r="D42" s="1161">
        <f t="shared" si="109"/>
        <v>221</v>
      </c>
      <c r="E42" s="1161">
        <v>373</v>
      </c>
      <c r="F42" s="1162">
        <v>196</v>
      </c>
      <c r="G42" s="3443">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1929</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39">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1930</v>
      </c>
      <c r="B44" s="1153">
        <f t="shared" si="123"/>
        <v>242.95398227588385</v>
      </c>
      <c r="C44" s="1153">
        <f t="shared" si="123"/>
        <v>199.59137053614126</v>
      </c>
      <c r="D44" s="1153">
        <f t="shared" si="109"/>
        <v>199.59137053614126</v>
      </c>
      <c r="E44" s="1153">
        <f t="shared" si="124"/>
        <v>335.92189522342125</v>
      </c>
      <c r="F44" s="1153">
        <f t="shared" si="124"/>
        <v>183.10139991109489</v>
      </c>
      <c r="G44" s="3439">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1931</v>
      </c>
      <c r="B45" s="1153">
        <f t="shared" si="123"/>
        <v>232.06990378821649</v>
      </c>
      <c r="C45" s="1153">
        <f t="shared" si="123"/>
        <v>192.74878854286936</v>
      </c>
      <c r="D45" s="1153">
        <f t="shared" si="109"/>
        <v>192.74878854286936</v>
      </c>
      <c r="E45" s="1153">
        <f t="shared" si="124"/>
        <v>319.71247284992984</v>
      </c>
      <c r="F45" s="1153">
        <f t="shared" si="124"/>
        <v>175.67053622862409</v>
      </c>
      <c r="G45" s="3442">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1932</v>
      </c>
      <c r="B46" s="1161">
        <v>220</v>
      </c>
      <c r="C46" s="1161">
        <v>187</v>
      </c>
      <c r="D46" s="1161">
        <f t="shared" si="109"/>
        <v>187</v>
      </c>
      <c r="E46" s="1161">
        <v>301</v>
      </c>
      <c r="F46" s="1162">
        <v>168</v>
      </c>
      <c r="G46" s="3443">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1933</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39">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1934</v>
      </c>
      <c r="B48" s="1153">
        <f t="shared" si="125"/>
        <v>210.630522469011</v>
      </c>
      <c r="C48" s="1153">
        <f t="shared" si="125"/>
        <v>181.69567812247232</v>
      </c>
      <c r="D48" s="1153">
        <f t="shared" si="109"/>
        <v>181.69567812247232</v>
      </c>
      <c r="E48" s="1153">
        <f t="shared" si="126"/>
        <v>286.13517466736738</v>
      </c>
      <c r="F48" s="1153">
        <f t="shared" si="126"/>
        <v>165.47535084591149</v>
      </c>
      <c r="G48" s="3439">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1935</v>
      </c>
      <c r="B49" s="1153">
        <f t="shared" si="125"/>
        <v>208.83454537875372</v>
      </c>
      <c r="C49" s="1153">
        <f t="shared" si="125"/>
        <v>183.77230517090351</v>
      </c>
      <c r="D49" s="1153">
        <f t="shared" si="109"/>
        <v>183.77230517090351</v>
      </c>
      <c r="E49" s="1153">
        <f t="shared" si="126"/>
        <v>281.10342338870947</v>
      </c>
      <c r="F49" s="1153">
        <f t="shared" si="126"/>
        <v>168.97309388942256</v>
      </c>
      <c r="G49" s="3442">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1936</v>
      </c>
      <c r="B50" s="1172">
        <v>214</v>
      </c>
      <c r="C50" s="1172">
        <v>188</v>
      </c>
      <c r="D50" s="1172">
        <f t="shared" si="109"/>
        <v>188</v>
      </c>
      <c r="E50" s="1172">
        <v>289</v>
      </c>
      <c r="F50" s="1173">
        <v>166</v>
      </c>
      <c r="G50" s="3443">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1937</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39">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1938</v>
      </c>
      <c r="B52" s="1153">
        <f t="shared" si="127"/>
        <v>206.31694671589116</v>
      </c>
      <c r="C52" s="1153">
        <f t="shared" si="127"/>
        <v>183.61041121036101</v>
      </c>
      <c r="D52" s="1153">
        <f t="shared" si="109"/>
        <v>183.61041121036101</v>
      </c>
      <c r="E52" s="1153">
        <f t="shared" si="128"/>
        <v>276.66850301795557</v>
      </c>
      <c r="F52" s="1153">
        <f t="shared" si="128"/>
        <v>165.1360938278614</v>
      </c>
      <c r="G52" s="3439">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1939</v>
      </c>
      <c r="B53" s="1175">
        <f t="shared" si="127"/>
        <v>196.62341248059772</v>
      </c>
      <c r="C53" s="1175">
        <f t="shared" si="127"/>
        <v>170.99125648199012</v>
      </c>
      <c r="D53" s="1175">
        <f t="shared" si="109"/>
        <v>170.99125648199012</v>
      </c>
      <c r="E53" s="1175">
        <f t="shared" si="128"/>
        <v>266.07857570490052</v>
      </c>
      <c r="F53" s="1175">
        <f t="shared" si="128"/>
        <v>154.53499328828505</v>
      </c>
      <c r="G53" s="3442">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1940</v>
      </c>
      <c r="B54" s="1161">
        <v>188</v>
      </c>
      <c r="C54" s="1161">
        <v>165</v>
      </c>
      <c r="D54" s="1161">
        <f t="shared" si="109"/>
        <v>165</v>
      </c>
      <c r="E54" s="1161">
        <v>254</v>
      </c>
      <c r="F54" s="1162">
        <v>148</v>
      </c>
      <c r="G54" s="3443">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1941</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39">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1942</v>
      </c>
      <c r="B56" s="1153">
        <f t="shared" si="131"/>
        <v>168.82017748715555</v>
      </c>
      <c r="C56" s="1153">
        <f t="shared" si="131"/>
        <v>148.06267029972753</v>
      </c>
      <c r="D56" s="1153">
        <f t="shared" si="109"/>
        <v>148.06267029972753</v>
      </c>
      <c r="E56" s="1153">
        <f t="shared" si="132"/>
        <v>216.46288379323747</v>
      </c>
      <c r="F56" s="1153">
        <f t="shared" si="132"/>
        <v>134.23529411764704</v>
      </c>
      <c r="G56" s="3439">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1943</v>
      </c>
      <c r="B57" s="1153">
        <f t="shared" si="131"/>
        <v>163.84913591779542</v>
      </c>
      <c r="C57" s="1153">
        <f t="shared" si="131"/>
        <v>145.0283378746594</v>
      </c>
      <c r="D57" s="1153">
        <f t="shared" si="109"/>
        <v>145.0283378746594</v>
      </c>
      <c r="E57" s="1153">
        <f t="shared" si="132"/>
        <v>204.95180722891567</v>
      </c>
      <c r="F57" s="1153">
        <f t="shared" si="132"/>
        <v>125.95920303605313</v>
      </c>
      <c r="G57" s="3442">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1944</v>
      </c>
      <c r="B58" s="1165">
        <v>159</v>
      </c>
      <c r="C58" s="1165">
        <v>141</v>
      </c>
      <c r="D58" s="1165">
        <f t="shared" si="109"/>
        <v>141</v>
      </c>
      <c r="E58" s="1165">
        <v>195</v>
      </c>
      <c r="F58" s="1166">
        <v>122</v>
      </c>
      <c r="G58" s="3443">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1945</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39">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1946</v>
      </c>
      <c r="B60" s="1153">
        <f t="shared" si="135"/>
        <v>146.57412060301507</v>
      </c>
      <c r="C60" s="1153">
        <f t="shared" si="135"/>
        <v>136.46831955922866</v>
      </c>
      <c r="D60" s="1153">
        <f t="shared" si="109"/>
        <v>136.46831955922866</v>
      </c>
      <c r="E60" s="1153">
        <f t="shared" si="136"/>
        <v>166.73864894795128</v>
      </c>
      <c r="F60" s="1153">
        <f t="shared" si="136"/>
        <v>115.05882352941177</v>
      </c>
      <c r="G60" s="3439">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1947</v>
      </c>
      <c r="B61" s="1153">
        <f t="shared" si="135"/>
        <v>144.04145728643215</v>
      </c>
      <c r="C61" s="1153">
        <f t="shared" si="135"/>
        <v>136.12396694214877</v>
      </c>
      <c r="D61" s="1153">
        <f t="shared" si="109"/>
        <v>136.12396694214877</v>
      </c>
      <c r="E61" s="1153">
        <f t="shared" si="136"/>
        <v>158.32225913621264</v>
      </c>
      <c r="F61" s="1153">
        <f t="shared" si="136"/>
        <v>114.04278074866311</v>
      </c>
      <c r="G61" s="3442">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1948</v>
      </c>
      <c r="B62" s="1165">
        <v>138</v>
      </c>
      <c r="C62" s="1165">
        <v>131</v>
      </c>
      <c r="D62" s="1165">
        <f t="shared" si="109"/>
        <v>131</v>
      </c>
      <c r="E62" s="1165">
        <v>155</v>
      </c>
      <c r="F62" s="1166">
        <v>114</v>
      </c>
      <c r="G62" s="3443">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1949</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39">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1950</v>
      </c>
      <c r="B64" s="1153">
        <f t="shared" si="139"/>
        <v>124.29032258064517</v>
      </c>
      <c r="C64" s="1153">
        <f t="shared" si="139"/>
        <v>123.8968609865471</v>
      </c>
      <c r="D64" s="1153">
        <f t="shared" si="109"/>
        <v>123.8968609865471</v>
      </c>
      <c r="E64" s="1153">
        <f t="shared" si="140"/>
        <v>138.00507614213197</v>
      </c>
      <c r="F64" s="1153">
        <f t="shared" si="140"/>
        <v>107.96106557377048</v>
      </c>
      <c r="G64" s="3439">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1951</v>
      </c>
      <c r="B65" s="1153">
        <f t="shared" si="139"/>
        <v>122.57204301075269</v>
      </c>
      <c r="C65" s="1153">
        <f t="shared" si="139"/>
        <v>123.4932735426009</v>
      </c>
      <c r="D65" s="1153">
        <f t="shared" si="109"/>
        <v>123.4932735426009</v>
      </c>
      <c r="E65" s="1153">
        <f t="shared" si="140"/>
        <v>129.82233502538071</v>
      </c>
      <c r="F65" s="1153">
        <f t="shared" si="140"/>
        <v>107.39446721311475</v>
      </c>
      <c r="G65" s="3442">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1952</v>
      </c>
      <c r="B66" s="1172">
        <v>121</v>
      </c>
      <c r="C66" s="1172">
        <v>122</v>
      </c>
      <c r="D66" s="1172">
        <f t="shared" si="109"/>
        <v>122</v>
      </c>
      <c r="E66" s="1172">
        <v>124</v>
      </c>
      <c r="F66" s="1173">
        <v>107</v>
      </c>
      <c r="G66" s="3443">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1953</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39">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1954</v>
      </c>
      <c r="B68" s="1153">
        <f t="shared" si="143"/>
        <v>116.99099099099099</v>
      </c>
      <c r="C68" s="1153">
        <f t="shared" si="143"/>
        <v>118.84848484848486</v>
      </c>
      <c r="D68" s="1153">
        <f t="shared" si="109"/>
        <v>118.84848484848486</v>
      </c>
      <c r="E68" s="1153">
        <f t="shared" si="144"/>
        <v>117.60960960960961</v>
      </c>
      <c r="F68" s="1153">
        <f t="shared" si="144"/>
        <v>104</v>
      </c>
      <c r="G68" s="3439">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1955</v>
      </c>
      <c r="B69" s="1175">
        <f t="shared" si="143"/>
        <v>112.48648648648648</v>
      </c>
      <c r="C69" s="1175">
        <f t="shared" si="143"/>
        <v>115.21212121212122</v>
      </c>
      <c r="D69" s="1175">
        <f t="shared" si="109"/>
        <v>115.21212121212122</v>
      </c>
      <c r="E69" s="1175">
        <f t="shared" si="144"/>
        <v>110.4024024024024</v>
      </c>
      <c r="F69" s="1175">
        <f t="shared" si="144"/>
        <v>104</v>
      </c>
      <c r="G69" s="3442">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1956</v>
      </c>
      <c r="B70" s="1236">
        <v>111</v>
      </c>
      <c r="C70" s="1236">
        <v>114</v>
      </c>
      <c r="D70" s="1236">
        <f t="shared" si="109"/>
        <v>114</v>
      </c>
      <c r="E70" s="1236">
        <v>108</v>
      </c>
      <c r="F70" s="1237">
        <v>104</v>
      </c>
      <c r="G70" s="3443">
        <v>2003</v>
      </c>
      <c r="H70" s="1177">
        <v>4</v>
      </c>
      <c r="I70" s="1251"/>
      <c r="J70" s="1251"/>
      <c r="K70" s="1251"/>
      <c r="L70" s="1251"/>
      <c r="N70" s="1252"/>
      <c r="O70" s="1251"/>
      <c r="P70" s="1251"/>
      <c r="Q70" s="1251"/>
      <c r="S70" s="1252"/>
      <c r="T70" s="1251"/>
      <c r="U70" s="1251"/>
      <c r="V70" s="1251"/>
      <c r="X70" s="1231"/>
      <c r="Y70" s="1231"/>
      <c r="Z70" s="1231"/>
    </row>
    <row r="71" spans="1:26">
      <c r="A71" s="1152" t="s">
        <v>1957</v>
      </c>
      <c r="B71" s="1238">
        <f t="shared" ref="B71:C73" si="145">B72+(B$70-B$74)/4</f>
        <v>109.75</v>
      </c>
      <c r="C71" s="1238">
        <f t="shared" si="145"/>
        <v>112.25</v>
      </c>
      <c r="D71" s="1238">
        <f t="shared" si="109"/>
        <v>112.25</v>
      </c>
      <c r="E71" s="1238">
        <f t="shared" ref="E71:F73" si="146">E72+(E$70-E$74)/4</f>
        <v>107.25</v>
      </c>
      <c r="F71" s="1238">
        <f t="shared" si="146"/>
        <v>103.5</v>
      </c>
      <c r="G71" s="3439">
        <v>2003</v>
      </c>
      <c r="H71" s="1164">
        <v>3</v>
      </c>
      <c r="I71" s="1251"/>
      <c r="J71" s="1251"/>
      <c r="K71" s="1251"/>
      <c r="L71" s="1251"/>
      <c r="X71" s="1231"/>
      <c r="Y71" s="1231"/>
      <c r="Z71" s="1231"/>
    </row>
    <row r="72" spans="1:26">
      <c r="A72" s="1152" t="s">
        <v>1958</v>
      </c>
      <c r="B72" s="1238">
        <f t="shared" si="145"/>
        <v>108.5</v>
      </c>
      <c r="C72" s="1238">
        <f t="shared" si="145"/>
        <v>110.5</v>
      </c>
      <c r="D72" s="1238">
        <f t="shared" si="109"/>
        <v>110.5</v>
      </c>
      <c r="E72" s="1238">
        <f t="shared" si="146"/>
        <v>106.5</v>
      </c>
      <c r="F72" s="1238">
        <f t="shared" si="146"/>
        <v>103</v>
      </c>
      <c r="G72" s="3439">
        <v>2003</v>
      </c>
      <c r="H72" s="1158">
        <v>2</v>
      </c>
      <c r="I72" s="1251"/>
      <c r="J72" s="1251"/>
      <c r="K72" s="1251"/>
      <c r="L72" s="1251"/>
      <c r="X72" s="1231"/>
      <c r="Y72" s="1231"/>
      <c r="Z72" s="1231"/>
    </row>
    <row r="73" spans="1:26">
      <c r="A73" s="1152" t="s">
        <v>1959</v>
      </c>
      <c r="B73" s="1238">
        <f t="shared" si="145"/>
        <v>107.25</v>
      </c>
      <c r="C73" s="1238">
        <f t="shared" si="145"/>
        <v>108.75</v>
      </c>
      <c r="D73" s="1238">
        <f t="shared" si="109"/>
        <v>108.75</v>
      </c>
      <c r="E73" s="1238">
        <f t="shared" si="146"/>
        <v>105.75</v>
      </c>
      <c r="F73" s="1238">
        <f t="shared" si="146"/>
        <v>102.5</v>
      </c>
      <c r="G73" s="3442">
        <v>2003</v>
      </c>
      <c r="H73" s="1239">
        <v>1</v>
      </c>
      <c r="I73" s="1251"/>
      <c r="J73" s="1251"/>
      <c r="K73" s="1251"/>
      <c r="L73" s="1251"/>
      <c r="S73" s="1185"/>
      <c r="T73" s="1186"/>
      <c r="U73" s="1186"/>
      <c r="X73" s="1231"/>
      <c r="Y73" s="1231"/>
      <c r="Z73" s="1231"/>
    </row>
    <row r="74" spans="1:26">
      <c r="A74" s="1152" t="s">
        <v>1960</v>
      </c>
      <c r="B74" s="1240">
        <v>106</v>
      </c>
      <c r="C74" s="1240">
        <v>107</v>
      </c>
      <c r="D74" s="1240">
        <f t="shared" si="109"/>
        <v>107</v>
      </c>
      <c r="E74" s="1240">
        <v>105</v>
      </c>
      <c r="F74" s="1241">
        <v>102</v>
      </c>
      <c r="G74" s="3443">
        <v>2002</v>
      </c>
      <c r="H74" s="1163">
        <v>4</v>
      </c>
      <c r="I74" s="1251"/>
      <c r="J74" s="1251"/>
      <c r="K74" s="1251"/>
      <c r="L74" s="1251"/>
      <c r="N74" s="1252"/>
      <c r="O74" s="1251"/>
      <c r="P74" s="1251"/>
      <c r="Q74" s="1251"/>
      <c r="S74" s="1252"/>
      <c r="T74" s="1251"/>
      <c r="U74" s="1251"/>
      <c r="V74" s="1251"/>
      <c r="X74" s="1231"/>
      <c r="Y74" s="1231"/>
      <c r="Z74" s="1231"/>
    </row>
    <row r="75" spans="1:26">
      <c r="A75" s="1152" t="s">
        <v>1961</v>
      </c>
      <c r="B75" s="1238">
        <f t="shared" ref="B75:C77" si="147">B76+(B$74-B$78)/4</f>
        <v>105</v>
      </c>
      <c r="C75" s="1238">
        <f t="shared" si="147"/>
        <v>106</v>
      </c>
      <c r="D75" s="1238">
        <f t="shared" si="109"/>
        <v>106</v>
      </c>
      <c r="E75" s="1238">
        <f t="shared" ref="E75:F77" si="148">E76+(E$74-E$78)/4</f>
        <v>104.5</v>
      </c>
      <c r="F75" s="1238">
        <f t="shared" si="148"/>
        <v>101.5</v>
      </c>
      <c r="G75" s="3439">
        <v>2002</v>
      </c>
      <c r="H75" s="1164">
        <v>3</v>
      </c>
      <c r="I75" s="1251"/>
      <c r="J75" s="1251"/>
      <c r="K75" s="1251"/>
      <c r="L75" s="1251"/>
      <c r="X75" s="1231"/>
      <c r="Y75" s="1231"/>
      <c r="Z75" s="1231"/>
    </row>
    <row r="76" spans="1:26">
      <c r="A76" s="1152" t="s">
        <v>1962</v>
      </c>
      <c r="B76" s="1238">
        <f t="shared" si="147"/>
        <v>104</v>
      </c>
      <c r="C76" s="1238">
        <f t="shared" si="147"/>
        <v>105</v>
      </c>
      <c r="D76" s="1238">
        <f t="shared" si="109"/>
        <v>105</v>
      </c>
      <c r="E76" s="1238">
        <f t="shared" si="148"/>
        <v>104</v>
      </c>
      <c r="F76" s="1238">
        <f t="shared" si="148"/>
        <v>101</v>
      </c>
      <c r="G76" s="3439">
        <v>2002</v>
      </c>
      <c r="H76" s="1158">
        <v>2</v>
      </c>
      <c r="I76" s="1251"/>
      <c r="J76" s="1251"/>
      <c r="K76" s="1251"/>
      <c r="L76" s="1251"/>
      <c r="X76" s="1231"/>
      <c r="Y76" s="1231"/>
      <c r="Z76" s="1231"/>
    </row>
    <row r="77" spans="1:26" s="1130" customFormat="1">
      <c r="A77" s="1168" t="s">
        <v>1963</v>
      </c>
      <c r="B77" s="1242">
        <f t="shared" si="147"/>
        <v>103</v>
      </c>
      <c r="C77" s="1242">
        <f t="shared" si="147"/>
        <v>104</v>
      </c>
      <c r="D77" s="1242">
        <f t="shared" si="109"/>
        <v>104</v>
      </c>
      <c r="E77" s="1242">
        <f t="shared" si="148"/>
        <v>103.5</v>
      </c>
      <c r="F77" s="1242">
        <f t="shared" si="148"/>
        <v>100.5</v>
      </c>
      <c r="G77" s="3442">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1964</v>
      </c>
      <c r="G80" s="1248"/>
      <c r="N80" s="1248"/>
      <c r="S80" s="1248"/>
    </row>
    <row r="81" spans="1:22" s="1132" customFormat="1">
      <c r="A81" s="1132" t="s">
        <v>1965</v>
      </c>
      <c r="G81" s="1248"/>
      <c r="N81" s="1248"/>
      <c r="S81" s="1248"/>
    </row>
    <row r="82" spans="1:22" s="1132" customFormat="1">
      <c r="A82" s="1132" t="s">
        <v>1966</v>
      </c>
      <c r="G82" s="1248"/>
      <c r="I82" s="1255"/>
      <c r="J82" s="1255"/>
      <c r="K82" s="1255"/>
      <c r="L82" s="1255"/>
      <c r="N82" s="1256"/>
      <c r="O82" s="1255"/>
      <c r="P82" s="1255"/>
      <c r="Q82" s="1255"/>
      <c r="S82" s="1256"/>
      <c r="T82" s="1255"/>
      <c r="U82" s="1255"/>
      <c r="V82" s="1255"/>
    </row>
    <row r="83" spans="1:22" s="1132" customFormat="1">
      <c r="A83" s="1132" t="s">
        <v>1967</v>
      </c>
      <c r="G83" s="1248"/>
      <c r="N83" s="1248"/>
      <c r="S83" s="1248"/>
    </row>
    <row r="91" spans="1:22">
      <c r="G91" s="1133"/>
      <c r="S91" s="1259" t="s">
        <v>1968</v>
      </c>
      <c r="T91" s="1260" t="s">
        <v>1969</v>
      </c>
      <c r="U91" s="1260" t="s">
        <v>1970</v>
      </c>
      <c r="V91" s="1260" t="s">
        <v>1971</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2020年2月10日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8.75">
      <c r="A21" s="3119" t="s">
        <v>91</v>
      </c>
    </row>
    <row r="22" spans="1:1" ht="56.2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1184</v>
      </c>
      <c r="B2" s="1116" t="e">
        <f ca="1">SUMIF(B7:B14,"&lt;&gt;#ref!",B7:B14)</f>
        <v>#DIV/0!</v>
      </c>
      <c r="C2" s="1115" t="s">
        <v>1112</v>
      </c>
      <c r="D2" s="1114"/>
      <c r="E2" s="1114"/>
      <c r="F2" s="1114"/>
    </row>
    <row r="3" spans="1:6" ht="14.25">
      <c r="A3" s="1115" t="s">
        <v>927</v>
      </c>
      <c r="B3" s="1116" t="e">
        <f ca="1">ROUND(B2*10000/E3,0)</f>
        <v>#DIV/0!</v>
      </c>
      <c r="C3" s="1115" t="s">
        <v>1186</v>
      </c>
      <c r="D3" s="1115" t="s">
        <v>1972</v>
      </c>
      <c r="E3" s="1116">
        <f ca="1">SUMIF(E7:E14,"&lt;&gt;#ref!",E7:E14)</f>
        <v>0</v>
      </c>
      <c r="F3" s="1114"/>
    </row>
    <row r="4" spans="1:6" ht="14.25">
      <c r="A4" s="1115" t="s">
        <v>1191</v>
      </c>
      <c r="B4" s="1116" t="e">
        <f ca="1">ROUND(B2*10000/E4,0)</f>
        <v>#DIV/0!</v>
      </c>
      <c r="C4" s="1115" t="s">
        <v>1186</v>
      </c>
      <c r="D4" s="1115" t="s">
        <v>1973</v>
      </c>
      <c r="E4" s="1116">
        <f ca="1">SUMIF(F7:F14,"&lt;&gt;#ref!",F7:F14)</f>
        <v>0</v>
      </c>
      <c r="F4" s="1114"/>
    </row>
    <row r="5" spans="1:6" ht="14.25">
      <c r="A5" s="1117"/>
      <c r="B5" s="1118"/>
      <c r="C5" s="1118"/>
      <c r="D5" s="1118"/>
      <c r="E5" s="1118"/>
      <c r="F5" s="1114"/>
    </row>
    <row r="6" spans="1:6" ht="28.5">
      <c r="A6" s="1119" t="s">
        <v>1974</v>
      </c>
      <c r="B6" s="1115" t="s">
        <v>1975</v>
      </c>
      <c r="C6" s="1116"/>
      <c r="D6" s="1118"/>
      <c r="E6" s="1115" t="s">
        <v>383</v>
      </c>
      <c r="F6" s="1115" t="s">
        <v>386</v>
      </c>
    </row>
    <row r="7" spans="1:6" ht="14.25">
      <c r="A7" s="1120" t="s">
        <v>173</v>
      </c>
      <c r="B7" s="1121" t="e">
        <f ca="1">SUMIF(INDIRECT("'"&amp;A7&amp;"'"&amp;"!A:A"),"总价",INDIRECT("'"&amp;A7&amp;"'"&amp;"!B:B"))</f>
        <v>#DIV/0!</v>
      </c>
      <c r="C7" s="1115" t="s">
        <v>1112</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1112</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1112</v>
      </c>
      <c r="D9" s="1118"/>
      <c r="E9" s="1122" t="e">
        <f t="shared" ca="1" si="1"/>
        <v>#REF!</v>
      </c>
      <c r="F9" s="1122" t="e">
        <f t="shared" ca="1" si="2"/>
        <v>#REF!</v>
      </c>
    </row>
    <row r="10" spans="1:6" ht="14.25">
      <c r="A10" s="1120"/>
      <c r="B10" s="1121" t="e">
        <f t="shared" ca="1" si="0"/>
        <v>#REF!</v>
      </c>
      <c r="C10" s="1115" t="s">
        <v>1112</v>
      </c>
      <c r="D10" s="1118"/>
      <c r="E10" s="1122" t="e">
        <f t="shared" ca="1" si="1"/>
        <v>#REF!</v>
      </c>
      <c r="F10" s="1122" t="e">
        <f t="shared" ca="1" si="2"/>
        <v>#REF!</v>
      </c>
    </row>
    <row r="11" spans="1:6" ht="14.25">
      <c r="A11" s="1120"/>
      <c r="B11" s="1121" t="e">
        <f t="shared" ca="1" si="0"/>
        <v>#REF!</v>
      </c>
      <c r="C11" s="1115" t="s">
        <v>1112</v>
      </c>
      <c r="D11" s="1118"/>
      <c r="E11" s="1122" t="e">
        <f t="shared" ca="1" si="1"/>
        <v>#REF!</v>
      </c>
      <c r="F11" s="1122" t="e">
        <f t="shared" ca="1" si="2"/>
        <v>#REF!</v>
      </c>
    </row>
    <row r="12" spans="1:6" ht="14.25">
      <c r="A12" s="1120"/>
      <c r="B12" s="1121" t="e">
        <f t="shared" ca="1" si="0"/>
        <v>#REF!</v>
      </c>
      <c r="C12" s="1115" t="s">
        <v>1112</v>
      </c>
      <c r="D12" s="1118"/>
      <c r="E12" s="1122" t="e">
        <f t="shared" ca="1" si="1"/>
        <v>#REF!</v>
      </c>
      <c r="F12" s="1122" t="e">
        <f t="shared" ca="1" si="2"/>
        <v>#REF!</v>
      </c>
    </row>
    <row r="13" spans="1:6" ht="14.25">
      <c r="A13" s="1120"/>
      <c r="B13" s="1121" t="e">
        <f t="shared" ca="1" si="0"/>
        <v>#REF!</v>
      </c>
      <c r="C13" s="1115" t="s">
        <v>1112</v>
      </c>
      <c r="D13" s="1118"/>
      <c r="E13" s="1122" t="e">
        <f t="shared" ca="1" si="1"/>
        <v>#REF!</v>
      </c>
      <c r="F13" s="1122" t="e">
        <f t="shared" ca="1" si="2"/>
        <v>#REF!</v>
      </c>
    </row>
    <row r="14" spans="1:6" ht="14.25">
      <c r="A14" s="1123"/>
      <c r="B14" s="1121" t="e">
        <f t="shared" ca="1" si="0"/>
        <v>#REF!</v>
      </c>
      <c r="C14" s="1115" t="s">
        <v>1112</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8.375" style="3" customWidth="1"/>
    <col min="16" max="16" width="30.25" style="3" customWidth="1"/>
    <col min="17" max="17" width="13.75" style="3" customWidth="1"/>
    <col min="18" max="18" width="22.25" style="3" customWidth="1"/>
    <col min="19" max="19" width="1.5" style="3" customWidth="1"/>
    <col min="20" max="25" width="9" style="3"/>
    <col min="26" max="16384" width="9" style="4"/>
  </cols>
  <sheetData>
    <row r="1" spans="1:25" s="1" customFormat="1" ht="21">
      <c r="A1" s="1057" t="s">
        <v>1976</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1977</v>
      </c>
      <c r="I3" s="18"/>
      <c r="J3" s="18"/>
      <c r="K3" s="161"/>
      <c r="L3" s="18"/>
      <c r="M3" s="18"/>
    </row>
    <row r="4" spans="1:25" ht="18" customHeight="1">
      <c r="A4" s="1063" t="s">
        <v>1080</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1978</v>
      </c>
      <c r="B6" s="1067" t="s">
        <v>1979</v>
      </c>
      <c r="C6" s="1067" t="s">
        <v>1980</v>
      </c>
      <c r="D6" s="1067" t="s">
        <v>1981</v>
      </c>
      <c r="E6" s="27" t="s">
        <v>1982</v>
      </c>
      <c r="F6" s="28"/>
      <c r="G6" s="29"/>
      <c r="H6" s="1066" t="s">
        <v>1978</v>
      </c>
      <c r="I6" s="1067" t="s">
        <v>1979</v>
      </c>
      <c r="J6" s="1067" t="s">
        <v>1980</v>
      </c>
      <c r="K6" s="1067" t="s">
        <v>1981</v>
      </c>
      <c r="L6" s="27" t="s">
        <v>1982</v>
      </c>
      <c r="M6" s="28"/>
    </row>
    <row r="7" spans="1:25" ht="18" customHeight="1">
      <c r="A7" s="30">
        <v>1</v>
      </c>
      <c r="B7" s="31" t="s">
        <v>1983</v>
      </c>
      <c r="C7" s="79">
        <f ca="1">C8+C12+C14</f>
        <v>0</v>
      </c>
      <c r="D7" s="33" t="s">
        <v>1984</v>
      </c>
      <c r="E7" s="34"/>
      <c r="F7" s="35"/>
      <c r="G7" s="29"/>
      <c r="H7" s="30">
        <v>1</v>
      </c>
      <c r="I7" s="31" t="s">
        <v>1983</v>
      </c>
      <c r="J7" s="79">
        <f ca="1">J8+J12+J14</f>
        <v>0</v>
      </c>
      <c r="K7" s="33" t="s">
        <v>1984</v>
      </c>
      <c r="L7" s="34"/>
      <c r="M7" s="35"/>
    </row>
    <row r="8" spans="1:25" ht="18" customHeight="1">
      <c r="A8" s="36" t="s">
        <v>862</v>
      </c>
      <c r="B8" s="3449" t="s">
        <v>1985</v>
      </c>
      <c r="C8" s="1068">
        <f ca="1">ROUND(F8*F10*F9*(1-F11)/10000,0)</f>
        <v>0</v>
      </c>
      <c r="D8" s="1069" t="s">
        <v>1986</v>
      </c>
      <c r="E8" s="1070" t="s">
        <v>1987</v>
      </c>
      <c r="F8" s="40">
        <f ca="1">INDIRECT("'数据-取费表'!u"&amp;$G$1)</f>
        <v>0</v>
      </c>
      <c r="G8" s="29"/>
      <c r="H8" s="41" t="s">
        <v>862</v>
      </c>
      <c r="I8" s="3449" t="s">
        <v>1985</v>
      </c>
      <c r="J8" s="37">
        <f ca="1">ROUND(M8*M10*M9*(1-M11)/10000,0)</f>
        <v>0</v>
      </c>
      <c r="K8" s="113" t="s">
        <v>1986</v>
      </c>
      <c r="L8" s="39" t="s">
        <v>1987</v>
      </c>
      <c r="M8" s="40">
        <f ca="1">INDIRECT("'数据-取费表'!z"&amp;$G$1)</f>
        <v>0</v>
      </c>
    </row>
    <row r="9" spans="1:25" ht="18" customHeight="1">
      <c r="A9" s="42"/>
      <c r="B9" s="3450"/>
      <c r="C9" s="1071"/>
      <c r="D9" s="1072"/>
      <c r="E9" s="1070" t="s">
        <v>1988</v>
      </c>
      <c r="F9" s="40">
        <f ca="1">IF(INDIRECT("'数据-取费表'!ah"&amp;$G$1)="",INDIRECT("'数据-取费表'!k"&amp;$G$1),INDIRECT("'数据-取费表'!ah"&amp;$G$1))</f>
        <v>0</v>
      </c>
      <c r="G9" s="29"/>
      <c r="H9" s="45"/>
      <c r="I9" s="3450"/>
      <c r="J9" s="43"/>
      <c r="K9" s="44"/>
      <c r="L9" s="39" t="s">
        <v>1988</v>
      </c>
      <c r="M9" s="40">
        <f ca="1">F9</f>
        <v>0</v>
      </c>
    </row>
    <row r="10" spans="1:25" ht="18" customHeight="1">
      <c r="A10" s="46"/>
      <c r="B10" s="3451"/>
      <c r="C10" s="1071"/>
      <c r="D10" s="1072"/>
      <c r="E10" s="1070" t="s">
        <v>1989</v>
      </c>
      <c r="F10" s="40">
        <f ca="1">INDIRECT("'数据-取费表'!ai"&amp;$G$1)</f>
        <v>0</v>
      </c>
      <c r="G10" s="29"/>
      <c r="H10" s="45"/>
      <c r="I10" s="3451"/>
      <c r="J10" s="43"/>
      <c r="K10" s="44"/>
      <c r="L10" s="39" t="s">
        <v>1989</v>
      </c>
      <c r="M10" s="40">
        <f ca="1">INDIRECT("'数据-取费表'!ai"&amp;$G$1)</f>
        <v>0</v>
      </c>
    </row>
    <row r="11" spans="1:25" ht="18" customHeight="1">
      <c r="A11" s="47"/>
      <c r="B11" s="3452"/>
      <c r="C11" s="1071"/>
      <c r="D11" s="1072"/>
      <c r="E11" s="1070" t="s">
        <v>1990</v>
      </c>
      <c r="F11" s="48">
        <f ca="1">INDIRECT("'数据-取费表'!w"&amp;$G$1)</f>
        <v>0</v>
      </c>
      <c r="G11" s="29"/>
      <c r="H11" s="49"/>
      <c r="I11" s="3451"/>
      <c r="J11" s="43"/>
      <c r="K11" s="44"/>
      <c r="L11" s="95" t="s">
        <v>1990</v>
      </c>
      <c r="M11" s="59">
        <f ca="1">INDIRECT("'数据-取费表'!ab"&amp;$G$1)</f>
        <v>0</v>
      </c>
    </row>
    <row r="12" spans="1:25" ht="18" customHeight="1">
      <c r="A12" s="36" t="s">
        <v>864</v>
      </c>
      <c r="B12" s="50" t="s">
        <v>1991</v>
      </c>
      <c r="C12" s="51">
        <f ca="1">ROUND(IF(F12="押一",C8/12*F13,IF(F12="押二",C8/12*2*F13,IF(F12="押三",C8/12*3*F13,C13*F13))),0)</f>
        <v>0</v>
      </c>
      <c r="D12" s="52" t="s">
        <v>1992</v>
      </c>
      <c r="E12" s="53" t="s">
        <v>1993</v>
      </c>
      <c r="F12" s="54"/>
      <c r="G12" s="29"/>
      <c r="H12" s="55" t="s">
        <v>864</v>
      </c>
      <c r="I12" s="164" t="s">
        <v>1991</v>
      </c>
      <c r="J12" s="37">
        <f ca="1">ROUND(IF(M12="押一",J8/12*M13,IF(M12="押二",J8/12*2*M13,IF(M12="押三",J8/12*3*M13,J13*M13))),0)</f>
        <v>0</v>
      </c>
      <c r="K12" s="52" t="s">
        <v>1992</v>
      </c>
      <c r="L12" s="53" t="s">
        <v>1993</v>
      </c>
      <c r="M12" s="54"/>
    </row>
    <row r="13" spans="1:25" ht="18" customHeight="1">
      <c r="A13" s="56"/>
      <c r="B13" s="57" t="s">
        <v>1994</v>
      </c>
      <c r="C13" s="58"/>
      <c r="D13" s="44"/>
      <c r="E13" s="53" t="s">
        <v>644</v>
      </c>
      <c r="F13" s="59">
        <f ca="1">'数据-取费表'!B39</f>
        <v>1.4999999999999999E-2</v>
      </c>
      <c r="G13" s="29"/>
      <c r="H13" s="60"/>
      <c r="I13" s="57" t="s">
        <v>1994</v>
      </c>
      <c r="J13" s="58"/>
      <c r="K13" s="165"/>
      <c r="L13" s="53" t="s">
        <v>644</v>
      </c>
      <c r="M13" s="166">
        <f ca="1">'数据-取费表'!B39</f>
        <v>1.4999999999999999E-2</v>
      </c>
    </row>
    <row r="14" spans="1:25" ht="18" customHeight="1">
      <c r="A14" s="61" t="s">
        <v>1085</v>
      </c>
      <c r="B14" s="62" t="s">
        <v>1995</v>
      </c>
      <c r="C14" s="63"/>
      <c r="D14" s="64"/>
      <c r="E14" s="65"/>
      <c r="F14" s="66"/>
      <c r="G14" s="29"/>
      <c r="H14" s="67" t="s">
        <v>1085</v>
      </c>
      <c r="I14" s="167" t="s">
        <v>1995</v>
      </c>
      <c r="J14" s="168"/>
      <c r="K14" s="64"/>
      <c r="L14" s="65"/>
      <c r="M14" s="169"/>
    </row>
    <row r="15" spans="1:25" ht="18" customHeight="1">
      <c r="A15" s="68" t="s">
        <v>868</v>
      </c>
      <c r="B15" s="69" t="s">
        <v>1996</v>
      </c>
      <c r="C15" s="70">
        <f ca="1">ROUND(C31*F15,0)</f>
        <v>0</v>
      </c>
      <c r="D15" s="71" t="s">
        <v>1997</v>
      </c>
      <c r="E15" s="95" t="s">
        <v>1998</v>
      </c>
      <c r="F15" s="153">
        <f ca="1">INDIRECT("'数据-取费表'!y"&amp;$G$1)</f>
        <v>0</v>
      </c>
      <c r="G15" s="29"/>
      <c r="H15" s="68" t="s">
        <v>868</v>
      </c>
      <c r="I15" s="69" t="s">
        <v>1999</v>
      </c>
      <c r="J15" s="170">
        <f ca="1">ROUND(J16*J17,0)</f>
        <v>0</v>
      </c>
      <c r="K15" s="104" t="s">
        <v>1997</v>
      </c>
      <c r="L15" s="173"/>
      <c r="M15" s="174"/>
    </row>
    <row r="16" spans="1:25" ht="18" customHeight="1">
      <c r="A16" s="1073" t="s">
        <v>886</v>
      </c>
      <c r="B16" s="39" t="s">
        <v>1092</v>
      </c>
      <c r="C16" s="74">
        <f ca="1">INDIRECT("'数据-取费表'!m"&amp;$G$1)+INDIRECT("'数据-取费表'!t"&amp;$G$1)</f>
        <v>0</v>
      </c>
      <c r="D16" s="75" t="s">
        <v>2000</v>
      </c>
      <c r="E16" s="76"/>
      <c r="F16" s="77"/>
      <c r="G16" s="29"/>
      <c r="H16" s="1073" t="s">
        <v>862</v>
      </c>
      <c r="I16" s="156" t="s">
        <v>2001</v>
      </c>
      <c r="J16" s="79">
        <f ca="1">C31</f>
        <v>0</v>
      </c>
      <c r="K16" s="157"/>
      <c r="L16" s="173"/>
      <c r="M16" s="174"/>
    </row>
    <row r="17" spans="1:25" s="2" customFormat="1" ht="18" customHeight="1">
      <c r="A17" s="1073" t="s">
        <v>1093</v>
      </c>
      <c r="B17" s="39" t="s">
        <v>1094</v>
      </c>
      <c r="C17" s="79">
        <f ca="1">ROUND(C16*F17,0)</f>
        <v>0</v>
      </c>
      <c r="D17" s="80" t="s">
        <v>2002</v>
      </c>
      <c r="E17" s="80" t="s">
        <v>2003</v>
      </c>
      <c r="F17" s="81">
        <f>'数据-取费表'!B33</f>
        <v>0.04</v>
      </c>
      <c r="G17" s="82"/>
      <c r="H17" s="1073" t="s">
        <v>864</v>
      </c>
      <c r="I17" s="39" t="s">
        <v>1998</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1096</v>
      </c>
      <c r="B18" s="39" t="s">
        <v>1097</v>
      </c>
      <c r="C18" s="79">
        <f ca="1">ROUND(INDIRECT("'数据-取费表'!m"&amp;$G$1)*F18,0)</f>
        <v>0</v>
      </c>
      <c r="D18" s="39" t="s">
        <v>2002</v>
      </c>
      <c r="E18" s="39" t="s">
        <v>2003</v>
      </c>
      <c r="F18" s="83">
        <f ca="1">IF(INDIRECT("'数据-取费表'!c"&amp;$G$1)="住宅",'数据-取费表'!B34,0)</f>
        <v>0</v>
      </c>
      <c r="G18" s="29"/>
      <c r="H18" s="154" t="s">
        <v>873</v>
      </c>
      <c r="I18" s="155" t="s">
        <v>2004</v>
      </c>
      <c r="J18" s="51">
        <f ca="1">ROUND(J19+J24+J25+J26,0)</f>
        <v>0</v>
      </c>
      <c r="K18" s="157" t="s">
        <v>2005</v>
      </c>
      <c r="L18" s="86"/>
      <c r="M18" s="84"/>
    </row>
    <row r="19" spans="1:25" s="2" customFormat="1" ht="18" customHeight="1">
      <c r="A19" s="1073" t="s">
        <v>1099</v>
      </c>
      <c r="B19" s="39" t="s">
        <v>2006</v>
      </c>
      <c r="C19" s="79">
        <f ca="1">ROUND(F19*(INDIRECT("'数据-取费表'!k"&amp;$G$1)+INDIRECT("'数据-取费表'!S"&amp;$G$1))/10000,0)</f>
        <v>0</v>
      </c>
      <c r="D19" s="39" t="s">
        <v>2007</v>
      </c>
      <c r="E19" s="39" t="s">
        <v>2008</v>
      </c>
      <c r="F19" s="84">
        <f>'数据-取费表'!B35</f>
        <v>150</v>
      </c>
      <c r="G19" s="82"/>
      <c r="H19" s="1073" t="s">
        <v>862</v>
      </c>
      <c r="I19" s="39" t="s">
        <v>2009</v>
      </c>
      <c r="J19" s="79">
        <f ca="1">ROUND(IF(项目基本情况!B11="自然人",J8*M19/(1+'数据-取费表'!C42),J20+J21+J22),0)</f>
        <v>0</v>
      </c>
      <c r="K19" s="75" t="s">
        <v>2010</v>
      </c>
      <c r="L19" s="108" t="s">
        <v>2011</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1101</v>
      </c>
      <c r="B20" s="39" t="s">
        <v>1102</v>
      </c>
      <c r="C20" s="79">
        <f ca="1">ROUND(C16*F20,0)</f>
        <v>0</v>
      </c>
      <c r="D20" s="39" t="s">
        <v>2002</v>
      </c>
      <c r="E20" s="39" t="s">
        <v>2003</v>
      </c>
      <c r="F20" s="83">
        <f>'数据-取费表'!B36</f>
        <v>1.4999999999999999E-2</v>
      </c>
      <c r="G20" s="82"/>
      <c r="H20" s="1073" t="s">
        <v>886</v>
      </c>
      <c r="I20" s="39" t="s">
        <v>2012</v>
      </c>
      <c r="J20" s="79">
        <f ca="1">ROUND(J8*M20/(1+'数据-取费表'!C42),1)</f>
        <v>0</v>
      </c>
      <c r="K20" s="108" t="s">
        <v>2013</v>
      </c>
      <c r="L20" s="39" t="s">
        <v>2003</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2014</v>
      </c>
      <c r="C21" s="79">
        <f ca="1">SUM(C16:C20)</f>
        <v>0</v>
      </c>
      <c r="D21" s="85" t="s">
        <v>2015</v>
      </c>
      <c r="E21" s="86"/>
      <c r="F21" s="84"/>
      <c r="G21" s="29"/>
      <c r="H21" s="36" t="s">
        <v>1093</v>
      </c>
      <c r="I21" s="39" t="s">
        <v>2016</v>
      </c>
      <c r="J21" s="79">
        <f ca="1">IF(K21="按租金收入计税",ROUND(J8*M21/(1+'数据-取费表'!C42),1),ROUND(C31*F35*0.7,1))</f>
        <v>0</v>
      </c>
      <c r="K21" s="111" t="s">
        <v>2017</v>
      </c>
      <c r="L21" s="39" t="s">
        <v>2003</v>
      </c>
      <c r="M21" s="83">
        <f>IF(K21="按租金收入计税",'数据-取费表'!B51,'数据-取费表'!B50)</f>
        <v>1.2E-2</v>
      </c>
    </row>
    <row r="22" spans="1:25" s="2" customFormat="1" ht="18" customHeight="1">
      <c r="A22" s="1073" t="s">
        <v>2018</v>
      </c>
      <c r="B22" s="39" t="s">
        <v>2019</v>
      </c>
      <c r="C22" s="79">
        <f ca="1">ROUND(C21*F22,0)</f>
        <v>0</v>
      </c>
      <c r="D22" s="87" t="s">
        <v>2020</v>
      </c>
      <c r="E22" s="39" t="s">
        <v>2003</v>
      </c>
      <c r="F22" s="83">
        <f>'数据-取费表'!B37</f>
        <v>0.02</v>
      </c>
      <c r="G22" s="82"/>
      <c r="H22" s="1074" t="s">
        <v>1096</v>
      </c>
      <c r="I22" s="1069" t="s">
        <v>2021</v>
      </c>
      <c r="J22" s="114">
        <f ca="1">ROUND(M22*M23/10000,0)</f>
        <v>0</v>
      </c>
      <c r="K22" s="115" t="s">
        <v>2022</v>
      </c>
      <c r="L22" s="39" t="s">
        <v>2023</v>
      </c>
      <c r="M22" s="92">
        <f>'数据-取费表'!B52</f>
        <v>15</v>
      </c>
      <c r="N22" s="179"/>
      <c r="O22" s="179"/>
      <c r="P22" s="179"/>
      <c r="Q22" s="179"/>
      <c r="R22" s="179"/>
      <c r="S22" s="179"/>
      <c r="T22" s="179"/>
      <c r="U22" s="179"/>
      <c r="V22" s="179"/>
      <c r="W22" s="179"/>
      <c r="X22" s="179"/>
      <c r="Y22" s="179"/>
    </row>
    <row r="23" spans="1:25" s="2" customFormat="1" ht="18" customHeight="1">
      <c r="A23" s="1073" t="s">
        <v>2024</v>
      </c>
      <c r="B23" s="39" t="s">
        <v>2025</v>
      </c>
      <c r="C23" s="79" t="s">
        <v>138</v>
      </c>
      <c r="D23" s="87" t="s">
        <v>2026</v>
      </c>
      <c r="E23" s="39" t="s">
        <v>2027</v>
      </c>
      <c r="F23" s="83">
        <f>'数据-取费表'!B38</f>
        <v>0.02</v>
      </c>
      <c r="G23" s="82"/>
      <c r="H23" s="1075"/>
      <c r="I23" s="1107"/>
      <c r="J23" s="118"/>
      <c r="K23" s="119"/>
      <c r="L23" s="39" t="s">
        <v>2028</v>
      </c>
      <c r="M23" s="40">
        <f ca="1">INDIRECT("'数据-取费表'!r"&amp;$G$1)</f>
        <v>0</v>
      </c>
      <c r="N23" s="179"/>
      <c r="O23" s="179"/>
      <c r="P23" s="179"/>
      <c r="Q23" s="179"/>
      <c r="R23" s="179"/>
      <c r="S23" s="179"/>
      <c r="T23" s="179"/>
      <c r="U23" s="179"/>
      <c r="V23" s="179"/>
      <c r="W23" s="179"/>
      <c r="X23" s="179"/>
      <c r="Y23" s="179"/>
    </row>
    <row r="24" spans="1:25" ht="18" customHeight="1">
      <c r="A24" s="1073" t="s">
        <v>2029</v>
      </c>
      <c r="B24" s="39" t="s">
        <v>2030</v>
      </c>
      <c r="C24" s="79"/>
      <c r="D24" s="90" t="str">
        <f>IF(F25&lt;=1,"单利计息。","复利计息。")&amp;"建造成本、管理费用、销售费用产生的利息。"</f>
        <v>复利计息。建造成本、管理费用、销售费用产生的利息。</v>
      </c>
      <c r="E24" s="86"/>
      <c r="F24" s="84"/>
      <c r="G24" s="29"/>
      <c r="H24" s="1076" t="s">
        <v>864</v>
      </c>
      <c r="I24" s="39" t="s">
        <v>2031</v>
      </c>
      <c r="J24" s="79">
        <f ca="1">ROUND(J16*M24,0)</f>
        <v>0</v>
      </c>
      <c r="K24" s="108" t="s">
        <v>2032</v>
      </c>
      <c r="L24" s="39" t="s">
        <v>2003</v>
      </c>
      <c r="M24" s="120">
        <f ca="1">INDIRECT("'数据-取费表'!Ak"&amp;$G$1)</f>
        <v>0</v>
      </c>
    </row>
    <row r="25" spans="1:25" s="2" customFormat="1" ht="18" customHeight="1">
      <c r="A25" s="1073" t="s">
        <v>886</v>
      </c>
      <c r="B25" s="39" t="s">
        <v>2033</v>
      </c>
      <c r="C25" s="79">
        <f ca="1">ROUND(IF('数据-取费表'!B22&lt;=1,(C21+C22)*F26*F25/2,(C21+C22)*(POWER((1+F26),F25/2)-1)),0)</f>
        <v>0</v>
      </c>
      <c r="D25" s="91" t="str">
        <f>IF(F25&lt;=1,"(建造成本+管理费用)×利率×(建设周期÷2)","(建造成本+管理费用)×((1+利率)^(建设周期÷2)-1)")</f>
        <v>(建造成本+管理费用)×((1+利率)^(建设周期÷2)-1)</v>
      </c>
      <c r="E25" s="39" t="s">
        <v>2034</v>
      </c>
      <c r="F25" s="92">
        <f>'数据-取费表'!B20</f>
        <v>3</v>
      </c>
      <c r="G25" s="82"/>
      <c r="H25" s="1073" t="s">
        <v>2024</v>
      </c>
      <c r="I25" s="39" t="s">
        <v>2035</v>
      </c>
      <c r="J25" s="79">
        <f ca="1">ROUND(J15*M25,0)</f>
        <v>0</v>
      </c>
      <c r="K25" s="108" t="s">
        <v>2036</v>
      </c>
      <c r="L25" s="39" t="s">
        <v>2003</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1093</v>
      </c>
      <c r="B26" s="39" t="s">
        <v>2037</v>
      </c>
      <c r="C26" s="79">
        <f ca="1">ROUND(IF('数据-取费表'!B22&lt;=1,F23*F26*F25/2,F23*(POWER((1+F26),F25/2)-1)),4)</f>
        <v>1.4E-3</v>
      </c>
      <c r="D26" s="91" t="str">
        <f>IF(F25&lt;=1,"销售费用×利率×(建设周期÷2)","销售费用×((1+利率)^(建设周期÷2)-1)")</f>
        <v>销售费用×((1+利率)^(建设周期÷2)-1)</v>
      </c>
      <c r="E26" s="39" t="s">
        <v>2038</v>
      </c>
      <c r="F26" s="93">
        <f ca="1">'数据-取费表'!B40</f>
        <v>4.7500000000000001E-2</v>
      </c>
      <c r="G26" s="82"/>
      <c r="H26" s="1073" t="s">
        <v>2029</v>
      </c>
      <c r="I26" s="39" t="s">
        <v>2019</v>
      </c>
      <c r="J26" s="79">
        <f ca="1">ROUND(J7*M26,0)</f>
        <v>0</v>
      </c>
      <c r="K26" s="108" t="s">
        <v>2039</v>
      </c>
      <c r="L26" s="39" t="s">
        <v>2003</v>
      </c>
      <c r="M26" s="48">
        <f ca="1">INDIRECT("'数据-取费表'!Am"&amp;$G$1)</f>
        <v>0</v>
      </c>
      <c r="N26" s="179"/>
      <c r="O26" s="179"/>
      <c r="P26" s="179"/>
      <c r="Q26" s="179"/>
      <c r="R26" s="179"/>
      <c r="S26" s="179"/>
      <c r="T26" s="179"/>
      <c r="U26" s="179"/>
      <c r="V26" s="179"/>
      <c r="W26" s="179"/>
      <c r="X26" s="179"/>
      <c r="Y26" s="179"/>
    </row>
    <row r="27" spans="1:25" ht="18" customHeight="1">
      <c r="A27" s="1073" t="s">
        <v>2040</v>
      </c>
      <c r="B27" s="39" t="s">
        <v>2041</v>
      </c>
      <c r="C27" s="79"/>
      <c r="D27" s="85" t="s">
        <v>2042</v>
      </c>
      <c r="E27" s="86"/>
      <c r="F27" s="84"/>
      <c r="G27" s="29"/>
      <c r="H27" s="154" t="s">
        <v>876</v>
      </c>
      <c r="I27" s="263" t="s">
        <v>2043</v>
      </c>
      <c r="J27" s="51">
        <f ca="1">J7-J18</f>
        <v>0</v>
      </c>
      <c r="K27" s="75" t="s">
        <v>2044</v>
      </c>
      <c r="L27" s="264"/>
      <c r="M27" s="265"/>
    </row>
    <row r="28" spans="1:25" ht="18" customHeight="1">
      <c r="A28" s="1073" t="s">
        <v>886</v>
      </c>
      <c r="B28" s="39" t="s">
        <v>2045</v>
      </c>
      <c r="C28" s="79">
        <f ca="1">ROUND((C21+C22)*F28,0)</f>
        <v>0</v>
      </c>
      <c r="D28" s="87" t="s">
        <v>2046</v>
      </c>
      <c r="E28" s="95" t="s">
        <v>2047</v>
      </c>
      <c r="F28" s="48">
        <f ca="1">INDIRECT("'数据-取费表'!q"&amp;$G$1)</f>
        <v>0</v>
      </c>
      <c r="G28" s="29"/>
      <c r="H28" s="30" t="s">
        <v>902</v>
      </c>
      <c r="I28" s="31" t="s">
        <v>2048</v>
      </c>
      <c r="J28" s="37">
        <f ca="1">IF(J7&lt;&gt;0,ROUND(J27*(1-((1+M30)/(1+M28))^M29)/(M28-M30),0),0)</f>
        <v>0</v>
      </c>
      <c r="K28" s="115" t="s">
        <v>2049</v>
      </c>
      <c r="L28" s="39" t="s">
        <v>2050</v>
      </c>
      <c r="M28" s="48">
        <f ca="1">INDIRECT("'数据-取费表'!I"&amp;$G$1)</f>
        <v>0</v>
      </c>
    </row>
    <row r="29" spans="1:25" ht="18" customHeight="1">
      <c r="A29" s="1073" t="s">
        <v>1093</v>
      </c>
      <c r="B29" s="39" t="s">
        <v>2051</v>
      </c>
      <c r="C29" s="79">
        <f ca="1">ROUND(F23*F28,4)</f>
        <v>0</v>
      </c>
      <c r="D29" s="87" t="s">
        <v>2052</v>
      </c>
      <c r="E29" s="80"/>
      <c r="F29" s="81"/>
      <c r="G29" s="29"/>
      <c r="H29" s="47"/>
      <c r="I29" s="127"/>
      <c r="J29" s="43"/>
      <c r="K29" s="128" t="s">
        <v>2053</v>
      </c>
      <c r="L29" s="39" t="s">
        <v>2054</v>
      </c>
      <c r="M29" s="129">
        <f ca="1">INDIRECT("'数据-取费表'!ag"&amp;$G$1)</f>
        <v>0</v>
      </c>
    </row>
    <row r="30" spans="1:25" s="2" customFormat="1" ht="18" customHeight="1">
      <c r="A30" s="1073" t="s">
        <v>2055</v>
      </c>
      <c r="B30" s="39" t="s">
        <v>2056</v>
      </c>
      <c r="C30" s="79">
        <f>ROUND(F30/(1+'数据-取费表'!C42),4)</f>
        <v>5.33E-2</v>
      </c>
      <c r="D30" s="87" t="s">
        <v>2057</v>
      </c>
      <c r="E30" s="39" t="s">
        <v>2003</v>
      </c>
      <c r="F30" s="83">
        <f>'数据-取费表'!B41</f>
        <v>5.6000000000000001E-2</v>
      </c>
      <c r="G30" s="82"/>
      <c r="H30" s="56"/>
      <c r="I30" s="131"/>
      <c r="J30" s="70"/>
      <c r="K30" s="119"/>
      <c r="L30" s="39" t="s">
        <v>2058</v>
      </c>
      <c r="M30" s="48">
        <f ca="1">INDIRECT("'数据-取费表'!aa"&amp;$G$1)</f>
        <v>0</v>
      </c>
      <c r="N30" s="179"/>
      <c r="O30" s="179"/>
      <c r="P30" s="179"/>
      <c r="Q30" s="179"/>
      <c r="R30" s="179"/>
      <c r="S30" s="179"/>
      <c r="T30" s="179"/>
      <c r="U30" s="179"/>
      <c r="V30" s="179"/>
      <c r="W30" s="179"/>
      <c r="X30" s="179"/>
      <c r="Y30" s="179"/>
    </row>
    <row r="31" spans="1:25" s="2" customFormat="1" ht="18" customHeight="1">
      <c r="A31" s="1077" t="s">
        <v>2059</v>
      </c>
      <c r="B31" s="65" t="s">
        <v>2060</v>
      </c>
      <c r="C31" s="99">
        <f ca="1">ROUND((C21+C22+C25+C28)/(1-F23-C26-C29-C30),0)</f>
        <v>0</v>
      </c>
      <c r="D31" s="100"/>
      <c r="E31" s="101"/>
      <c r="F31" s="102"/>
      <c r="G31" s="82"/>
      <c r="H31" s="103" t="s">
        <v>1272</v>
      </c>
      <c r="I31" s="1108" t="s">
        <v>2061</v>
      </c>
      <c r="J31" s="133">
        <f ca="1">ROUND(J28/(1+F45)^F46,0)</f>
        <v>0</v>
      </c>
      <c r="K31" s="134" t="s">
        <v>2062</v>
      </c>
      <c r="L31" s="135"/>
      <c r="M31" s="136">
        <f ca="1">INDIRECT("'数据-取费表'!k"&amp;$G$1)</f>
        <v>0</v>
      </c>
      <c r="N31" s="179"/>
      <c r="O31" s="179"/>
      <c r="P31" s="179"/>
      <c r="Q31" s="179"/>
      <c r="R31" s="179"/>
      <c r="S31" s="179"/>
      <c r="T31" s="179"/>
      <c r="U31" s="179"/>
      <c r="V31" s="179"/>
      <c r="W31" s="179"/>
      <c r="X31" s="179"/>
      <c r="Y31" s="179"/>
    </row>
    <row r="32" spans="1:25" ht="18" customHeight="1">
      <c r="A32" s="68" t="s">
        <v>2063</v>
      </c>
      <c r="B32" s="69" t="s">
        <v>2064</v>
      </c>
      <c r="C32" s="70">
        <f ca="1">ROUND(C33+C38+C39+C40,0)</f>
        <v>0</v>
      </c>
      <c r="D32" s="104" t="s">
        <v>2005</v>
      </c>
      <c r="E32" s="105"/>
      <c r="F32" s="35"/>
      <c r="G32" s="106"/>
      <c r="H32" s="107"/>
      <c r="I32" s="180"/>
      <c r="J32" s="181"/>
      <c r="K32" s="182"/>
      <c r="L32" s="183"/>
      <c r="M32" s="184"/>
    </row>
    <row r="33" spans="1:18" ht="18" customHeight="1">
      <c r="A33" s="1073" t="s">
        <v>862</v>
      </c>
      <c r="B33" s="39" t="s">
        <v>2009</v>
      </c>
      <c r="C33" s="79">
        <f ca="1">ROUND(IF(项目基本情况!B11="自然人",C8*F33/(1+'数据-取费表'!C42),C34+C35+C36),1)</f>
        <v>0</v>
      </c>
      <c r="D33" s="75" t="s">
        <v>2010</v>
      </c>
      <c r="E33" s="108" t="s">
        <v>2011</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2012</v>
      </c>
      <c r="C34" s="79">
        <f ca="1">ROUND(C8*F34/(1+'数据-取费表'!C42),1)</f>
        <v>0</v>
      </c>
      <c r="D34" s="108" t="s">
        <v>2013</v>
      </c>
      <c r="E34" s="39" t="s">
        <v>2003</v>
      </c>
      <c r="F34" s="83">
        <f>'数据-取费表'!B41</f>
        <v>5.6000000000000001E-2</v>
      </c>
      <c r="G34" s="106"/>
      <c r="H34" s="110"/>
      <c r="I34" s="185"/>
      <c r="J34" s="186"/>
      <c r="K34" s="187"/>
      <c r="L34" s="188"/>
      <c r="M34" s="189"/>
    </row>
    <row r="35" spans="1:18" ht="18" customHeight="1">
      <c r="A35" s="1073" t="s">
        <v>1093</v>
      </c>
      <c r="B35" s="39" t="s">
        <v>2016</v>
      </c>
      <c r="C35" s="79">
        <f ca="1">IF(D35="按租金收入计税",ROUND(C8*F35/(1+'数据-取费表'!C42),1),IF(D35="按房产原值计税",ROUND(C31*F35*0.7,1),INDIRECT("'数据-取费表'!Aj"&amp;$G$1)))</f>
        <v>0</v>
      </c>
      <c r="D35" s="111" t="s">
        <v>2065</v>
      </c>
      <c r="E35" s="39" t="s">
        <v>2003</v>
      </c>
      <c r="F35" s="83">
        <f>IF(D35="按租金收入计税",'数据-取费表'!B51,'数据-取费表'!B50)</f>
        <v>1.2E-2</v>
      </c>
      <c r="G35" s="106"/>
      <c r="H35" s="112"/>
      <c r="I35" s="112"/>
      <c r="J35" s="112"/>
      <c r="K35" s="190"/>
      <c r="L35" s="112"/>
      <c r="M35" s="112"/>
    </row>
    <row r="36" spans="1:18" ht="18" customHeight="1">
      <c r="A36" s="1078" t="s">
        <v>894</v>
      </c>
      <c r="B36" s="113" t="s">
        <v>2021</v>
      </c>
      <c r="C36" s="114">
        <f ca="1">ROUND(F36*F37/10000,1)</f>
        <v>0</v>
      </c>
      <c r="D36" s="115" t="s">
        <v>2022</v>
      </c>
      <c r="E36" s="39" t="s">
        <v>2023</v>
      </c>
      <c r="F36" s="92">
        <f>'数据-取费表'!B52</f>
        <v>15</v>
      </c>
      <c r="G36" s="106"/>
      <c r="H36" s="107"/>
      <c r="I36" s="3453"/>
      <c r="J36" s="194"/>
      <c r="K36" s="193"/>
      <c r="L36" s="194"/>
      <c r="M36" s="194"/>
    </row>
    <row r="37" spans="1:18" ht="18" customHeight="1">
      <c r="A37" s="116"/>
      <c r="B37" s="117"/>
      <c r="C37" s="118"/>
      <c r="D37" s="119"/>
      <c r="E37" s="39" t="s">
        <v>2028</v>
      </c>
      <c r="F37" s="40">
        <f ca="1">INDIRECT("'数据-取费表'!r"&amp;$G$1)</f>
        <v>0</v>
      </c>
      <c r="G37" s="106"/>
      <c r="H37" s="107"/>
      <c r="I37" s="3453"/>
      <c r="J37" s="112"/>
      <c r="K37" s="190"/>
      <c r="L37" s="112"/>
      <c r="M37" s="112"/>
    </row>
    <row r="38" spans="1:18" ht="18" customHeight="1">
      <c r="A38" s="1073" t="s">
        <v>2018</v>
      </c>
      <c r="B38" s="39" t="s">
        <v>2031</v>
      </c>
      <c r="C38" s="79">
        <f ca="1">ROUND(C31*F38,1)</f>
        <v>0</v>
      </c>
      <c r="D38" s="108" t="s">
        <v>2066</v>
      </c>
      <c r="E38" s="39" t="s">
        <v>2003</v>
      </c>
      <c r="F38" s="120">
        <f ca="1">INDIRECT("'数据-取费表'!Ak"&amp;$G$1)</f>
        <v>0</v>
      </c>
      <c r="G38" s="106"/>
      <c r="H38" s="112"/>
      <c r="I38" s="1109"/>
      <c r="J38" s="130"/>
      <c r="K38" s="199"/>
      <c r="L38" s="112"/>
      <c r="M38" s="112"/>
    </row>
    <row r="39" spans="1:18" ht="18" customHeight="1">
      <c r="A39" s="1073" t="s">
        <v>2024</v>
      </c>
      <c r="B39" s="39" t="s">
        <v>2035</v>
      </c>
      <c r="C39" s="79">
        <f ca="1">ROUND(C15*F39,1)</f>
        <v>0</v>
      </c>
      <c r="D39" s="108" t="s">
        <v>2036</v>
      </c>
      <c r="E39" s="39" t="s">
        <v>2003</v>
      </c>
      <c r="F39" s="121">
        <f ca="1">INDIRECT("'数据-取费表'!Al"&amp;$G$1)</f>
        <v>0</v>
      </c>
      <c r="G39" s="106"/>
      <c r="H39" s="112"/>
      <c r="I39" s="1109"/>
      <c r="J39" s="130"/>
      <c r="K39" s="199"/>
      <c r="L39" s="112"/>
      <c r="M39" s="112"/>
    </row>
    <row r="40" spans="1:18" ht="18" customHeight="1">
      <c r="A40" s="1077" t="s">
        <v>2029</v>
      </c>
      <c r="B40" s="101" t="s">
        <v>2019</v>
      </c>
      <c r="C40" s="99">
        <f ca="1">ROUND(C7*F40,1)</f>
        <v>0</v>
      </c>
      <c r="D40" s="100" t="s">
        <v>2039</v>
      </c>
      <c r="E40" s="101" t="s">
        <v>2003</v>
      </c>
      <c r="F40" s="66">
        <f ca="1">INDIRECT("'数据-取费表'!Am"&amp;$G$1)</f>
        <v>0</v>
      </c>
      <c r="G40" s="106"/>
      <c r="H40" s="112"/>
      <c r="I40" s="1109"/>
      <c r="J40" s="130"/>
      <c r="K40" s="204"/>
      <c r="L40" s="112"/>
      <c r="M40" s="112"/>
    </row>
    <row r="41" spans="1:18" ht="18" customHeight="1">
      <c r="A41" s="68">
        <v>4</v>
      </c>
      <c r="B41" s="69" t="s">
        <v>2067</v>
      </c>
      <c r="C41" s="1079"/>
      <c r="D41" s="1080"/>
      <c r="E41" s="1080"/>
      <c r="F41" s="1081"/>
      <c r="G41" s="106"/>
      <c r="H41" s="106"/>
      <c r="I41" s="106"/>
      <c r="J41" s="106"/>
      <c r="K41" s="204"/>
      <c r="L41" s="106"/>
      <c r="M41" s="106"/>
    </row>
    <row r="42" spans="1:18" ht="18" customHeight="1">
      <c r="A42" s="1073" t="s">
        <v>862</v>
      </c>
      <c r="B42" s="191" t="s">
        <v>2068</v>
      </c>
      <c r="C42" s="1082">
        <f ca="1">C7-C32</f>
        <v>0</v>
      </c>
      <c r="D42" s="75" t="s">
        <v>2069</v>
      </c>
      <c r="E42" s="264"/>
      <c r="F42" s="265"/>
      <c r="G42" s="106"/>
      <c r="H42" s="106"/>
      <c r="I42" s="106"/>
      <c r="J42" s="106"/>
      <c r="K42" s="204"/>
      <c r="L42" s="106"/>
      <c r="M42" s="106"/>
    </row>
    <row r="43" spans="1:18" ht="18" customHeight="1">
      <c r="A43" s="1073" t="s">
        <v>2018</v>
      </c>
      <c r="B43" s="191" t="s">
        <v>2070</v>
      </c>
      <c r="C43" s="192">
        <f ca="1">ROUND(C15*F43,0)</f>
        <v>0</v>
      </c>
      <c r="D43" s="1083" t="s">
        <v>2071</v>
      </c>
      <c r="E43" s="1084" t="s">
        <v>2072</v>
      </c>
      <c r="F43" s="1085">
        <f ca="1">INDIRECT("'数据-取费表'!j"&amp;$G$1)</f>
        <v>0</v>
      </c>
      <c r="G43" s="106"/>
      <c r="H43" s="106"/>
      <c r="I43" s="106"/>
      <c r="J43" s="106"/>
      <c r="K43" s="204"/>
      <c r="L43" s="106"/>
      <c r="M43" s="106"/>
    </row>
    <row r="44" spans="1:18" ht="18" customHeight="1">
      <c r="A44" s="1073" t="s">
        <v>2024</v>
      </c>
      <c r="B44" s="191" t="s">
        <v>2073</v>
      </c>
      <c r="C44" s="1086">
        <f ca="1">C42-C43</f>
        <v>0</v>
      </c>
      <c r="D44" s="1087" t="s">
        <v>2074</v>
      </c>
      <c r="E44" s="1088"/>
      <c r="F44" s="1089"/>
      <c r="G44" s="106"/>
      <c r="H44" s="106"/>
      <c r="I44" s="106"/>
      <c r="J44" s="106"/>
      <c r="K44" s="204"/>
      <c r="L44" s="106"/>
      <c r="M44" s="106"/>
    </row>
    <row r="45" spans="1:18" ht="18" customHeight="1">
      <c r="A45" s="1073" t="s">
        <v>2029</v>
      </c>
      <c r="B45" s="1083" t="s">
        <v>2075</v>
      </c>
      <c r="C45" s="1090">
        <f ca="1">ROUND(-PV(F45,F46,C44,0),0)</f>
        <v>0</v>
      </c>
      <c r="D45" s="1091" t="s">
        <v>2076</v>
      </c>
      <c r="E45" s="80" t="s">
        <v>2077</v>
      </c>
      <c r="F45" s="1092">
        <f ca="1">INDIRECT("'数据-取费表'!h"&amp;$G$1)</f>
        <v>0</v>
      </c>
      <c r="G45" s="106"/>
      <c r="H45" s="106"/>
      <c r="I45" s="106"/>
      <c r="J45" s="106"/>
      <c r="K45" s="204"/>
      <c r="L45" s="106"/>
      <c r="M45" s="106"/>
    </row>
    <row r="46" spans="1:18" ht="18" customHeight="1">
      <c r="A46" s="1093"/>
      <c r="B46" s="1094"/>
      <c r="C46" s="1095"/>
      <c r="D46" s="1096"/>
      <c r="E46" s="1097" t="s">
        <v>2078</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2079</v>
      </c>
      <c r="J47" s="211"/>
      <c r="K47" s="212"/>
      <c r="L47" s="213" t="str">
        <f ca="1">IF(M48="住宅",0,IF(L49&gt;J52,L61,J61))</f>
        <v>0</v>
      </c>
      <c r="O47" s="214" t="s">
        <v>2080</v>
      </c>
      <c r="P47" s="29"/>
      <c r="Q47" s="219"/>
      <c r="R47" s="29"/>
    </row>
    <row r="48" spans="1:18" s="3" customFormat="1" ht="18" customHeight="1">
      <c r="A48" s="1098"/>
      <c r="C48" s="1099"/>
      <c r="D48" s="1100"/>
      <c r="E48" s="1100"/>
      <c r="F48" s="1101"/>
      <c r="G48" s="149"/>
      <c r="I48" s="215" t="s">
        <v>2081</v>
      </c>
      <c r="J48" s="216"/>
      <c r="K48" s="217" t="s">
        <v>2082</v>
      </c>
      <c r="L48" s="218">
        <f ca="1">INDIRECT("'数据-取费表'!d"&amp;$G$1)</f>
        <v>0</v>
      </c>
      <c r="M48" s="1110" t="str">
        <f>IF(ISNUMBER(FIND("住宅",C1)),"住宅","非住宅")</f>
        <v>非住宅</v>
      </c>
      <c r="O48" s="220" t="s">
        <v>1392</v>
      </c>
      <c r="P48" s="221" t="s">
        <v>2083</v>
      </c>
      <c r="Q48" s="259" t="s">
        <v>2084</v>
      </c>
      <c r="R48" s="221" t="s">
        <v>2085</v>
      </c>
    </row>
    <row r="49" spans="1:18" s="3" customFormat="1" ht="18" customHeight="1">
      <c r="A49" s="1098"/>
      <c r="D49" s="1102"/>
      <c r="E49" s="1103"/>
      <c r="F49" s="1101"/>
      <c r="G49" s="149"/>
      <c r="H49" s="150"/>
      <c r="I49" s="222" t="s">
        <v>2086</v>
      </c>
      <c r="J49" s="223"/>
      <c r="K49" s="224" t="s">
        <v>2087</v>
      </c>
      <c r="L49" s="225">
        <f ca="1">INDIRECT("'数据-取费表'!f"&amp;$G$1)</f>
        <v>0</v>
      </c>
      <c r="O49" s="226" t="s">
        <v>2088</v>
      </c>
      <c r="P49" s="227" t="s">
        <v>2089</v>
      </c>
      <c r="Q49" s="260">
        <f ca="1">C41+J31</f>
        <v>0</v>
      </c>
      <c r="R49" s="227" t="s">
        <v>2090</v>
      </c>
    </row>
    <row r="50" spans="1:18" s="3" customFormat="1" ht="18" customHeight="1">
      <c r="A50" s="1098"/>
      <c r="D50" s="1104"/>
      <c r="E50" s="1104"/>
      <c r="F50" s="1100"/>
      <c r="G50" s="151"/>
      <c r="H50" s="150"/>
      <c r="I50" s="222" t="s">
        <v>2091</v>
      </c>
      <c r="J50" s="228"/>
      <c r="K50" s="229" t="s">
        <v>2092</v>
      </c>
      <c r="L50" s="230"/>
      <c r="O50" s="226" t="s">
        <v>2093</v>
      </c>
      <c r="P50" s="227" t="s">
        <v>2094</v>
      </c>
      <c r="Q50" s="260" t="str">
        <f ca="1">J61</f>
        <v>0</v>
      </c>
      <c r="R50" s="227" t="s">
        <v>2095</v>
      </c>
    </row>
    <row r="51" spans="1:18" s="3" customFormat="1" ht="18" customHeight="1">
      <c r="A51" s="1105"/>
      <c r="D51" s="1104"/>
      <c r="E51" s="1104"/>
      <c r="F51" s="137"/>
      <c r="H51" s="150"/>
      <c r="I51" s="222" t="s">
        <v>2096</v>
      </c>
      <c r="J51" s="231">
        <f>SUMPRODUCT((I64:I66=J48)*(J63:L63=J49)*(J64:L66))</f>
        <v>0</v>
      </c>
      <c r="K51" s="229" t="s">
        <v>2097</v>
      </c>
      <c r="L51" s="230"/>
      <c r="O51" s="232" t="s">
        <v>2098</v>
      </c>
      <c r="P51" s="227" t="s">
        <v>2099</v>
      </c>
      <c r="Q51" s="260">
        <f ca="1">C31</f>
        <v>0</v>
      </c>
      <c r="R51" s="227" t="s">
        <v>2090</v>
      </c>
    </row>
    <row r="52" spans="1:18" s="3" customFormat="1" ht="18" customHeight="1">
      <c r="A52" s="1105"/>
      <c r="F52" s="137"/>
      <c r="I52" s="233" t="s">
        <v>2100</v>
      </c>
      <c r="J52" s="234">
        <f>IF(J50="",J51,J50+J51-YEAR('数据-取费表'!B3))</f>
        <v>0</v>
      </c>
      <c r="K52" s="222" t="s">
        <v>2101</v>
      </c>
      <c r="L52" s="235">
        <f ca="1">ROUND(-PV(INDIRECT("'数据-取费表'!h"&amp;$G$1),L49,(C40-C14*J36),0),0)</f>
        <v>0</v>
      </c>
      <c r="O52" s="232" t="s">
        <v>2102</v>
      </c>
      <c r="P52" s="227" t="s">
        <v>2103</v>
      </c>
      <c r="Q52" s="261" t="e">
        <f ca="1">J59</f>
        <v>#VALUE!</v>
      </c>
      <c r="R52" s="262"/>
    </row>
    <row r="53" spans="1:18" s="3" customFormat="1" ht="18" customHeight="1">
      <c r="A53" s="1105"/>
      <c r="F53" s="137"/>
      <c r="I53" s="236" t="s">
        <v>2104</v>
      </c>
      <c r="J53" s="237"/>
      <c r="K53" s="236" t="s">
        <v>1261</v>
      </c>
      <c r="L53" s="237"/>
      <c r="O53" s="232" t="s">
        <v>2105</v>
      </c>
      <c r="P53" s="227" t="s">
        <v>2106</v>
      </c>
      <c r="Q53" s="261">
        <f>J53</f>
        <v>0</v>
      </c>
      <c r="R53" s="262"/>
    </row>
    <row r="54" spans="1:18" s="3" customFormat="1" ht="28.5">
      <c r="A54" s="1105"/>
      <c r="I54" s="238" t="s">
        <v>2107</v>
      </c>
      <c r="J54" s="239">
        <f ca="1">IF(M48="住宅",MAX(J52,L49-'数据-取费表'!B20),MIN(J52,L49-'数据-取费表'!B20))</f>
        <v>-3</v>
      </c>
      <c r="K54" s="3447"/>
      <c r="L54" s="3448"/>
      <c r="O54" s="232" t="s">
        <v>2108</v>
      </c>
      <c r="P54" s="227" t="s">
        <v>2109</v>
      </c>
      <c r="Q54" s="260">
        <f ca="1">J54</f>
        <v>-3</v>
      </c>
      <c r="R54" s="227" t="s">
        <v>2110</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2111</v>
      </c>
      <c r="P55" s="227" t="s">
        <v>2112</v>
      </c>
      <c r="Q55" s="260">
        <f ca="1">Q49+Q50</f>
        <v>0</v>
      </c>
      <c r="R55" s="262" t="s">
        <v>2113</v>
      </c>
    </row>
    <row r="56" spans="1:18" s="3" customFormat="1" ht="15.75">
      <c r="A56" s="1105"/>
      <c r="B56" s="7"/>
      <c r="C56" s="7"/>
      <c r="I56" s="240" t="s">
        <v>2114</v>
      </c>
      <c r="J56" s="241" t="e">
        <f ca="1">ROUND(IF(J48="钢混",J58/J51,1-(1-2%)*(J51-J58)/J51),3)</f>
        <v>#VALUE!</v>
      </c>
      <c r="K56" s="242" t="s">
        <v>2115</v>
      </c>
      <c r="L56" s="243"/>
      <c r="O56" s="244" t="s">
        <v>2116</v>
      </c>
      <c r="P56" s="29"/>
      <c r="Q56" s="219"/>
      <c r="R56" s="29"/>
    </row>
    <row r="57" spans="1:18" s="3" customFormat="1" ht="42.75">
      <c r="A57" s="1105"/>
      <c r="B57" s="7"/>
      <c r="C57" s="7"/>
      <c r="I57" s="245" t="s">
        <v>2117</v>
      </c>
      <c r="J57" s="246" t="s">
        <v>484</v>
      </c>
      <c r="K57" s="222" t="s">
        <v>2118</v>
      </c>
      <c r="L57" s="225">
        <f ca="1">IF(L49&lt;J52,"——",L49-J52)</f>
        <v>0</v>
      </c>
      <c r="O57" s="220" t="s">
        <v>1392</v>
      </c>
      <c r="P57" s="221" t="s">
        <v>2083</v>
      </c>
      <c r="Q57" s="259" t="s">
        <v>2084</v>
      </c>
      <c r="R57" s="221" t="s">
        <v>2085</v>
      </c>
    </row>
    <row r="58" spans="1:18" s="3" customFormat="1" ht="28.5">
      <c r="A58" s="1105"/>
      <c r="B58" s="7"/>
      <c r="C58" s="7"/>
      <c r="I58" s="247" t="s">
        <v>2119</v>
      </c>
      <c r="J58" s="248" t="str">
        <f ca="1">IF(OR(M48="住宅",J52&lt;L49,J57="是"),"——",J52-L49)</f>
        <v>——</v>
      </c>
      <c r="K58" s="222" t="s">
        <v>2120</v>
      </c>
      <c r="L58" s="225">
        <f ca="1">IF(L49&lt;J52,"——",IF(L56="比较法",L50,IF(L56="基准地价",L51,L52)))</f>
        <v>0</v>
      </c>
      <c r="O58" s="226" t="s">
        <v>2088</v>
      </c>
      <c r="P58" s="227" t="s">
        <v>2089</v>
      </c>
      <c r="Q58" s="260">
        <f ca="1">C41+J31</f>
        <v>0</v>
      </c>
      <c r="R58" s="227" t="s">
        <v>2090</v>
      </c>
    </row>
    <row r="59" spans="1:18" s="3" customFormat="1" ht="28.5">
      <c r="A59" s="1105"/>
      <c r="B59" s="7"/>
      <c r="C59" s="7"/>
      <c r="I59" s="247" t="s">
        <v>2121</v>
      </c>
      <c r="J59" s="249" t="e">
        <f ca="1">IF(J56&lt;0.4,0.4,J56)</f>
        <v>#VALUE!</v>
      </c>
      <c r="K59" s="222" t="s">
        <v>2122</v>
      </c>
      <c r="L59" s="225">
        <f ca="1">IF(ISERROR(POWER(1+L53,L48-L49)*(POWER(1+L53,L49)-1)/(POWER(1+L53,L48)-1)),0,POWER(1+L53,L48-L49)*(POWER(1+L53,L49)-1)/(POWER(1+L53,L48)-1))</f>
        <v>0</v>
      </c>
      <c r="O59" s="226" t="s">
        <v>2093</v>
      </c>
      <c r="P59" s="227" t="s">
        <v>2123</v>
      </c>
      <c r="Q59" s="260" t="e">
        <f ca="1">L61</f>
        <v>#DIV/0!</v>
      </c>
      <c r="R59" s="262" t="s">
        <v>2124</v>
      </c>
    </row>
    <row r="60" spans="1:18" s="3" customFormat="1" ht="28.5">
      <c r="A60" s="1105"/>
      <c r="B60" s="7"/>
      <c r="C60" s="7"/>
      <c r="I60" s="247" t="s">
        <v>2125</v>
      </c>
      <c r="J60" s="248" t="str">
        <f ca="1">IF(OR(M48="住宅",J52&lt;L49,J57="是"),"——",ROUND(C30*J59,0))</f>
        <v>——</v>
      </c>
      <c r="K60" s="222" t="s">
        <v>2126</v>
      </c>
      <c r="L60" s="225">
        <f ca="1">IF(ISERROR(POWER(1+L53,L48-J52)*(POWER(1+L53,J52)-1)/(POWER(1+L53,L48)-1)),0,POWER(1+L53,L48-J52)*(POWER(1+L53,J52)-1)/(POWER(1+L53,L48)-1))</f>
        <v>0</v>
      </c>
      <c r="O60" s="232" t="s">
        <v>2098</v>
      </c>
      <c r="P60" s="227" t="s">
        <v>2127</v>
      </c>
      <c r="Q60" s="260">
        <f>IF(L56="比较法",L50,IF(L56="基准地价",L51,0))</f>
        <v>0</v>
      </c>
      <c r="R60" s="227" t="s">
        <v>2090</v>
      </c>
    </row>
    <row r="61" spans="1:18" s="3" customFormat="1">
      <c r="A61" s="1105"/>
      <c r="B61" s="7"/>
      <c r="C61" s="7"/>
      <c r="I61" s="250" t="s">
        <v>2128</v>
      </c>
      <c r="J61" s="251" t="str">
        <f ca="1">IF(OR(M48="住宅",J52&lt;L49,J57="是"),"0",ROUND(J60/(1+J53)^J54,0))</f>
        <v>0</v>
      </c>
      <c r="K61" s="252" t="s">
        <v>2129</v>
      </c>
      <c r="L61" s="251" t="e">
        <f ca="1">IF(OR(M48="住宅",L49&lt;J52),0,ROUND(L58*(L59/L60-1),0))</f>
        <v>#DIV/0!</v>
      </c>
      <c r="O61" s="232" t="s">
        <v>2102</v>
      </c>
      <c r="P61" s="227" t="s">
        <v>2130</v>
      </c>
      <c r="Q61" s="261">
        <f>L53</f>
        <v>0</v>
      </c>
      <c r="R61" s="262"/>
    </row>
    <row r="62" spans="1:18" s="3" customFormat="1" ht="19.5">
      <c r="A62" s="1105"/>
      <c r="B62" s="7"/>
      <c r="C62" s="7"/>
      <c r="K62" s="209"/>
      <c r="O62" s="232" t="s">
        <v>2105</v>
      </c>
      <c r="P62" s="227" t="s">
        <v>2131</v>
      </c>
      <c r="Q62" s="260">
        <f ca="1">L59</f>
        <v>0</v>
      </c>
      <c r="R62" s="262" t="s">
        <v>2132</v>
      </c>
    </row>
    <row r="63" spans="1:18" s="3" customFormat="1" ht="19.5">
      <c r="A63" s="1105"/>
      <c r="B63" s="7"/>
      <c r="C63" s="7"/>
      <c r="I63" s="253" t="s">
        <v>2133</v>
      </c>
      <c r="J63" s="254" t="s">
        <v>2134</v>
      </c>
      <c r="K63" s="254" t="s">
        <v>2135</v>
      </c>
      <c r="L63" s="254" t="s">
        <v>2136</v>
      </c>
      <c r="M63" s="255" t="s">
        <v>2137</v>
      </c>
      <c r="O63" s="232" t="s">
        <v>2108</v>
      </c>
      <c r="P63" s="227" t="s">
        <v>2138</v>
      </c>
      <c r="Q63" s="260">
        <f ca="1">L60</f>
        <v>0</v>
      </c>
      <c r="R63" s="262" t="s">
        <v>2139</v>
      </c>
    </row>
    <row r="64" spans="1:18" s="3" customFormat="1">
      <c r="A64" s="1105"/>
      <c r="B64" s="7"/>
      <c r="C64" s="7"/>
      <c r="I64" s="253" t="s">
        <v>2140</v>
      </c>
      <c r="J64" s="254">
        <v>70</v>
      </c>
      <c r="K64" s="254">
        <v>50</v>
      </c>
      <c r="L64" s="254">
        <v>80</v>
      </c>
      <c r="M64" s="256">
        <v>0.02</v>
      </c>
      <c r="O64" s="226" t="s">
        <v>2111</v>
      </c>
      <c r="P64" s="227" t="s">
        <v>2112</v>
      </c>
      <c r="Q64" s="260" t="e">
        <f ca="1">Q58+Q59</f>
        <v>#DIV/0!</v>
      </c>
      <c r="R64" s="262" t="s">
        <v>2113</v>
      </c>
    </row>
    <row r="65" spans="1:18" s="3" customFormat="1" ht="15.75">
      <c r="A65" s="1105"/>
      <c r="B65" s="7"/>
      <c r="C65" s="7"/>
      <c r="I65" s="253" t="s">
        <v>2141</v>
      </c>
      <c r="J65" s="254">
        <v>50</v>
      </c>
      <c r="K65" s="254">
        <v>35</v>
      </c>
      <c r="L65" s="254">
        <v>60</v>
      </c>
      <c r="M65" s="206">
        <v>0</v>
      </c>
      <c r="O65" s="244" t="s">
        <v>2142</v>
      </c>
      <c r="P65" s="29"/>
      <c r="Q65" s="219"/>
      <c r="R65" s="29"/>
    </row>
    <row r="66" spans="1:18" s="3" customFormat="1">
      <c r="A66" s="1105"/>
      <c r="B66" s="7"/>
      <c r="C66" s="7"/>
      <c r="I66" s="253" t="s">
        <v>2143</v>
      </c>
      <c r="J66" s="254">
        <v>40</v>
      </c>
      <c r="K66" s="254">
        <v>30</v>
      </c>
      <c r="L66" s="254">
        <v>50</v>
      </c>
      <c r="M66" s="256">
        <v>0.02</v>
      </c>
      <c r="O66" s="220" t="s">
        <v>1392</v>
      </c>
      <c r="P66" s="221" t="s">
        <v>2083</v>
      </c>
      <c r="Q66" s="259" t="s">
        <v>2084</v>
      </c>
      <c r="R66" s="221" t="s">
        <v>2085</v>
      </c>
    </row>
    <row r="67" spans="1:18" s="3" customFormat="1">
      <c r="A67" s="1105"/>
      <c r="B67" s="7"/>
      <c r="C67" s="7"/>
      <c r="K67" s="209"/>
      <c r="O67" s="226" t="s">
        <v>2088</v>
      </c>
      <c r="P67" s="227" t="s">
        <v>2089</v>
      </c>
      <c r="Q67" s="260">
        <f ca="1">C41+J31</f>
        <v>0</v>
      </c>
      <c r="R67" s="227" t="s">
        <v>2090</v>
      </c>
    </row>
    <row r="68" spans="1:18" s="3" customFormat="1" ht="19.5">
      <c r="A68" s="1105"/>
      <c r="B68" s="7"/>
      <c r="C68" s="7"/>
      <c r="K68" s="209"/>
      <c r="O68" s="226" t="s">
        <v>2093</v>
      </c>
      <c r="P68" s="227" t="s">
        <v>2123</v>
      </c>
      <c r="Q68" s="260" t="e">
        <f ca="1">L61</f>
        <v>#DIV/0!</v>
      </c>
      <c r="R68" s="262" t="s">
        <v>2124</v>
      </c>
    </row>
    <row r="69" spans="1:18" s="3" customFormat="1" ht="21">
      <c r="A69" s="1105"/>
      <c r="B69" s="7"/>
      <c r="C69" s="7"/>
      <c r="K69" s="209"/>
      <c r="O69" s="232" t="s">
        <v>2098</v>
      </c>
      <c r="P69" s="227" t="s">
        <v>2127</v>
      </c>
      <c r="Q69" s="267">
        <f ca="1">L52</f>
        <v>0</v>
      </c>
      <c r="R69" s="268" t="s">
        <v>2144</v>
      </c>
    </row>
    <row r="70" spans="1:18" s="3" customFormat="1" ht="19.5">
      <c r="A70" s="1105"/>
      <c r="B70" s="7"/>
      <c r="C70" s="7"/>
      <c r="K70" s="209"/>
      <c r="O70" s="232" t="s">
        <v>2102</v>
      </c>
      <c r="P70" s="266" t="s">
        <v>2145</v>
      </c>
      <c r="Q70" s="260">
        <f ca="1">ROUND(Q71-Q72*Q73,0)</f>
        <v>0</v>
      </c>
      <c r="R70" s="262"/>
    </row>
    <row r="71" spans="1:18" s="3" customFormat="1">
      <c r="A71" s="1105"/>
      <c r="B71" s="7"/>
      <c r="C71" s="7"/>
      <c r="K71" s="209"/>
      <c r="O71" s="232" t="s">
        <v>2146</v>
      </c>
      <c r="P71" s="266" t="s">
        <v>2147</v>
      </c>
      <c r="Q71" s="260">
        <f ca="1">C42</f>
        <v>0</v>
      </c>
      <c r="R71" s="227" t="s">
        <v>2090</v>
      </c>
    </row>
    <row r="72" spans="1:18" s="3" customFormat="1">
      <c r="A72" s="1105"/>
      <c r="B72" s="7"/>
      <c r="C72" s="7"/>
      <c r="K72" s="209"/>
      <c r="O72" s="232" t="s">
        <v>2148</v>
      </c>
      <c r="P72" s="266" t="s">
        <v>2149</v>
      </c>
      <c r="Q72" s="260">
        <f ca="1">C15</f>
        <v>0</v>
      </c>
      <c r="R72" s="227" t="s">
        <v>2090</v>
      </c>
    </row>
    <row r="73" spans="1:18" s="3" customFormat="1">
      <c r="A73" s="1105"/>
      <c r="B73" s="7"/>
      <c r="C73" s="7"/>
      <c r="K73" s="209"/>
      <c r="O73" s="232" t="s">
        <v>2150</v>
      </c>
      <c r="P73" s="266" t="s">
        <v>2151</v>
      </c>
      <c r="Q73" s="261">
        <f ca="1">F43</f>
        <v>0</v>
      </c>
      <c r="R73" s="262"/>
    </row>
    <row r="74" spans="1:18" s="3" customFormat="1">
      <c r="A74" s="1105"/>
      <c r="B74" s="7"/>
      <c r="C74" s="7"/>
      <c r="K74" s="209"/>
      <c r="O74" s="232" t="s">
        <v>2105</v>
      </c>
      <c r="P74" s="227" t="s">
        <v>2130</v>
      </c>
      <c r="Q74" s="261">
        <f>L53</f>
        <v>0</v>
      </c>
      <c r="R74" s="262"/>
    </row>
    <row r="75" spans="1:18" s="3" customFormat="1" ht="19.5">
      <c r="A75" s="1105"/>
      <c r="B75" s="7"/>
      <c r="C75" s="7"/>
      <c r="K75" s="209"/>
      <c r="O75" s="232" t="s">
        <v>2108</v>
      </c>
      <c r="P75" s="227" t="s">
        <v>2131</v>
      </c>
      <c r="Q75" s="260">
        <f ca="1">L59</f>
        <v>0</v>
      </c>
      <c r="R75" s="262" t="s">
        <v>2132</v>
      </c>
    </row>
    <row r="76" spans="1:18" s="3" customFormat="1" ht="19.5">
      <c r="A76" s="1105"/>
      <c r="B76" s="7"/>
      <c r="C76" s="7"/>
      <c r="K76" s="209"/>
      <c r="O76" s="232" t="s">
        <v>2152</v>
      </c>
      <c r="P76" s="227" t="s">
        <v>2138</v>
      </c>
      <c r="Q76" s="260">
        <f ca="1">L60</f>
        <v>0</v>
      </c>
      <c r="R76" s="262" t="s">
        <v>2139</v>
      </c>
    </row>
    <row r="77" spans="1:18" s="3" customFormat="1">
      <c r="A77" s="1105"/>
      <c r="B77" s="7"/>
      <c r="C77" s="7"/>
      <c r="K77" s="209"/>
      <c r="O77" s="226" t="s">
        <v>2111</v>
      </c>
      <c r="P77" s="227" t="s">
        <v>2112</v>
      </c>
      <c r="Q77" s="260" t="e">
        <f ca="1">Q67+Q68</f>
        <v>#DIV/0!</v>
      </c>
      <c r="R77" s="262" t="s">
        <v>2113</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3" zoomScale="80" zoomScaleNormal="80" workbookViewId="0">
      <selection activeCell="E23" sqref="E23"/>
    </sheetView>
  </sheetViews>
  <sheetFormatPr defaultColWidth="9" defaultRowHeight="14.25"/>
  <cols>
    <col min="1" max="1" width="10.5" style="460" customWidth="1"/>
    <col min="2" max="2" width="15.75" style="460" customWidth="1"/>
    <col min="3" max="3" width="15.12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972" t="s">
        <v>2154</v>
      </c>
      <c r="C1" s="973" t="s">
        <v>2155</v>
      </c>
      <c r="D1" s="974" t="s">
        <v>511</v>
      </c>
      <c r="E1" s="975"/>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2158</v>
      </c>
      <c r="B3" s="477">
        <f>C49</f>
        <v>10483</v>
      </c>
      <c r="C3" s="476" t="s">
        <v>2159</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5">
      <c r="A4" s="478" t="s">
        <v>930</v>
      </c>
      <c r="B4" s="479"/>
      <c r="C4" s="3358" t="s">
        <v>931</v>
      </c>
      <c r="D4" s="3359"/>
      <c r="E4" s="3399" t="s">
        <v>932</v>
      </c>
      <c r="F4" s="3400"/>
      <c r="G4" s="3358" t="s">
        <v>933</v>
      </c>
      <c r="H4" s="3359"/>
      <c r="I4" s="3358" t="s">
        <v>934</v>
      </c>
      <c r="J4" s="3359"/>
      <c r="K4" s="990" t="s">
        <v>935</v>
      </c>
      <c r="L4" s="641"/>
      <c r="M4" s="642"/>
      <c r="N4" s="642"/>
      <c r="O4" s="642"/>
      <c r="P4" s="3386" t="s">
        <v>936</v>
      </c>
      <c r="Q4" s="3387"/>
      <c r="R4" s="3392" t="s">
        <v>932</v>
      </c>
      <c r="S4" s="3393"/>
      <c r="T4" s="3392" t="s">
        <v>933</v>
      </c>
      <c r="U4" s="3393"/>
      <c r="V4" s="3378" t="s">
        <v>934</v>
      </c>
      <c r="W4" s="3378"/>
      <c r="X4" s="707"/>
      <c r="Y4" s="3392" t="s">
        <v>936</v>
      </c>
      <c r="Z4" s="3393"/>
      <c r="AA4" s="3379" t="s">
        <v>932</v>
      </c>
      <c r="AB4" s="3379" t="s">
        <v>933</v>
      </c>
      <c r="AC4" s="3379" t="s">
        <v>934</v>
      </c>
    </row>
    <row r="5" spans="1:29" ht="15">
      <c r="A5" s="480"/>
      <c r="B5" s="481"/>
      <c r="C5" s="3360" t="s">
        <v>937</v>
      </c>
      <c r="D5" s="3361"/>
      <c r="E5" s="3454" t="s">
        <v>2451</v>
      </c>
      <c r="F5" s="3402"/>
      <c r="G5" s="3455" t="s">
        <v>2452</v>
      </c>
      <c r="H5" s="3361"/>
      <c r="I5" s="3455" t="s">
        <v>2453</v>
      </c>
      <c r="J5" s="3361"/>
      <c r="K5" s="991"/>
      <c r="L5" s="641"/>
      <c r="M5" s="642"/>
      <c r="N5" s="642"/>
      <c r="O5" s="642"/>
      <c r="P5" s="3388"/>
      <c r="Q5" s="3389"/>
      <c r="R5" s="3394"/>
      <c r="S5" s="3395"/>
      <c r="T5" s="3394"/>
      <c r="U5" s="3395"/>
      <c r="V5" s="3378"/>
      <c r="W5" s="3378"/>
      <c r="X5" s="707"/>
      <c r="Y5" s="3394"/>
      <c r="Z5" s="3395"/>
      <c r="AA5" s="3380"/>
      <c r="AB5" s="3380"/>
      <c r="AC5" s="3380"/>
    </row>
    <row r="6" spans="1:29" ht="15">
      <c r="A6" s="482"/>
      <c r="B6" s="483"/>
      <c r="C6" s="3364" t="s">
        <v>938</v>
      </c>
      <c r="D6" s="3365"/>
      <c r="E6" s="3403" t="s">
        <v>938</v>
      </c>
      <c r="F6" s="3404"/>
      <c r="G6" s="3364" t="s">
        <v>938</v>
      </c>
      <c r="H6" s="3365"/>
      <c r="I6" s="3364" t="s">
        <v>938</v>
      </c>
      <c r="J6" s="3365"/>
      <c r="K6" s="991" t="s">
        <v>939</v>
      </c>
      <c r="L6" s="641"/>
      <c r="M6" s="642"/>
      <c r="N6" s="642"/>
      <c r="O6" s="642"/>
      <c r="P6" s="3390"/>
      <c r="Q6" s="3391"/>
      <c r="R6" s="3394"/>
      <c r="S6" s="3395"/>
      <c r="T6" s="3396"/>
      <c r="U6" s="3397"/>
      <c r="V6" s="3378"/>
      <c r="W6" s="3378"/>
      <c r="X6" s="707"/>
      <c r="Y6" s="3396"/>
      <c r="Z6" s="3397"/>
      <c r="AA6" s="3381"/>
      <c r="AB6" s="3381"/>
      <c r="AC6" s="3381"/>
    </row>
    <row r="7" spans="1:29" s="455" customFormat="1" ht="15">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66" t="s">
        <v>941</v>
      </c>
      <c r="Q7" s="3367"/>
      <c r="R7" s="708" t="s">
        <v>942</v>
      </c>
      <c r="S7" s="709">
        <f t="shared" ref="S7:S15" si="0">F7</f>
        <v>100</v>
      </c>
      <c r="T7" s="708" t="s">
        <v>942</v>
      </c>
      <c r="U7" s="709">
        <f t="shared" ref="U7:U15" si="1">H7</f>
        <v>100</v>
      </c>
      <c r="V7" s="708" t="s">
        <v>942</v>
      </c>
      <c r="W7" s="709">
        <f t="shared" ref="W7:W15" si="2">J7</f>
        <v>100</v>
      </c>
      <c r="X7" s="710"/>
      <c r="Y7" s="3366" t="s">
        <v>941</v>
      </c>
      <c r="Z7" s="3398"/>
      <c r="AA7" s="727">
        <f>D7/F7</f>
        <v>1</v>
      </c>
      <c r="AB7" s="727">
        <f>D7/H7</f>
        <v>1</v>
      </c>
      <c r="AC7" s="727">
        <f>D7/J7</f>
        <v>1</v>
      </c>
    </row>
    <row r="8" spans="1:29" s="455" customFormat="1" ht="15">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66" t="s">
        <v>945</v>
      </c>
      <c r="Q8" s="3398"/>
      <c r="R8" s="708" t="s">
        <v>942</v>
      </c>
      <c r="S8" s="709">
        <f t="shared" si="0"/>
        <v>100</v>
      </c>
      <c r="T8" s="708" t="s">
        <v>942</v>
      </c>
      <c r="U8" s="709">
        <f t="shared" si="1"/>
        <v>100</v>
      </c>
      <c r="V8" s="708" t="s">
        <v>942</v>
      </c>
      <c r="W8" s="709">
        <f t="shared" si="2"/>
        <v>100</v>
      </c>
      <c r="X8" s="710"/>
      <c r="Y8" s="3366" t="s">
        <v>945</v>
      </c>
      <c r="Z8" s="3398"/>
      <c r="AA8" s="727">
        <f t="shared" ref="AA8:AA46" si="3">D8/F8</f>
        <v>1</v>
      </c>
      <c r="AB8" s="727">
        <f t="shared" ref="AB8:AB46" si="4">D8/H8</f>
        <v>1</v>
      </c>
      <c r="AC8" s="727">
        <f t="shared" ref="AC8:AC46" si="5">D8/J8</f>
        <v>1</v>
      </c>
    </row>
    <row r="9" spans="1:29" s="455" customFormat="1" ht="15">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69" t="s">
        <v>948</v>
      </c>
      <c r="Q9" s="711" t="str">
        <f t="shared" ref="Q9:Q15" si="6">B9</f>
        <v>用途</v>
      </c>
      <c r="R9" s="708" t="s">
        <v>942</v>
      </c>
      <c r="S9" s="709">
        <f t="shared" si="0"/>
        <v>100</v>
      </c>
      <c r="T9" s="708" t="s">
        <v>942</v>
      </c>
      <c r="U9" s="709">
        <f t="shared" si="1"/>
        <v>100</v>
      </c>
      <c r="V9" s="708" t="s">
        <v>942</v>
      </c>
      <c r="W9" s="709">
        <f t="shared" si="2"/>
        <v>100</v>
      </c>
      <c r="X9" s="710"/>
      <c r="Y9" s="3357" t="s">
        <v>949</v>
      </c>
      <c r="Z9" s="728" t="str">
        <f t="shared" ref="Z9:Z15" si="7">Q9</f>
        <v>用途</v>
      </c>
      <c r="AA9" s="727">
        <f t="shared" si="3"/>
        <v>1</v>
      </c>
      <c r="AB9" s="727">
        <f t="shared" si="4"/>
        <v>1</v>
      </c>
      <c r="AC9" s="727">
        <f t="shared" si="5"/>
        <v>1</v>
      </c>
    </row>
    <row r="10" spans="1:29" s="456" customFormat="1" ht="27">
      <c r="A10" s="499"/>
      <c r="B10" s="492" t="s">
        <v>950</v>
      </c>
      <c r="C10" s="500" t="s">
        <v>2160</v>
      </c>
      <c r="D10" s="501">
        <v>100</v>
      </c>
      <c r="E10" s="502" t="s">
        <v>2160</v>
      </c>
      <c r="F10" s="807">
        <f>SUMIF(65:65,E10,66:66)-SUMIF(65:65,C10,66:66)+100</f>
        <v>100</v>
      </c>
      <c r="G10" s="500" t="s">
        <v>2160</v>
      </c>
      <c r="H10" s="501">
        <f>SUMIF(65:65,G10,66:66)-SUMIF(65:65,C10,66:66)+100</f>
        <v>100</v>
      </c>
      <c r="I10" s="500" t="s">
        <v>2160</v>
      </c>
      <c r="J10" s="501">
        <f>SUMIF(65:65,I10,66:66)-SUMIF(65:65,C10,66:66)+100</f>
        <v>100</v>
      </c>
      <c r="K10" s="993">
        <v>5</v>
      </c>
      <c r="L10" s="649"/>
      <c r="M10" s="650"/>
      <c r="N10" s="650"/>
      <c r="O10" s="651"/>
      <c r="P10" s="3369"/>
      <c r="Q10" s="711" t="str">
        <f t="shared" si="6"/>
        <v>土地使用年限（年）</v>
      </c>
      <c r="R10" s="708" t="s">
        <v>942</v>
      </c>
      <c r="S10" s="709">
        <f t="shared" si="0"/>
        <v>100</v>
      </c>
      <c r="T10" s="708" t="s">
        <v>942</v>
      </c>
      <c r="U10" s="709">
        <f t="shared" si="1"/>
        <v>100</v>
      </c>
      <c r="V10" s="708" t="s">
        <v>942</v>
      </c>
      <c r="W10" s="709">
        <f t="shared" si="2"/>
        <v>100</v>
      </c>
      <c r="X10" s="710"/>
      <c r="Y10" s="3357"/>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69"/>
      <c r="Q11" s="711" t="str">
        <f t="shared" si="6"/>
        <v>容积率</v>
      </c>
      <c r="R11" s="708" t="s">
        <v>942</v>
      </c>
      <c r="S11" s="709">
        <f t="shared" si="0"/>
        <v>100</v>
      </c>
      <c r="T11" s="708" t="s">
        <v>942</v>
      </c>
      <c r="U11" s="709">
        <f t="shared" si="1"/>
        <v>100</v>
      </c>
      <c r="V11" s="708" t="s">
        <v>942</v>
      </c>
      <c r="W11" s="709">
        <f t="shared" si="2"/>
        <v>96</v>
      </c>
      <c r="X11" s="710"/>
      <c r="Y11" s="3357"/>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69"/>
      <c r="Q14" s="711">
        <f t="shared" si="6"/>
        <v>111</v>
      </c>
      <c r="R14" s="708" t="s">
        <v>942</v>
      </c>
      <c r="S14" s="709">
        <f t="shared" si="0"/>
        <v>100</v>
      </c>
      <c r="T14" s="708" t="s">
        <v>942</v>
      </c>
      <c r="U14" s="709">
        <f t="shared" si="1"/>
        <v>100</v>
      </c>
      <c r="V14" s="708" t="s">
        <v>942</v>
      </c>
      <c r="W14" s="709">
        <f t="shared" si="2"/>
        <v>100</v>
      </c>
      <c r="X14" s="710"/>
      <c r="Y14" s="3357"/>
      <c r="Z14" s="728">
        <f t="shared" si="7"/>
        <v>111</v>
      </c>
      <c r="AA14" s="727">
        <f t="shared" si="3"/>
        <v>1</v>
      </c>
      <c r="AB14" s="727">
        <f t="shared" si="4"/>
        <v>1</v>
      </c>
      <c r="AC14" s="727">
        <f t="shared" si="5"/>
        <v>1</v>
      </c>
    </row>
    <row r="15" spans="1:29" ht="99.75">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70" t="s">
        <v>955</v>
      </c>
      <c r="Q15" s="647" t="str">
        <f t="shared" si="6"/>
        <v>居住社区成熟度</v>
      </c>
      <c r="R15" s="712" t="s">
        <v>942</v>
      </c>
      <c r="S15" s="713">
        <f t="shared" si="0"/>
        <v>100</v>
      </c>
      <c r="T15" s="712" t="s">
        <v>942</v>
      </c>
      <c r="U15" s="713">
        <f t="shared" si="1"/>
        <v>100</v>
      </c>
      <c r="V15" s="712" t="s">
        <v>942</v>
      </c>
      <c r="W15" s="713">
        <f t="shared" si="2"/>
        <v>98</v>
      </c>
      <c r="X15" s="707"/>
      <c r="Y15" s="3370"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2161</v>
      </c>
      <c r="J16" s="522"/>
      <c r="K16" s="996"/>
      <c r="L16" s="655"/>
      <c r="M16" s="642"/>
      <c r="N16" s="642"/>
      <c r="O16" s="654"/>
      <c r="P16" s="3371"/>
      <c r="Q16" s="647"/>
      <c r="R16" s="712"/>
      <c r="S16" s="713"/>
      <c r="T16" s="712"/>
      <c r="U16" s="713"/>
      <c r="V16" s="712"/>
      <c r="W16" s="713"/>
      <c r="X16" s="707"/>
      <c r="Y16" s="3371"/>
      <c r="Z16" s="706"/>
      <c r="AA16" s="718">
        <v>1</v>
      </c>
      <c r="AB16" s="718">
        <v>1</v>
      </c>
      <c r="AC16" s="718">
        <v>1</v>
      </c>
    </row>
    <row r="17" spans="1:29" ht="85.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71"/>
      <c r="Q17" s="647" t="str">
        <f>B17</f>
        <v>交通便捷度</v>
      </c>
      <c r="R17" s="712" t="s">
        <v>942</v>
      </c>
      <c r="S17" s="713">
        <f>F17</f>
        <v>100</v>
      </c>
      <c r="T17" s="712" t="s">
        <v>942</v>
      </c>
      <c r="U17" s="713">
        <f>H17</f>
        <v>100</v>
      </c>
      <c r="V17" s="712" t="s">
        <v>942</v>
      </c>
      <c r="W17" s="713">
        <f>J17</f>
        <v>100</v>
      </c>
      <c r="X17" s="707"/>
      <c r="Y17" s="3371"/>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71"/>
      <c r="Q18" s="647"/>
      <c r="R18" s="712"/>
      <c r="S18" s="713"/>
      <c r="T18" s="712"/>
      <c r="U18" s="713"/>
      <c r="V18" s="712"/>
      <c r="W18" s="713"/>
      <c r="X18" s="707"/>
      <c r="Y18" s="3371"/>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71"/>
      <c r="Q19" s="647" t="str">
        <f>B19</f>
        <v>公共配套设施</v>
      </c>
      <c r="R19" s="712" t="s">
        <v>942</v>
      </c>
      <c r="S19" s="713">
        <f>F19</f>
        <v>100</v>
      </c>
      <c r="T19" s="712" t="s">
        <v>942</v>
      </c>
      <c r="U19" s="713">
        <f>H19</f>
        <v>100</v>
      </c>
      <c r="V19" s="712" t="s">
        <v>942</v>
      </c>
      <c r="W19" s="713">
        <f>J19</f>
        <v>98</v>
      </c>
      <c r="X19" s="707"/>
      <c r="Y19" s="3371"/>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2161</v>
      </c>
      <c r="J20" s="522"/>
      <c r="K20" s="996"/>
      <c r="L20" s="655"/>
      <c r="M20" s="642"/>
      <c r="N20" s="642"/>
      <c r="O20" s="654"/>
      <c r="P20" s="3371"/>
      <c r="Q20" s="647"/>
      <c r="R20" s="712"/>
      <c r="S20" s="713"/>
      <c r="T20" s="712"/>
      <c r="U20" s="713"/>
      <c r="V20" s="712"/>
      <c r="W20" s="713"/>
      <c r="X20" s="707"/>
      <c r="Y20" s="3371"/>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71"/>
      <c r="Q21" s="647" t="str">
        <f>B21</f>
        <v>基础设施水平</v>
      </c>
      <c r="R21" s="712" t="s">
        <v>942</v>
      </c>
      <c r="S21" s="713">
        <f>F21</f>
        <v>100</v>
      </c>
      <c r="T21" s="712" t="s">
        <v>942</v>
      </c>
      <c r="U21" s="713">
        <f>H21</f>
        <v>100</v>
      </c>
      <c r="V21" s="712" t="s">
        <v>942</v>
      </c>
      <c r="W21" s="713">
        <f>J21</f>
        <v>100</v>
      </c>
      <c r="X21" s="707"/>
      <c r="Y21" s="3371"/>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71"/>
      <c r="Q22" s="647"/>
      <c r="R22" s="712"/>
      <c r="S22" s="713"/>
      <c r="T22" s="712"/>
      <c r="U22" s="713"/>
      <c r="V22" s="712"/>
      <c r="W22" s="713"/>
      <c r="X22" s="707"/>
      <c r="Y22" s="3371"/>
      <c r="Z22" s="706"/>
      <c r="AA22" s="718">
        <v>1</v>
      </c>
      <c r="AB22" s="718">
        <v>1</v>
      </c>
      <c r="AC22" s="718">
        <v>1</v>
      </c>
    </row>
    <row r="23" spans="1:29" ht="57">
      <c r="A23" s="519"/>
      <c r="B23" s="538" t="s">
        <v>2162</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71"/>
      <c r="Q23" s="647" t="str">
        <f>B23</f>
        <v>自然及人文环境</v>
      </c>
      <c r="R23" s="712" t="s">
        <v>942</v>
      </c>
      <c r="S23" s="713">
        <f>F23</f>
        <v>100</v>
      </c>
      <c r="T23" s="712" t="s">
        <v>942</v>
      </c>
      <c r="U23" s="713">
        <f>H23</f>
        <v>100</v>
      </c>
      <c r="V23" s="712" t="s">
        <v>942</v>
      </c>
      <c r="W23" s="713">
        <f>J23</f>
        <v>100</v>
      </c>
      <c r="X23" s="707"/>
      <c r="Y23" s="3371"/>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71"/>
      <c r="Q24" s="647"/>
      <c r="R24" s="712"/>
      <c r="S24" s="713"/>
      <c r="T24" s="712"/>
      <c r="U24" s="713"/>
      <c r="V24" s="712"/>
      <c r="W24" s="713"/>
      <c r="X24" s="707"/>
      <c r="Y24" s="3371"/>
      <c r="Z24" s="706"/>
      <c r="AA24" s="718">
        <v>1</v>
      </c>
      <c r="AB24" s="718">
        <v>1</v>
      </c>
      <c r="AC24" s="718">
        <v>1</v>
      </c>
    </row>
    <row r="25" spans="1:29" ht="15">
      <c r="A25" s="519"/>
      <c r="B25" s="808" t="s">
        <v>2163</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71"/>
      <c r="Q25" s="647" t="str">
        <f t="shared" ref="Q25:Q46" si="11">B25</f>
        <v>楼层-1</v>
      </c>
      <c r="R25" s="712" t="s">
        <v>942</v>
      </c>
      <c r="S25" s="713">
        <f>F25</f>
        <v>100</v>
      </c>
      <c r="T25" s="712" t="s">
        <v>942</v>
      </c>
      <c r="U25" s="713">
        <f>H25</f>
        <v>100</v>
      </c>
      <c r="V25" s="712" t="s">
        <v>942</v>
      </c>
      <c r="W25" s="713">
        <f>J25</f>
        <v>100</v>
      </c>
      <c r="X25" s="707"/>
      <c r="Y25" s="3371"/>
      <c r="Z25" s="706" t="str">
        <f>Q25</f>
        <v>楼层-1</v>
      </c>
      <c r="AA25" s="718">
        <f t="shared" si="3"/>
        <v>1</v>
      </c>
      <c r="AB25" s="718">
        <f t="shared" si="4"/>
        <v>1</v>
      </c>
      <c r="AC25" s="718">
        <f t="shared" si="5"/>
        <v>1</v>
      </c>
    </row>
    <row r="26" spans="1:29" ht="15">
      <c r="A26" s="519"/>
      <c r="B26" s="553" t="s">
        <v>2164</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71"/>
      <c r="Q26" s="647" t="str">
        <f t="shared" si="11"/>
        <v>朝向</v>
      </c>
      <c r="R26" s="712" t="s">
        <v>942</v>
      </c>
      <c r="S26" s="713">
        <f>F26</f>
        <v>100</v>
      </c>
      <c r="T26" s="712" t="s">
        <v>942</v>
      </c>
      <c r="U26" s="713">
        <f>H26</f>
        <v>100</v>
      </c>
      <c r="V26" s="712" t="s">
        <v>942</v>
      </c>
      <c r="W26" s="713">
        <f>J26</f>
        <v>100</v>
      </c>
      <c r="X26" s="707"/>
      <c r="Y26" s="3371"/>
      <c r="Z26" s="706" t="str">
        <f>Q26</f>
        <v>朝向</v>
      </c>
      <c r="AA26" s="718">
        <f t="shared" si="3"/>
        <v>1</v>
      </c>
      <c r="AB26" s="718">
        <f t="shared" si="4"/>
        <v>1</v>
      </c>
      <c r="AC26" s="718">
        <f t="shared" si="5"/>
        <v>1</v>
      </c>
    </row>
    <row r="27" spans="1:29" s="455" customFormat="1" ht="15">
      <c r="A27" s="543"/>
      <c r="B27" s="542" t="s">
        <v>2165</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71"/>
      <c r="Q27" s="711" t="str">
        <f t="shared" si="11"/>
        <v>道路级别</v>
      </c>
      <c r="R27" s="708" t="s">
        <v>942</v>
      </c>
      <c r="S27" s="709">
        <f>F27</f>
        <v>100</v>
      </c>
      <c r="T27" s="708" t="s">
        <v>942</v>
      </c>
      <c r="U27" s="709">
        <f>H27</f>
        <v>100</v>
      </c>
      <c r="V27" s="708" t="s">
        <v>942</v>
      </c>
      <c r="W27" s="709">
        <f>J27</f>
        <v>100</v>
      </c>
      <c r="X27" s="710"/>
      <c r="Y27" s="3371"/>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71"/>
      <c r="Q28" s="647">
        <f t="shared" si="11"/>
        <v>111</v>
      </c>
      <c r="R28" s="712" t="s">
        <v>942</v>
      </c>
      <c r="S28" s="713">
        <f t="shared" ref="S28:S46" si="12">F28</f>
        <v>100</v>
      </c>
      <c r="T28" s="712" t="s">
        <v>942</v>
      </c>
      <c r="U28" s="713">
        <f t="shared" ref="U28:U46" si="13">H28</f>
        <v>100</v>
      </c>
      <c r="V28" s="712" t="s">
        <v>942</v>
      </c>
      <c r="W28" s="713">
        <f t="shared" ref="W28:W46" si="14">J28</f>
        <v>100</v>
      </c>
      <c r="X28" s="707"/>
      <c r="Y28" s="3371"/>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71"/>
      <c r="Q29" s="647">
        <f t="shared" si="11"/>
        <v>111</v>
      </c>
      <c r="R29" s="712" t="s">
        <v>942</v>
      </c>
      <c r="S29" s="713">
        <f t="shared" si="12"/>
        <v>100</v>
      </c>
      <c r="T29" s="712" t="s">
        <v>942</v>
      </c>
      <c r="U29" s="713">
        <f t="shared" si="13"/>
        <v>100</v>
      </c>
      <c r="V29" s="712" t="s">
        <v>942</v>
      </c>
      <c r="W29" s="713">
        <f t="shared" si="14"/>
        <v>100</v>
      </c>
      <c r="X29" s="707"/>
      <c r="Y29" s="3371"/>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71"/>
      <c r="Q30" s="647">
        <f t="shared" si="11"/>
        <v>111</v>
      </c>
      <c r="R30" s="712" t="s">
        <v>942</v>
      </c>
      <c r="S30" s="713">
        <f t="shared" si="12"/>
        <v>100</v>
      </c>
      <c r="T30" s="712" t="s">
        <v>942</v>
      </c>
      <c r="U30" s="713">
        <f t="shared" si="13"/>
        <v>100</v>
      </c>
      <c r="V30" s="712" t="s">
        <v>942</v>
      </c>
      <c r="W30" s="713">
        <f t="shared" si="14"/>
        <v>100</v>
      </c>
      <c r="X30" s="707"/>
      <c r="Y30" s="3371"/>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71"/>
      <c r="Q31" s="647">
        <f t="shared" si="11"/>
        <v>111</v>
      </c>
      <c r="R31" s="712" t="s">
        <v>942</v>
      </c>
      <c r="S31" s="713">
        <f t="shared" si="12"/>
        <v>100</v>
      </c>
      <c r="T31" s="712" t="s">
        <v>942</v>
      </c>
      <c r="U31" s="713">
        <f t="shared" si="13"/>
        <v>100</v>
      </c>
      <c r="V31" s="712" t="s">
        <v>942</v>
      </c>
      <c r="W31" s="713">
        <f t="shared" si="14"/>
        <v>100</v>
      </c>
      <c r="X31" s="707"/>
      <c r="Y31" s="3371"/>
      <c r="Z31" s="706">
        <f t="shared" si="15"/>
        <v>111</v>
      </c>
      <c r="AA31" s="718">
        <f t="shared" si="3"/>
        <v>1</v>
      </c>
      <c r="AB31" s="718">
        <f t="shared" si="4"/>
        <v>1</v>
      </c>
      <c r="AC31" s="718">
        <f t="shared" si="5"/>
        <v>1</v>
      </c>
    </row>
    <row r="32" spans="1:29" ht="15">
      <c r="A32" s="547" t="s">
        <v>961</v>
      </c>
      <c r="B32" s="548" t="s">
        <v>2166</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72" t="s">
        <v>960</v>
      </c>
      <c r="Q32" s="647" t="str">
        <f t="shared" si="11"/>
        <v>建筑类型</v>
      </c>
      <c r="R32" s="712" t="s">
        <v>942</v>
      </c>
      <c r="S32" s="713">
        <f t="shared" si="12"/>
        <v>100</v>
      </c>
      <c r="T32" s="712" t="s">
        <v>942</v>
      </c>
      <c r="U32" s="713">
        <f t="shared" si="13"/>
        <v>100</v>
      </c>
      <c r="V32" s="712" t="s">
        <v>942</v>
      </c>
      <c r="W32" s="713">
        <f t="shared" si="14"/>
        <v>100</v>
      </c>
      <c r="X32" s="707"/>
      <c r="Y32" s="3373" t="s">
        <v>960</v>
      </c>
      <c r="Z32" s="706" t="str">
        <f t="shared" si="15"/>
        <v>建筑类型</v>
      </c>
      <c r="AA32" s="718">
        <f t="shared" si="3"/>
        <v>1</v>
      </c>
      <c r="AB32" s="718">
        <f t="shared" si="4"/>
        <v>1</v>
      </c>
      <c r="AC32" s="718">
        <f t="shared" si="5"/>
        <v>1</v>
      </c>
    </row>
    <row r="33" spans="1:29" s="457" customFormat="1" ht="15">
      <c r="A33" s="552"/>
      <c r="B33" s="3170" t="s">
        <v>2167</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73"/>
      <c r="Q33" s="714" t="str">
        <f t="shared" si="11"/>
        <v>项目建筑规模</v>
      </c>
      <c r="R33" s="715" t="s">
        <v>942</v>
      </c>
      <c r="S33" s="716">
        <f t="shared" si="12"/>
        <v>100</v>
      </c>
      <c r="T33" s="715" t="s">
        <v>942</v>
      </c>
      <c r="U33" s="716">
        <f t="shared" si="13"/>
        <v>102</v>
      </c>
      <c r="V33" s="715" t="s">
        <v>942</v>
      </c>
      <c r="W33" s="716">
        <f t="shared" si="14"/>
        <v>98</v>
      </c>
      <c r="X33" s="717"/>
      <c r="Y33" s="3373"/>
      <c r="Z33" s="729" t="str">
        <f t="shared" si="15"/>
        <v>项目建筑规模</v>
      </c>
      <c r="AA33" s="718">
        <f t="shared" si="3"/>
        <v>1</v>
      </c>
      <c r="AB33" s="718">
        <f t="shared" si="4"/>
        <v>0.98039215686274506</v>
      </c>
      <c r="AC33" s="718">
        <f t="shared" si="5"/>
        <v>1.0204081632653061</v>
      </c>
    </row>
    <row r="34" spans="1:29" ht="15">
      <c r="A34" s="557"/>
      <c r="B34" s="553" t="s">
        <v>2168</v>
      </c>
      <c r="C34" s="929" t="s">
        <v>2141</v>
      </c>
      <c r="D34" s="511">
        <v>100</v>
      </c>
      <c r="E34" s="930" t="s">
        <v>2141</v>
      </c>
      <c r="F34" s="541">
        <f>SUMIF(105:105,E34,106:106)-SUMIF(105:105,C34,106:106)+100</f>
        <v>100</v>
      </c>
      <c r="G34" s="929" t="s">
        <v>2141</v>
      </c>
      <c r="H34" s="511">
        <f>SUMIF(105:105,G34,106:106)-SUMIF(105:105,C34,106:106)+100</f>
        <v>100</v>
      </c>
      <c r="I34" s="930" t="s">
        <v>2141</v>
      </c>
      <c r="J34" s="511">
        <f>SUMIF(105:105,I34,106:106)-SUMIF(105:105,C34,106:106)+100</f>
        <v>100</v>
      </c>
      <c r="K34" s="993"/>
      <c r="L34" s="655"/>
      <c r="M34" s="642"/>
      <c r="N34" s="642"/>
      <c r="O34" s="654"/>
      <c r="P34" s="3373"/>
      <c r="Q34" s="647" t="str">
        <f t="shared" si="11"/>
        <v>建筑结构</v>
      </c>
      <c r="R34" s="712" t="s">
        <v>942</v>
      </c>
      <c r="S34" s="713">
        <f t="shared" si="12"/>
        <v>100</v>
      </c>
      <c r="T34" s="712" t="s">
        <v>942</v>
      </c>
      <c r="U34" s="713">
        <f t="shared" si="13"/>
        <v>100</v>
      </c>
      <c r="V34" s="712" t="s">
        <v>942</v>
      </c>
      <c r="W34" s="713">
        <f t="shared" si="14"/>
        <v>100</v>
      </c>
      <c r="X34" s="707"/>
      <c r="Y34" s="3373"/>
      <c r="Z34" s="706" t="str">
        <f t="shared" si="15"/>
        <v>建筑结构</v>
      </c>
      <c r="AA34" s="718">
        <f t="shared" si="3"/>
        <v>1</v>
      </c>
      <c r="AB34" s="718">
        <f t="shared" si="4"/>
        <v>1</v>
      </c>
      <c r="AC34" s="718">
        <f t="shared" si="5"/>
        <v>1</v>
      </c>
    </row>
    <row r="35" spans="1:29" ht="15">
      <c r="A35" s="557"/>
      <c r="B35" s="553" t="s">
        <v>2169</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73"/>
      <c r="Q35" s="647" t="str">
        <f t="shared" si="11"/>
        <v>建筑品质</v>
      </c>
      <c r="R35" s="712" t="s">
        <v>942</v>
      </c>
      <c r="S35" s="713">
        <f t="shared" si="12"/>
        <v>100</v>
      </c>
      <c r="T35" s="712" t="s">
        <v>942</v>
      </c>
      <c r="U35" s="713">
        <f t="shared" si="13"/>
        <v>100</v>
      </c>
      <c r="V35" s="712" t="s">
        <v>942</v>
      </c>
      <c r="W35" s="713">
        <f t="shared" si="14"/>
        <v>100</v>
      </c>
      <c r="X35" s="707"/>
      <c r="Y35" s="3373"/>
      <c r="Z35" s="706" t="str">
        <f t="shared" si="15"/>
        <v>建筑品质</v>
      </c>
      <c r="AA35" s="718">
        <f t="shared" si="3"/>
        <v>1</v>
      </c>
      <c r="AB35" s="718">
        <f t="shared" si="4"/>
        <v>1</v>
      </c>
      <c r="AC35" s="718">
        <f t="shared" si="5"/>
        <v>1</v>
      </c>
    </row>
    <row r="36" spans="1:29" ht="15">
      <c r="A36" s="557"/>
      <c r="B36" s="553" t="s">
        <v>2170</v>
      </c>
      <c r="C36" s="931" t="s">
        <v>2171</v>
      </c>
      <c r="D36" s="511">
        <v>100</v>
      </c>
      <c r="E36" s="980" t="s">
        <v>2171</v>
      </c>
      <c r="F36" s="541">
        <f>SUMIF(109:109,E36,110:110)-SUMIF(109:109,C36,110:110)+100</f>
        <v>100</v>
      </c>
      <c r="G36" s="931" t="s">
        <v>2171</v>
      </c>
      <c r="H36" s="511">
        <f>SUMIF(109:109,G36,110:110)-SUMIF(109:109,C36,110:110)+100</f>
        <v>100</v>
      </c>
      <c r="I36" s="980" t="s">
        <v>2171</v>
      </c>
      <c r="J36" s="511">
        <f>SUMIF(109:109,I36,110:110)-SUMIF(109:109,C36,110:110)+100</f>
        <v>100</v>
      </c>
      <c r="K36" s="993">
        <v>2</v>
      </c>
      <c r="L36" s="655"/>
      <c r="M36" s="642"/>
      <c r="N36" s="642"/>
      <c r="O36" s="654"/>
      <c r="P36" s="3373"/>
      <c r="Q36" s="647" t="str">
        <f t="shared" si="11"/>
        <v>公共部分装修</v>
      </c>
      <c r="R36" s="712" t="s">
        <v>942</v>
      </c>
      <c r="S36" s="713">
        <f t="shared" si="12"/>
        <v>100</v>
      </c>
      <c r="T36" s="712" t="s">
        <v>942</v>
      </c>
      <c r="U36" s="713">
        <f t="shared" si="13"/>
        <v>100</v>
      </c>
      <c r="V36" s="712" t="s">
        <v>942</v>
      </c>
      <c r="W36" s="713">
        <f t="shared" si="14"/>
        <v>100</v>
      </c>
      <c r="X36" s="707"/>
      <c r="Y36" s="3373"/>
      <c r="Z36" s="706" t="str">
        <f t="shared" si="15"/>
        <v>公共部分装修</v>
      </c>
      <c r="AA36" s="718">
        <f t="shared" si="3"/>
        <v>1</v>
      </c>
      <c r="AB36" s="718">
        <f t="shared" si="4"/>
        <v>1</v>
      </c>
      <c r="AC36" s="718">
        <f t="shared" si="5"/>
        <v>1</v>
      </c>
    </row>
    <row r="37" spans="1:29" s="455" customFormat="1" ht="15">
      <c r="A37" s="560"/>
      <c r="B37" s="553" t="s">
        <v>2172</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73"/>
      <c r="Q37" s="711" t="str">
        <f t="shared" si="11"/>
        <v>成新度</v>
      </c>
      <c r="R37" s="708" t="s">
        <v>942</v>
      </c>
      <c r="S37" s="709">
        <f t="shared" si="12"/>
        <v>100</v>
      </c>
      <c r="T37" s="708" t="s">
        <v>942</v>
      </c>
      <c r="U37" s="709">
        <f t="shared" si="13"/>
        <v>100</v>
      </c>
      <c r="V37" s="708" t="s">
        <v>942</v>
      </c>
      <c r="W37" s="709">
        <f t="shared" si="14"/>
        <v>100</v>
      </c>
      <c r="X37" s="710"/>
      <c r="Y37" s="3373"/>
      <c r="Z37" s="728" t="str">
        <f t="shared" si="15"/>
        <v>成新度</v>
      </c>
      <c r="AA37" s="727">
        <f t="shared" si="3"/>
        <v>1</v>
      </c>
      <c r="AB37" s="727">
        <f t="shared" si="4"/>
        <v>1</v>
      </c>
      <c r="AC37" s="727">
        <f t="shared" si="5"/>
        <v>1</v>
      </c>
    </row>
    <row r="38" spans="1:29" ht="15">
      <c r="A38" s="557"/>
      <c r="B38" s="553" t="s">
        <v>2173</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73" t="s">
        <v>960</v>
      </c>
      <c r="Q38" s="647" t="str">
        <f t="shared" si="11"/>
        <v>物业管理</v>
      </c>
      <c r="R38" s="712" t="s">
        <v>942</v>
      </c>
      <c r="S38" s="713">
        <f t="shared" si="12"/>
        <v>100</v>
      </c>
      <c r="T38" s="712" t="s">
        <v>942</v>
      </c>
      <c r="U38" s="713">
        <f t="shared" si="13"/>
        <v>100</v>
      </c>
      <c r="V38" s="712" t="s">
        <v>942</v>
      </c>
      <c r="W38" s="713">
        <f t="shared" si="14"/>
        <v>100</v>
      </c>
      <c r="X38" s="707"/>
      <c r="Y38" s="3373" t="s">
        <v>960</v>
      </c>
      <c r="Z38" s="706" t="str">
        <f t="shared" si="15"/>
        <v>物业管理</v>
      </c>
      <c r="AA38" s="718">
        <f t="shared" si="3"/>
        <v>1</v>
      </c>
      <c r="AB38" s="718">
        <f t="shared" si="4"/>
        <v>1</v>
      </c>
      <c r="AC38" s="718">
        <f t="shared" si="5"/>
        <v>1</v>
      </c>
    </row>
    <row r="39" spans="1:29" ht="15">
      <c r="A39" s="557"/>
      <c r="B39" s="808" t="s">
        <v>2174</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73"/>
      <c r="Q39" s="647" t="str">
        <f t="shared" si="11"/>
        <v>市政基础设施</v>
      </c>
      <c r="R39" s="712" t="s">
        <v>942</v>
      </c>
      <c r="S39" s="713">
        <f t="shared" si="12"/>
        <v>100</v>
      </c>
      <c r="T39" s="712" t="s">
        <v>942</v>
      </c>
      <c r="U39" s="713">
        <f t="shared" si="13"/>
        <v>100</v>
      </c>
      <c r="V39" s="712" t="s">
        <v>942</v>
      </c>
      <c r="W39" s="713">
        <f t="shared" si="14"/>
        <v>100</v>
      </c>
      <c r="X39" s="707"/>
      <c r="Y39" s="3373"/>
      <c r="Z39" s="706" t="str">
        <f t="shared" si="15"/>
        <v>市政基础设施</v>
      </c>
      <c r="AA39" s="718">
        <f t="shared" si="3"/>
        <v>1</v>
      </c>
      <c r="AB39" s="718">
        <f t="shared" si="4"/>
        <v>1</v>
      </c>
      <c r="AC39" s="718">
        <f t="shared" si="5"/>
        <v>1</v>
      </c>
    </row>
    <row r="40" spans="1:29" ht="15">
      <c r="A40" s="557"/>
      <c r="B40" s="553" t="s">
        <v>2175</v>
      </c>
      <c r="C40" s="931" t="s">
        <v>2176</v>
      </c>
      <c r="D40" s="511">
        <v>100</v>
      </c>
      <c r="E40" s="980" t="s">
        <v>2176</v>
      </c>
      <c r="F40" s="541">
        <f>SUMIF(118:118,E40,119:119)-SUMIF(118:118,C40,119:119)+100</f>
        <v>100</v>
      </c>
      <c r="G40" s="931" t="s">
        <v>2176</v>
      </c>
      <c r="H40" s="511">
        <f>SUMIF(118:118,G40,119:119)-SUMIF(118:118,C40,119:119)+100</f>
        <v>100</v>
      </c>
      <c r="I40" s="980" t="s">
        <v>2176</v>
      </c>
      <c r="J40" s="511">
        <f>SUMIF(118:118,I40,119:119)-SUMIF(118:118,C40,119:119)+100</f>
        <v>100</v>
      </c>
      <c r="K40" s="993">
        <v>5</v>
      </c>
      <c r="L40" s="655"/>
      <c r="M40" s="642"/>
      <c r="N40" s="642"/>
      <c r="O40" s="654"/>
      <c r="P40" s="3373"/>
      <c r="Q40" s="647" t="str">
        <f t="shared" si="11"/>
        <v>房型</v>
      </c>
      <c r="R40" s="712" t="s">
        <v>942</v>
      </c>
      <c r="S40" s="713">
        <f t="shared" si="12"/>
        <v>100</v>
      </c>
      <c r="T40" s="712" t="s">
        <v>942</v>
      </c>
      <c r="U40" s="713">
        <f t="shared" si="13"/>
        <v>100</v>
      </c>
      <c r="V40" s="712" t="s">
        <v>942</v>
      </c>
      <c r="W40" s="713">
        <f t="shared" si="14"/>
        <v>100</v>
      </c>
      <c r="X40" s="707"/>
      <c r="Y40" s="3373"/>
      <c r="Z40" s="706" t="str">
        <f t="shared" si="15"/>
        <v>房型</v>
      </c>
      <c r="AA40" s="718">
        <f t="shared" si="3"/>
        <v>1</v>
      </c>
      <c r="AB40" s="718">
        <f t="shared" si="4"/>
        <v>1</v>
      </c>
      <c r="AC40" s="718">
        <f t="shared" si="5"/>
        <v>1</v>
      </c>
    </row>
    <row r="41" spans="1:29" s="457" customFormat="1" ht="28.5">
      <c r="A41" s="552"/>
      <c r="B41" s="553" t="s">
        <v>2177</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73"/>
      <c r="Q41" s="714" t="str">
        <f t="shared" si="11"/>
        <v>单套/主力户型建筑面积</v>
      </c>
      <c r="R41" s="715" t="s">
        <v>942</v>
      </c>
      <c r="S41" s="716">
        <f t="shared" si="12"/>
        <v>100</v>
      </c>
      <c r="T41" s="715" t="s">
        <v>942</v>
      </c>
      <c r="U41" s="716">
        <f t="shared" si="13"/>
        <v>100</v>
      </c>
      <c r="V41" s="715" t="s">
        <v>942</v>
      </c>
      <c r="W41" s="716">
        <f t="shared" si="14"/>
        <v>100</v>
      </c>
      <c r="X41" s="717"/>
      <c r="Y41" s="3373"/>
      <c r="Z41" s="729" t="str">
        <f t="shared" si="15"/>
        <v>单套/主力户型建筑面积</v>
      </c>
      <c r="AA41" s="718">
        <f t="shared" si="3"/>
        <v>1</v>
      </c>
      <c r="AB41" s="718">
        <f t="shared" si="4"/>
        <v>1</v>
      </c>
      <c r="AC41" s="718">
        <f t="shared" si="5"/>
        <v>1</v>
      </c>
    </row>
    <row r="42" spans="1:29" ht="15">
      <c r="A42" s="557"/>
      <c r="B42" s="553" t="s">
        <v>2178</v>
      </c>
      <c r="C42" s="931" t="s">
        <v>2179</v>
      </c>
      <c r="D42" s="511">
        <v>100</v>
      </c>
      <c r="E42" s="980" t="s">
        <v>2179</v>
      </c>
      <c r="F42" s="541">
        <f>SUMIF(122:122,E42,123:123)-SUMIF(122:122,C42,123:123)+100</f>
        <v>100</v>
      </c>
      <c r="G42" s="931" t="s">
        <v>2171</v>
      </c>
      <c r="H42" s="511">
        <f>SUMIF(122:122,G42,123:123)-SUMIF(122:122,C42,123:123)+100</f>
        <v>115</v>
      </c>
      <c r="I42" s="980" t="s">
        <v>2179</v>
      </c>
      <c r="J42" s="511">
        <f>SUMIF(122:122,I42,123:123)-SUMIF(122:122,C42,123:123)+100</f>
        <v>100</v>
      </c>
      <c r="K42" s="993">
        <v>5</v>
      </c>
      <c r="L42" s="655"/>
      <c r="M42" s="642"/>
      <c r="N42" s="642"/>
      <c r="O42" s="654"/>
      <c r="P42" s="3373"/>
      <c r="Q42" s="647" t="str">
        <f t="shared" si="11"/>
        <v>内部装修</v>
      </c>
      <c r="R42" s="712" t="s">
        <v>942</v>
      </c>
      <c r="S42" s="713">
        <f t="shared" si="12"/>
        <v>100</v>
      </c>
      <c r="T42" s="712" t="s">
        <v>942</v>
      </c>
      <c r="U42" s="713">
        <f t="shared" si="13"/>
        <v>115</v>
      </c>
      <c r="V42" s="712" t="s">
        <v>942</v>
      </c>
      <c r="W42" s="713">
        <f t="shared" si="14"/>
        <v>100</v>
      </c>
      <c r="X42" s="707"/>
      <c r="Y42" s="3373"/>
      <c r="Z42" s="706" t="str">
        <f t="shared" si="15"/>
        <v>内部装修</v>
      </c>
      <c r="AA42" s="718">
        <f t="shared" si="3"/>
        <v>1</v>
      </c>
      <c r="AB42" s="718">
        <f t="shared" si="4"/>
        <v>0.86956521739130432</v>
      </c>
      <c r="AC42" s="718">
        <f t="shared" si="5"/>
        <v>1</v>
      </c>
    </row>
    <row r="43" spans="1:29" ht="27">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73"/>
      <c r="Q43" s="647" t="str">
        <f t="shared" si="11"/>
        <v>内部装修维护情况</v>
      </c>
      <c r="R43" s="712" t="s">
        <v>942</v>
      </c>
      <c r="S43" s="713">
        <f t="shared" si="12"/>
        <v>100</v>
      </c>
      <c r="T43" s="712" t="s">
        <v>942</v>
      </c>
      <c r="U43" s="713">
        <f t="shared" si="13"/>
        <v>100</v>
      </c>
      <c r="V43" s="712" t="s">
        <v>942</v>
      </c>
      <c r="W43" s="713">
        <f t="shared" si="14"/>
        <v>100</v>
      </c>
      <c r="X43" s="707"/>
      <c r="Y43" s="3373"/>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73"/>
      <c r="Q44" s="711">
        <f t="shared" si="11"/>
        <v>111</v>
      </c>
      <c r="R44" s="708" t="s">
        <v>942</v>
      </c>
      <c r="S44" s="709">
        <f t="shared" si="12"/>
        <v>100</v>
      </c>
      <c r="T44" s="708" t="s">
        <v>942</v>
      </c>
      <c r="U44" s="709">
        <f t="shared" si="13"/>
        <v>100</v>
      </c>
      <c r="V44" s="708" t="s">
        <v>942</v>
      </c>
      <c r="W44" s="709">
        <f t="shared" si="14"/>
        <v>100</v>
      </c>
      <c r="X44" s="710"/>
      <c r="Y44" s="3373"/>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73"/>
      <c r="Q45" s="647">
        <f t="shared" si="11"/>
        <v>111</v>
      </c>
      <c r="R45" s="712" t="s">
        <v>942</v>
      </c>
      <c r="S45" s="713">
        <f t="shared" si="12"/>
        <v>100</v>
      </c>
      <c r="T45" s="712" t="s">
        <v>942</v>
      </c>
      <c r="U45" s="713">
        <f t="shared" si="13"/>
        <v>100</v>
      </c>
      <c r="V45" s="712" t="s">
        <v>942</v>
      </c>
      <c r="W45" s="713">
        <f t="shared" si="14"/>
        <v>100</v>
      </c>
      <c r="X45" s="707"/>
      <c r="Y45" s="3373"/>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57"/>
      <c r="Q46" s="647">
        <f t="shared" si="11"/>
        <v>111</v>
      </c>
      <c r="R46" s="712" t="s">
        <v>942</v>
      </c>
      <c r="S46" s="713">
        <f t="shared" si="12"/>
        <v>100</v>
      </c>
      <c r="T46" s="712" t="s">
        <v>942</v>
      </c>
      <c r="U46" s="713">
        <f t="shared" si="13"/>
        <v>100</v>
      </c>
      <c r="V46" s="712" t="s">
        <v>942</v>
      </c>
      <c r="W46" s="713">
        <f t="shared" si="14"/>
        <v>100</v>
      </c>
      <c r="X46" s="707"/>
      <c r="Y46" s="3457"/>
      <c r="Z46" s="706">
        <f t="shared" si="15"/>
        <v>111</v>
      </c>
      <c r="AA46" s="718">
        <f t="shared" si="3"/>
        <v>1</v>
      </c>
      <c r="AB46" s="718">
        <f t="shared" si="4"/>
        <v>1</v>
      </c>
      <c r="AC46" s="718">
        <f t="shared" si="5"/>
        <v>1</v>
      </c>
    </row>
    <row r="47" spans="1:29" ht="15">
      <c r="A47" s="567" t="s">
        <v>2180</v>
      </c>
      <c r="B47" s="568"/>
      <c r="C47" s="569" t="s">
        <v>138</v>
      </c>
      <c r="D47" s="570"/>
      <c r="E47" s="571">
        <v>10800</v>
      </c>
      <c r="F47" s="572"/>
      <c r="G47" s="573">
        <v>11500</v>
      </c>
      <c r="H47" s="574"/>
      <c r="I47" s="571">
        <v>9800</v>
      </c>
      <c r="J47" s="574"/>
      <c r="K47" s="999"/>
      <c r="L47" s="662"/>
      <c r="M47" s="583"/>
      <c r="N47" s="642"/>
      <c r="O47" s="583"/>
      <c r="P47" s="3369" t="str">
        <f>A47</f>
        <v>成交单价（元/平方米）</v>
      </c>
      <c r="Q47" s="3369"/>
      <c r="R47" s="3456">
        <f>E47</f>
        <v>10800</v>
      </c>
      <c r="S47" s="3456"/>
      <c r="T47" s="3456">
        <f>G47</f>
        <v>11500</v>
      </c>
      <c r="U47" s="3456"/>
      <c r="V47" s="3456">
        <f>I47</f>
        <v>9800</v>
      </c>
      <c r="W47" s="3456"/>
      <c r="X47" s="594"/>
      <c r="Y47" s="730"/>
      <c r="Z47" s="594"/>
      <c r="AA47" s="594"/>
      <c r="AB47" s="594"/>
      <c r="AC47" s="594"/>
    </row>
    <row r="48" spans="1:29" ht="15">
      <c r="A48" s="575" t="s">
        <v>971</v>
      </c>
      <c r="B48" s="576"/>
      <c r="C48" s="577">
        <f>R49</f>
        <v>10483</v>
      </c>
      <c r="D48" s="578"/>
      <c r="E48" s="579">
        <f>R48</f>
        <v>10800</v>
      </c>
      <c r="F48" s="579"/>
      <c r="G48" s="577">
        <f>T48</f>
        <v>9804</v>
      </c>
      <c r="H48" s="578"/>
      <c r="I48" s="579">
        <f>V48</f>
        <v>10846</v>
      </c>
      <c r="J48" s="578"/>
      <c r="K48" s="1000"/>
      <c r="L48" s="662"/>
      <c r="M48" s="583"/>
      <c r="N48" s="583"/>
      <c r="O48" s="583"/>
      <c r="P48" s="3369" t="str">
        <f>A48</f>
        <v>比较价格（元/平方米）</v>
      </c>
      <c r="Q48" s="3369"/>
      <c r="R48" s="3456">
        <f>IF(F1="售价",ROUND(PRODUCT(R47,AA7:AA46),0),ROUND(PRODUCT(R47,AA7:AA46),1))</f>
        <v>10800</v>
      </c>
      <c r="S48" s="3456"/>
      <c r="T48" s="3456">
        <f>IF(F1="售价",ROUND(PRODUCT(T47,AB7:AB46),0),ROUND(PRODUCT(T47,AB7:AB46),1))</f>
        <v>9804</v>
      </c>
      <c r="U48" s="3456"/>
      <c r="V48" s="3456">
        <f>IF(F1="售价",ROUND(PRODUCT(V47,AC7:AC46),0),ROUND(PRODUCT(V47,AC7:AC46),1))</f>
        <v>10846</v>
      </c>
      <c r="W48" s="3456"/>
      <c r="X48" s="594"/>
      <c r="Y48" s="594"/>
      <c r="Z48" s="594"/>
      <c r="AA48" s="594"/>
      <c r="AB48" s="594"/>
      <c r="AC48" s="594"/>
    </row>
    <row r="49" spans="1:29" ht="15">
      <c r="A49" s="580" t="s">
        <v>972</v>
      </c>
      <c r="B49" s="581"/>
      <c r="C49" s="582">
        <f>R49</f>
        <v>10483</v>
      </c>
      <c r="D49" s="582"/>
      <c r="E49" s="582"/>
      <c r="F49" s="582"/>
      <c r="G49" s="582"/>
      <c r="H49" s="582"/>
      <c r="I49" s="582"/>
      <c r="J49" s="582"/>
      <c r="K49" s="1001"/>
      <c r="L49" s="662"/>
      <c r="M49" s="583"/>
      <c r="N49" s="583"/>
      <c r="O49" s="583"/>
      <c r="P49" s="3375" t="str">
        <f>A49</f>
        <v>估价对象XX用房的比较价格（楼面单价，元/平方米）</v>
      </c>
      <c r="Q49" s="3376"/>
      <c r="R49" s="3458">
        <f>IF(F1="售价",ROUND(AVERAGE(R48:V48),0),ROUND(AVERAGE(R48:V48),1))</f>
        <v>10483</v>
      </c>
      <c r="S49" s="3458"/>
      <c r="T49" s="3458"/>
      <c r="U49" s="3458"/>
      <c r="V49" s="3458"/>
      <c r="W49" s="3458"/>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5">
      <c r="A60" s="605" t="s">
        <v>1177</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7">
      <c r="A65" s="616"/>
      <c r="B65" s="619" t="s">
        <v>1003</v>
      </c>
      <c r="C65" s="620" t="s">
        <v>2181</v>
      </c>
      <c r="D65" s="620" t="s">
        <v>2182</v>
      </c>
      <c r="E65" s="620" t="s">
        <v>2183</v>
      </c>
      <c r="F65" s="620" t="s">
        <v>2184</v>
      </c>
      <c r="G65" s="620" t="s">
        <v>2185</v>
      </c>
      <c r="H65" s="620" t="s">
        <v>2186</v>
      </c>
      <c r="I65" s="620" t="s">
        <v>2187</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2162</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31" t="s">
        <v>2163</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5">
      <c r="A88" s="735"/>
      <c r="B88" s="619" t="s">
        <v>2164</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ht="15">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ht="15">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ht="15">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1010</v>
      </c>
      <c r="B100" s="613" t="s">
        <v>2166</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8.5">
      <c r="A102" s="616"/>
      <c r="B102" s="619" t="s">
        <v>2167</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c r="A105" s="738"/>
      <c r="B105" s="619" t="s">
        <v>2168</v>
      </c>
      <c r="C105" s="936" t="s">
        <v>2141</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c r="A107" s="738"/>
      <c r="B107" s="619" t="s">
        <v>2169</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c r="A109" s="738"/>
      <c r="B109" s="619" t="s">
        <v>2170</v>
      </c>
      <c r="C109" s="936" t="s">
        <v>2171</v>
      </c>
      <c r="D109" s="936" t="s">
        <v>2188</v>
      </c>
      <c r="E109" s="936" t="s">
        <v>2189</v>
      </c>
      <c r="F109" s="939" t="s">
        <v>2179</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ht="15">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c r="A111" s="740"/>
      <c r="B111" s="619" t="s">
        <v>2172</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c r="A114" s="738"/>
      <c r="B114" s="619" t="s">
        <v>2173</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c r="A116" s="738"/>
      <c r="B116" s="631" t="s">
        <v>2174</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2175</v>
      </c>
      <c r="C118" s="734" t="s">
        <v>2176</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ht="15">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7.75">
      <c r="A120" s="740"/>
      <c r="B120" s="619" t="s">
        <v>2177</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c r="A122" s="738"/>
      <c r="B122" s="619" t="s">
        <v>2178</v>
      </c>
      <c r="C122" s="936" t="s">
        <v>2171</v>
      </c>
      <c r="D122" s="936" t="s">
        <v>2188</v>
      </c>
      <c r="E122" s="936" t="s">
        <v>2189</v>
      </c>
      <c r="F122" s="939" t="s">
        <v>2179</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7">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1012" t="s">
        <v>2190</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1014" t="s">
        <v>2191</v>
      </c>
      <c r="C137" s="1015"/>
      <c r="D137" s="1015"/>
      <c r="E137" s="1015"/>
      <c r="F137" s="1015"/>
      <c r="G137" s="1016"/>
      <c r="H137" s="1017"/>
      <c r="I137" s="1045" t="s">
        <v>2192</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1018"/>
      <c r="C138" s="1019" t="s">
        <v>2193</v>
      </c>
      <c r="D138" s="1019" t="s">
        <v>2194</v>
      </c>
      <c r="E138" s="1020" t="s">
        <v>515</v>
      </c>
      <c r="F138" s="1021" t="s">
        <v>2195</v>
      </c>
      <c r="G138" s="1019" t="s">
        <v>2194</v>
      </c>
      <c r="H138" s="1022" t="s">
        <v>515</v>
      </c>
      <c r="I138" s="1047"/>
      <c r="J138" s="1019" t="s">
        <v>2196</v>
      </c>
      <c r="K138" s="1022" t="s">
        <v>2197</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2198</v>
      </c>
      <c r="E139" s="1026">
        <v>100</v>
      </c>
      <c r="F139" s="1027">
        <v>102.5</v>
      </c>
      <c r="G139" s="1025" t="s">
        <v>2198</v>
      </c>
      <c r="H139" s="1028">
        <v>105</v>
      </c>
      <c r="I139" s="1048" t="s">
        <v>2199</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
      <c r="A140" s="742"/>
      <c r="B140" s="1029">
        <v>5</v>
      </c>
      <c r="C140" s="1030">
        <v>100</v>
      </c>
      <c r="D140" s="1031"/>
      <c r="E140" s="1032"/>
      <c r="F140" s="1033">
        <v>102</v>
      </c>
      <c r="G140" s="1031"/>
      <c r="H140" s="1034"/>
      <c r="I140" s="1050" t="s">
        <v>2200</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
      <c r="A141" s="742"/>
      <c r="B141" s="1029">
        <v>4</v>
      </c>
      <c r="C141" s="1030">
        <v>102</v>
      </c>
      <c r="D141" s="1031"/>
      <c r="E141" s="1032"/>
      <c r="F141" s="1033">
        <v>101.5</v>
      </c>
      <c r="G141" s="1031"/>
      <c r="H141" s="1034"/>
      <c r="I141" s="1050" t="s">
        <v>2201</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
      <c r="A142" s="742"/>
      <c r="B142" s="1029">
        <v>3</v>
      </c>
      <c r="C142" s="1030">
        <v>103</v>
      </c>
      <c r="D142" s="1031"/>
      <c r="E142" s="1032"/>
      <c r="F142" s="1033">
        <v>101</v>
      </c>
      <c r="G142" s="1031"/>
      <c r="H142" s="1034"/>
      <c r="I142" s="1050" t="s">
        <v>2202</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
      <c r="A143" s="742"/>
      <c r="B143" s="1029">
        <v>2</v>
      </c>
      <c r="C143" s="1030">
        <v>100</v>
      </c>
      <c r="D143" s="1031"/>
      <c r="E143" s="1032"/>
      <c r="F143" s="1033">
        <v>100.5</v>
      </c>
      <c r="G143" s="1031"/>
      <c r="H143" s="1034"/>
      <c r="I143" s="1050" t="s">
        <v>1323</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2203</v>
      </c>
      <c r="E144" s="1032">
        <v>102</v>
      </c>
      <c r="F144" s="1036">
        <v>100</v>
      </c>
      <c r="G144" s="1035" t="s">
        <v>2203</v>
      </c>
      <c r="H144" s="1034">
        <v>105</v>
      </c>
      <c r="I144" s="1050" t="s">
        <v>1323</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
      <c r="A145" s="742"/>
      <c r="B145" s="1037" t="s">
        <v>2204</v>
      </c>
      <c r="C145" s="1038">
        <f>ROUND(MAX(C139:C144)/MIN(C139:C144)-1,3)</f>
        <v>7.2999999999999995E-2</v>
      </c>
      <c r="D145" s="1039"/>
      <c r="E145" s="1039"/>
      <c r="F145" s="1040" t="s">
        <v>2205</v>
      </c>
      <c r="G145" s="1041"/>
      <c r="H145" s="1042"/>
      <c r="I145" s="1053" t="s">
        <v>1323</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1043" t="s">
        <v>2206</v>
      </c>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1043" t="s">
        <v>2207</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0 E40 G40 I40">
      <formula1>住宅房型</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selection activeCell="B23" sqref="B23:S25"/>
    </sheetView>
  </sheetViews>
  <sheetFormatPr defaultColWidth="9" defaultRowHeight="12.75"/>
  <cols>
    <col min="1" max="1" width="11.5" style="275" customWidth="1"/>
    <col min="2" max="2" width="9.25" style="276" customWidth="1"/>
    <col min="3" max="3" width="5" style="276" customWidth="1"/>
    <col min="4" max="4" width="0" style="276" hidden="1" customWidth="1"/>
    <col min="5" max="5" width="8.25" style="276" hidden="1" customWidth="1"/>
    <col min="6" max="6" width="9" style="276"/>
    <col min="7" max="7" width="9.125" style="276" customWidth="1"/>
    <col min="8" max="8" width="0" style="276" hidden="1" customWidth="1"/>
    <col min="9" max="9" width="5" style="276" hidden="1" customWidth="1"/>
    <col min="10" max="10" width="0" style="276" hidden="1" customWidth="1"/>
    <col min="11" max="11" width="5" style="276" hidden="1" customWidth="1"/>
    <col min="12" max="12" width="0" style="276" hidden="1" customWidth="1"/>
    <col min="13" max="13" width="5" style="276" hidden="1" customWidth="1"/>
    <col min="14" max="14" width="0" style="276" hidden="1" customWidth="1"/>
    <col min="15" max="15" width="5" style="276" hidden="1" customWidth="1"/>
    <col min="16" max="16" width="0" style="276" hidden="1" customWidth="1"/>
    <col min="17" max="17" width="5" style="276" hidden="1" customWidth="1"/>
    <col min="18" max="18" width="9" style="277"/>
    <col min="19" max="19" width="9" style="275"/>
    <col min="20" max="35" width="9" style="269"/>
    <col min="36" max="16384" width="9" style="275"/>
  </cols>
  <sheetData>
    <row r="1" spans="1:45" s="269" customFormat="1" ht="14.25" customHeight="1">
      <c r="A1" s="278"/>
      <c r="B1" s="279" t="s">
        <v>2208</v>
      </c>
      <c r="C1" s="3459" t="s">
        <v>2209</v>
      </c>
      <c r="D1" s="3460"/>
      <c r="E1" s="3460"/>
      <c r="F1" s="3460"/>
      <c r="G1" s="3460"/>
      <c r="H1" s="3460"/>
      <c r="I1" s="3460"/>
      <c r="J1" s="3460"/>
      <c r="K1" s="3460"/>
      <c r="L1" s="3460"/>
      <c r="M1" s="3460"/>
      <c r="N1" s="3460"/>
      <c r="O1" s="3460"/>
      <c r="P1" s="3460"/>
      <c r="Q1" s="3460"/>
      <c r="R1" s="3460"/>
      <c r="S1" s="3461"/>
      <c r="T1" s="279" t="s">
        <v>2210</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25.5">
      <c r="A2" s="280"/>
      <c r="B2" s="281" t="s">
        <v>2211</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2440</v>
      </c>
      <c r="C5" s="3178"/>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24.75">
      <c r="A7" s="292"/>
      <c r="B7" s="3180" t="s">
        <v>2446</v>
      </c>
      <c r="C7" s="300" t="s">
        <v>2447</v>
      </c>
      <c r="D7" s="3181" t="s">
        <v>2448</v>
      </c>
      <c r="E7" s="3181"/>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2213</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2214</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2439</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2216</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2217</v>
      </c>
      <c r="B17" s="308" t="s">
        <v>1188</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2218</v>
      </c>
      <c r="B20" s="17">
        <f>S22</f>
        <v>215927</v>
      </c>
      <c r="C20" s="318"/>
      <c r="D20" s="318"/>
      <c r="E20" s="318"/>
      <c r="F20" s="318"/>
      <c r="G20" s="318"/>
      <c r="H20" s="318"/>
      <c r="I20" s="318"/>
      <c r="J20" s="318"/>
      <c r="K20" s="318"/>
      <c r="L20" s="318"/>
      <c r="M20" s="318"/>
      <c r="N20" s="318"/>
      <c r="O20" s="318"/>
      <c r="P20" s="318"/>
      <c r="Q20" s="318"/>
      <c r="R20" s="376"/>
      <c r="S20" s="377"/>
    </row>
    <row r="21" spans="1:45" ht="15.75">
      <c r="A21" s="319" t="s">
        <v>2219</v>
      </c>
      <c r="B21" s="17">
        <f>R22</f>
        <v>9957</v>
      </c>
      <c r="C21" s="318"/>
      <c r="D21" s="318"/>
      <c r="E21" s="318"/>
      <c r="F21" s="318"/>
      <c r="G21" s="318"/>
      <c r="H21" s="318"/>
      <c r="I21" s="318"/>
      <c r="J21" s="318"/>
      <c r="K21" s="318"/>
      <c r="L21" s="318"/>
      <c r="M21" s="318"/>
      <c r="N21" s="318"/>
      <c r="O21" s="318"/>
      <c r="P21" s="318"/>
      <c r="Q21" s="318"/>
      <c r="R21" s="376"/>
      <c r="S21" s="377"/>
    </row>
    <row r="22" spans="1:45">
      <c r="A22" s="51" t="s">
        <v>2220</v>
      </c>
      <c r="B22" s="79">
        <f>SUM(B24:B10000)</f>
        <v>216849.97</v>
      </c>
      <c r="C22" s="3462" t="s">
        <v>138</v>
      </c>
      <c r="D22" s="3463"/>
      <c r="E22" s="3463"/>
      <c r="F22" s="3463"/>
      <c r="G22" s="3463"/>
      <c r="H22" s="3463"/>
      <c r="I22" s="3463"/>
      <c r="J22" s="3463"/>
      <c r="K22" s="3463"/>
      <c r="L22" s="3463"/>
      <c r="M22" s="3463"/>
      <c r="N22" s="3463"/>
      <c r="O22" s="3463"/>
      <c r="P22" s="3463"/>
      <c r="Q22" s="3464"/>
      <c r="R22" s="379">
        <f>ROUND(S22*10000/B22,0)</f>
        <v>9957</v>
      </c>
      <c r="S22" s="79">
        <f>SUM(S24:S10000)</f>
        <v>215927</v>
      </c>
    </row>
    <row r="23" spans="1:45" s="273" customFormat="1" ht="24">
      <c r="A23" s="321" t="s">
        <v>2221</v>
      </c>
      <c r="B23" s="321" t="s">
        <v>443</v>
      </c>
      <c r="C23" s="321" t="s">
        <v>1248</v>
      </c>
      <c r="D23" s="321" t="str">
        <f>B5</f>
        <v>修正项2</v>
      </c>
      <c r="E23" s="321" t="s">
        <v>1248</v>
      </c>
      <c r="F23" s="321" t="str">
        <f>B7</f>
        <v>公寓类型</v>
      </c>
      <c r="G23" s="321" t="s">
        <v>1248</v>
      </c>
      <c r="H23" s="321" t="str">
        <f>B9</f>
        <v>修正项4</v>
      </c>
      <c r="I23" s="321" t="s">
        <v>1248</v>
      </c>
      <c r="J23" s="321" t="str">
        <f>B11</f>
        <v>修正项5</v>
      </c>
      <c r="K23" s="321" t="s">
        <v>1248</v>
      </c>
      <c r="L23" s="321" t="str">
        <f>B13</f>
        <v>修正项6</v>
      </c>
      <c r="M23" s="321" t="s">
        <v>1248</v>
      </c>
      <c r="N23" s="321" t="str">
        <f>B15</f>
        <v>修正项7</v>
      </c>
      <c r="O23" s="321" t="s">
        <v>1248</v>
      </c>
      <c r="P23" s="321" t="str">
        <f>B17</f>
        <v>楼层</v>
      </c>
      <c r="Q23" s="321" t="s">
        <v>1248</v>
      </c>
      <c r="R23" s="380" t="s">
        <v>2222</v>
      </c>
      <c r="S23" s="321" t="s">
        <v>2223</v>
      </c>
      <c r="T23" s="381"/>
      <c r="U23" s="381"/>
      <c r="V23" s="381"/>
      <c r="W23" s="381"/>
      <c r="X23" s="381"/>
      <c r="Y23" s="381"/>
      <c r="Z23" s="381"/>
      <c r="AA23" s="381"/>
      <c r="AB23" s="381"/>
      <c r="AC23" s="381"/>
      <c r="AD23" s="381"/>
      <c r="AE23" s="381"/>
      <c r="AF23" s="381"/>
      <c r="AG23" s="381"/>
      <c r="AH23" s="381"/>
      <c r="AI23" s="381"/>
    </row>
    <row r="24" spans="1:45" s="274" customFormat="1">
      <c r="A24" s="322" t="s">
        <v>2224</v>
      </c>
      <c r="B24" s="322">
        <f>面积表!F23</f>
        <v>108103.09</v>
      </c>
      <c r="C24" s="323">
        <v>1</v>
      </c>
      <c r="D24" s="324"/>
      <c r="E24" s="323">
        <v>1</v>
      </c>
      <c r="F24" s="324" t="s">
        <v>511</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509</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c r="C26" s="79">
        <f t="shared" ref="C26:C89" si="12">IF(B26="",1,(LOOKUP(B26,$3:$3,$4:$4)-LOOKUP($B$24,$3:$3,$4:$4)+100)/100)</f>
        <v>1</v>
      </c>
      <c r="D26" s="324"/>
      <c r="E26" s="79">
        <f t="shared" ref="E26:E89" si="13">(SUMIF($5:$5,D26,$6:$6)-SUMIF($5:$5,$D$24,$6:$6)+100)/100</f>
        <v>1</v>
      </c>
      <c r="F26" s="324"/>
      <c r="G26" s="79">
        <f t="shared" ref="G26:G89" si="14">(SUMIF($7:$7,F26,$8:$8)-SUMIF($7:$7,$F$24,$8:$8)+100)/100</f>
        <v>0</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0</v>
      </c>
      <c r="S26" s="51">
        <f t="shared" si="11"/>
        <v>0</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79" sqref="P79"/>
    </sheetView>
  </sheetViews>
  <sheetFormatPr defaultColWidth="9" defaultRowHeight="13.5"/>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94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2225</v>
      </c>
      <c r="C1" s="465" t="s">
        <v>2155</v>
      </c>
      <c r="D1" s="466"/>
      <c r="E1" s="467"/>
      <c r="F1" s="468"/>
      <c r="G1" s="469" t="s">
        <v>2157</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2158</v>
      </c>
      <c r="B3" s="475" t="e">
        <f>C50</f>
        <v>#DIV/0!</v>
      </c>
      <c r="C3" s="476" t="s">
        <v>2159</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5">
      <c r="A4" s="478" t="s">
        <v>930</v>
      </c>
      <c r="B4" s="479"/>
      <c r="C4" s="3358" t="s">
        <v>931</v>
      </c>
      <c r="D4" s="3359"/>
      <c r="E4" s="3399" t="s">
        <v>932</v>
      </c>
      <c r="F4" s="3400"/>
      <c r="G4" s="3358" t="s">
        <v>933</v>
      </c>
      <c r="H4" s="3359"/>
      <c r="I4" s="3358" t="s">
        <v>934</v>
      </c>
      <c r="J4" s="3359"/>
      <c r="K4" s="640" t="s">
        <v>935</v>
      </c>
      <c r="L4" s="641"/>
      <c r="M4" s="642"/>
      <c r="N4" s="642"/>
      <c r="O4" s="642"/>
      <c r="P4" s="3466" t="s">
        <v>936</v>
      </c>
      <c r="Q4" s="3387"/>
      <c r="R4" s="3392" t="s">
        <v>932</v>
      </c>
      <c r="S4" s="3393"/>
      <c r="T4" s="3392" t="s">
        <v>933</v>
      </c>
      <c r="U4" s="3393"/>
      <c r="V4" s="3378" t="s">
        <v>934</v>
      </c>
      <c r="W4" s="3378"/>
      <c r="X4" s="707"/>
      <c r="Y4" s="3392" t="s">
        <v>936</v>
      </c>
      <c r="Z4" s="3393"/>
      <c r="AA4" s="3379" t="s">
        <v>932</v>
      </c>
      <c r="AB4" s="3379" t="s">
        <v>933</v>
      </c>
      <c r="AC4" s="3379" t="s">
        <v>934</v>
      </c>
    </row>
    <row r="5" spans="1:29" ht="15">
      <c r="A5" s="480"/>
      <c r="B5" s="481"/>
      <c r="C5" s="3360" t="s">
        <v>937</v>
      </c>
      <c r="D5" s="3361"/>
      <c r="E5" s="3401" t="s">
        <v>1171</v>
      </c>
      <c r="F5" s="3402"/>
      <c r="G5" s="3360" t="s">
        <v>1172</v>
      </c>
      <c r="H5" s="3361"/>
      <c r="I5" s="3360" t="s">
        <v>1173</v>
      </c>
      <c r="J5" s="3361"/>
      <c r="K5" s="640"/>
      <c r="L5" s="641"/>
      <c r="M5" s="642"/>
      <c r="N5" s="642"/>
      <c r="O5" s="642"/>
      <c r="P5" s="3467"/>
      <c r="Q5" s="3389"/>
      <c r="R5" s="3394"/>
      <c r="S5" s="3395"/>
      <c r="T5" s="3394"/>
      <c r="U5" s="3395"/>
      <c r="V5" s="3378"/>
      <c r="W5" s="3378"/>
      <c r="X5" s="707"/>
      <c r="Y5" s="3394"/>
      <c r="Z5" s="3395"/>
      <c r="AA5" s="3380"/>
      <c r="AB5" s="3380"/>
      <c r="AC5" s="3380"/>
    </row>
    <row r="6" spans="1:29" ht="15">
      <c r="A6" s="482"/>
      <c r="B6" s="483"/>
      <c r="C6" s="3364" t="s">
        <v>938</v>
      </c>
      <c r="D6" s="3365"/>
      <c r="E6" s="3403" t="s">
        <v>938</v>
      </c>
      <c r="F6" s="3404"/>
      <c r="G6" s="3364" t="s">
        <v>938</v>
      </c>
      <c r="H6" s="3365"/>
      <c r="I6" s="3364" t="s">
        <v>938</v>
      </c>
      <c r="J6" s="3365"/>
      <c r="K6" s="640" t="s">
        <v>939</v>
      </c>
      <c r="L6" s="641"/>
      <c r="M6" s="642"/>
      <c r="N6" s="642"/>
      <c r="O6" s="642"/>
      <c r="P6" s="3468"/>
      <c r="Q6" s="3391"/>
      <c r="R6" s="3394"/>
      <c r="S6" s="3395"/>
      <c r="T6" s="3396"/>
      <c r="U6" s="3397"/>
      <c r="V6" s="3378"/>
      <c r="W6" s="3378"/>
      <c r="X6" s="707"/>
      <c r="Y6" s="3396"/>
      <c r="Z6" s="3397"/>
      <c r="AA6" s="3381"/>
      <c r="AB6" s="3381"/>
      <c r="AC6" s="3381"/>
    </row>
    <row r="7" spans="1:29" s="455" customFormat="1" ht="15">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67" t="s">
        <v>941</v>
      </c>
      <c r="Q7" s="3367"/>
      <c r="R7" s="708" t="s">
        <v>942</v>
      </c>
      <c r="S7" s="709">
        <f t="shared" ref="S7:S15" si="0">F7</f>
        <v>0</v>
      </c>
      <c r="T7" s="708" t="s">
        <v>942</v>
      </c>
      <c r="U7" s="709">
        <f t="shared" ref="U7:U15" si="1">H7</f>
        <v>0</v>
      </c>
      <c r="V7" s="708" t="s">
        <v>942</v>
      </c>
      <c r="W7" s="709">
        <f t="shared" ref="W7:W15" si="2">J7</f>
        <v>0</v>
      </c>
      <c r="X7" s="710"/>
      <c r="Y7" s="3366" t="s">
        <v>941</v>
      </c>
      <c r="Z7" s="3398"/>
      <c r="AA7" s="727" t="e">
        <f>D7/F7</f>
        <v>#DIV/0!</v>
      </c>
      <c r="AB7" s="727" t="e">
        <f>D7/H7</f>
        <v>#DIV/0!</v>
      </c>
      <c r="AC7" s="727" t="e">
        <f>D7/J7</f>
        <v>#DIV/0!</v>
      </c>
    </row>
    <row r="8" spans="1:29" s="455" customFormat="1" ht="15">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67" t="s">
        <v>945</v>
      </c>
      <c r="Q8" s="3398"/>
      <c r="R8" s="708" t="s">
        <v>942</v>
      </c>
      <c r="S8" s="709">
        <f t="shared" si="0"/>
        <v>0</v>
      </c>
      <c r="T8" s="708" t="s">
        <v>942</v>
      </c>
      <c r="U8" s="709">
        <f t="shared" si="1"/>
        <v>0</v>
      </c>
      <c r="V8" s="708" t="s">
        <v>942</v>
      </c>
      <c r="W8" s="709">
        <f t="shared" si="2"/>
        <v>0</v>
      </c>
      <c r="X8" s="710"/>
      <c r="Y8" s="3366" t="s">
        <v>945</v>
      </c>
      <c r="Z8" s="3398"/>
      <c r="AA8" s="727" t="e">
        <f t="shared" ref="AA8:AA47" si="3">D8/F8</f>
        <v>#DIV/0!</v>
      </c>
      <c r="AB8" s="727" t="e">
        <f t="shared" ref="AB8:AB47" si="4">D8/H8</f>
        <v>#DIV/0!</v>
      </c>
      <c r="AC8" s="727" t="e">
        <f t="shared" ref="AC8:AC47" si="5">D8/J8</f>
        <v>#DIV/0!</v>
      </c>
    </row>
    <row r="9" spans="1:29" s="455" customFormat="1" ht="15">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69" t="s">
        <v>948</v>
      </c>
      <c r="Q9" s="711" t="str">
        <f t="shared" ref="Q9:Q15" si="6">B9</f>
        <v>用途</v>
      </c>
      <c r="R9" s="708" t="s">
        <v>942</v>
      </c>
      <c r="S9" s="709">
        <f t="shared" si="0"/>
        <v>100</v>
      </c>
      <c r="T9" s="708" t="s">
        <v>942</v>
      </c>
      <c r="U9" s="709">
        <f t="shared" si="1"/>
        <v>100</v>
      </c>
      <c r="V9" s="708" t="s">
        <v>942</v>
      </c>
      <c r="W9" s="709">
        <f t="shared" si="2"/>
        <v>100</v>
      </c>
      <c r="X9" s="710"/>
      <c r="Y9" s="3357" t="s">
        <v>949</v>
      </c>
      <c r="Z9" s="728" t="str">
        <f t="shared" ref="Z9:Z15" si="7">Q9</f>
        <v>用途</v>
      </c>
      <c r="AA9" s="727">
        <f t="shared" si="3"/>
        <v>1</v>
      </c>
      <c r="AB9" s="727">
        <f t="shared" si="4"/>
        <v>1</v>
      </c>
      <c r="AC9" s="727">
        <f t="shared" si="5"/>
        <v>1</v>
      </c>
    </row>
    <row r="10" spans="1:29" s="456" customFormat="1" ht="27">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69"/>
      <c r="Q10" s="711" t="str">
        <f t="shared" si="6"/>
        <v>土地使用年限（年）</v>
      </c>
      <c r="R10" s="708" t="s">
        <v>942</v>
      </c>
      <c r="S10" s="709">
        <f t="shared" si="0"/>
        <v>100</v>
      </c>
      <c r="T10" s="708" t="s">
        <v>942</v>
      </c>
      <c r="U10" s="709">
        <f t="shared" si="1"/>
        <v>100</v>
      </c>
      <c r="V10" s="708" t="s">
        <v>942</v>
      </c>
      <c r="W10" s="709">
        <f t="shared" si="2"/>
        <v>100</v>
      </c>
      <c r="X10" s="710"/>
      <c r="Y10" s="3357"/>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69"/>
      <c r="Q11" s="711" t="str">
        <f t="shared" si="6"/>
        <v>容积率</v>
      </c>
      <c r="R11" s="708" t="s">
        <v>942</v>
      </c>
      <c r="S11" s="709" t="e">
        <f t="shared" si="0"/>
        <v>#N/A</v>
      </c>
      <c r="T11" s="708" t="s">
        <v>942</v>
      </c>
      <c r="U11" s="709" t="e">
        <f t="shared" si="1"/>
        <v>#N/A</v>
      </c>
      <c r="V11" s="708" t="s">
        <v>942</v>
      </c>
      <c r="W11" s="709" t="e">
        <f t="shared" si="2"/>
        <v>#N/A</v>
      </c>
      <c r="X11" s="710"/>
      <c r="Y11" s="3357"/>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69"/>
      <c r="Q14" s="711">
        <f t="shared" si="6"/>
        <v>111</v>
      </c>
      <c r="R14" s="708" t="s">
        <v>942</v>
      </c>
      <c r="S14" s="709">
        <f t="shared" si="0"/>
        <v>100</v>
      </c>
      <c r="T14" s="708" t="s">
        <v>942</v>
      </c>
      <c r="U14" s="709">
        <f t="shared" si="1"/>
        <v>100</v>
      </c>
      <c r="V14" s="708" t="s">
        <v>942</v>
      </c>
      <c r="W14" s="709">
        <f t="shared" si="2"/>
        <v>100</v>
      </c>
      <c r="X14" s="710"/>
      <c r="Y14" s="3357"/>
      <c r="Z14" s="728">
        <f t="shared" si="7"/>
        <v>111</v>
      </c>
      <c r="AA14" s="727">
        <f t="shared" si="3"/>
        <v>1</v>
      </c>
      <c r="AB14" s="727">
        <f t="shared" si="4"/>
        <v>1</v>
      </c>
      <c r="AC14" s="727">
        <f t="shared" si="5"/>
        <v>1</v>
      </c>
    </row>
    <row r="15" spans="1:29" ht="71.25">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70" t="s">
        <v>955</v>
      </c>
      <c r="Q15" s="647" t="str">
        <f t="shared" si="6"/>
        <v>办公集聚程度</v>
      </c>
      <c r="R15" s="712" t="s">
        <v>942</v>
      </c>
      <c r="S15" s="713">
        <f t="shared" si="0"/>
        <v>100</v>
      </c>
      <c r="T15" s="712" t="s">
        <v>942</v>
      </c>
      <c r="U15" s="713">
        <f t="shared" si="1"/>
        <v>100</v>
      </c>
      <c r="V15" s="712" t="s">
        <v>942</v>
      </c>
      <c r="W15" s="713">
        <f t="shared" si="2"/>
        <v>100</v>
      </c>
      <c r="X15" s="707"/>
      <c r="Y15" s="3370"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71"/>
      <c r="Q16" s="647"/>
      <c r="R16" s="712"/>
      <c r="S16" s="713"/>
      <c r="T16" s="712"/>
      <c r="U16" s="713"/>
      <c r="V16" s="712"/>
      <c r="W16" s="713"/>
      <c r="X16" s="707"/>
      <c r="Y16" s="3371"/>
      <c r="Z16" s="706"/>
      <c r="AA16" s="718">
        <v>1</v>
      </c>
      <c r="AB16" s="718">
        <v>1</v>
      </c>
      <c r="AC16" s="718">
        <v>1</v>
      </c>
    </row>
    <row r="17" spans="1:29" ht="85.5">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71"/>
      <c r="Q17" s="647" t="str">
        <f>B17</f>
        <v>交通便捷度</v>
      </c>
      <c r="R17" s="712" t="s">
        <v>942</v>
      </c>
      <c r="S17" s="713">
        <f>F17</f>
        <v>100</v>
      </c>
      <c r="T17" s="712" t="s">
        <v>942</v>
      </c>
      <c r="U17" s="713">
        <f>H17</f>
        <v>100</v>
      </c>
      <c r="V17" s="712" t="s">
        <v>942</v>
      </c>
      <c r="W17" s="713">
        <f>J17</f>
        <v>100</v>
      </c>
      <c r="X17" s="707"/>
      <c r="Y17" s="3371"/>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71"/>
      <c r="Q18" s="647"/>
      <c r="R18" s="712"/>
      <c r="S18" s="713"/>
      <c r="T18" s="712"/>
      <c r="U18" s="713"/>
      <c r="V18" s="712"/>
      <c r="W18" s="713"/>
      <c r="X18" s="707"/>
      <c r="Y18" s="3371"/>
      <c r="Z18" s="706"/>
      <c r="AA18" s="718">
        <v>1</v>
      </c>
      <c r="AB18" s="718">
        <v>1</v>
      </c>
      <c r="AC18" s="718">
        <v>1</v>
      </c>
    </row>
    <row r="19" spans="1:29" ht="42.75">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71"/>
      <c r="Q19" s="647" t="str">
        <f>B19</f>
        <v>公共配套设施</v>
      </c>
      <c r="R19" s="712" t="s">
        <v>942</v>
      </c>
      <c r="S19" s="713">
        <f>F19</f>
        <v>100</v>
      </c>
      <c r="T19" s="712" t="s">
        <v>942</v>
      </c>
      <c r="U19" s="713">
        <f>H19</f>
        <v>100</v>
      </c>
      <c r="V19" s="712" t="s">
        <v>942</v>
      </c>
      <c r="W19" s="713">
        <f>J19</f>
        <v>100</v>
      </c>
      <c r="X19" s="707"/>
      <c r="Y19" s="3371"/>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71"/>
      <c r="Q20" s="647"/>
      <c r="R20" s="712"/>
      <c r="S20" s="713"/>
      <c r="T20" s="712"/>
      <c r="U20" s="713"/>
      <c r="V20" s="712"/>
      <c r="W20" s="713"/>
      <c r="X20" s="707"/>
      <c r="Y20" s="3371"/>
      <c r="Z20" s="706"/>
      <c r="AA20" s="718">
        <v>1</v>
      </c>
      <c r="AB20" s="718">
        <v>1</v>
      </c>
      <c r="AC20" s="718">
        <v>1</v>
      </c>
    </row>
    <row r="21" spans="1:29" ht="28.5">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71"/>
      <c r="Q21" s="647" t="str">
        <f>B21</f>
        <v>基础设施水平</v>
      </c>
      <c r="R21" s="712" t="s">
        <v>942</v>
      </c>
      <c r="S21" s="713">
        <f>F21</f>
        <v>100</v>
      </c>
      <c r="T21" s="712" t="s">
        <v>942</v>
      </c>
      <c r="U21" s="713">
        <f>H21</f>
        <v>100</v>
      </c>
      <c r="V21" s="712" t="s">
        <v>942</v>
      </c>
      <c r="W21" s="713">
        <f>J21</f>
        <v>100</v>
      </c>
      <c r="X21" s="707"/>
      <c r="Y21" s="3371"/>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71"/>
      <c r="Q22" s="647"/>
      <c r="R22" s="712"/>
      <c r="S22" s="713"/>
      <c r="T22" s="712"/>
      <c r="U22" s="713"/>
      <c r="V22" s="712"/>
      <c r="W22" s="713"/>
      <c r="X22" s="707"/>
      <c r="Y22" s="3371"/>
      <c r="Z22" s="706"/>
      <c r="AA22" s="718">
        <v>1</v>
      </c>
      <c r="AB22" s="718">
        <v>1</v>
      </c>
      <c r="AC22" s="718">
        <v>1</v>
      </c>
    </row>
    <row r="23" spans="1:29" ht="57">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71"/>
      <c r="Q23" s="647" t="str">
        <f>B23</f>
        <v>环境质量</v>
      </c>
      <c r="R23" s="712" t="s">
        <v>942</v>
      </c>
      <c r="S23" s="713">
        <f>F23</f>
        <v>100</v>
      </c>
      <c r="T23" s="712" t="s">
        <v>942</v>
      </c>
      <c r="U23" s="713">
        <f>H23</f>
        <v>100</v>
      </c>
      <c r="V23" s="712" t="s">
        <v>942</v>
      </c>
      <c r="W23" s="713">
        <f>J23</f>
        <v>100</v>
      </c>
      <c r="X23" s="707"/>
      <c r="Y23" s="3371"/>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71"/>
      <c r="Q24" s="647"/>
      <c r="R24" s="712"/>
      <c r="S24" s="713"/>
      <c r="T24" s="712"/>
      <c r="U24" s="713"/>
      <c r="V24" s="712"/>
      <c r="W24" s="713"/>
      <c r="X24" s="707"/>
      <c r="Y24" s="3371"/>
      <c r="Z24" s="706"/>
      <c r="AA24" s="718">
        <v>1</v>
      </c>
      <c r="AB24" s="718">
        <v>1</v>
      </c>
      <c r="AC24" s="718">
        <v>1</v>
      </c>
    </row>
    <row r="25" spans="1:29" ht="27">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71"/>
      <c r="Q25" s="647" t="str">
        <f>B25</f>
        <v>毗邻道路的类型与等级</v>
      </c>
      <c r="R25" s="712" t="s">
        <v>942</v>
      </c>
      <c r="S25" s="713">
        <f>F25</f>
        <v>100</v>
      </c>
      <c r="T25" s="712" t="s">
        <v>942</v>
      </c>
      <c r="U25" s="713">
        <f>H25</f>
        <v>100</v>
      </c>
      <c r="V25" s="712" t="s">
        <v>942</v>
      </c>
      <c r="W25" s="713">
        <f>J25</f>
        <v>100</v>
      </c>
      <c r="X25" s="707"/>
      <c r="Y25" s="3371"/>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71"/>
      <c r="Q26" s="647"/>
      <c r="R26" s="712"/>
      <c r="S26" s="713"/>
      <c r="T26" s="712"/>
      <c r="U26" s="713"/>
      <c r="V26" s="712"/>
      <c r="W26" s="713"/>
      <c r="X26" s="707"/>
      <c r="Y26" s="3371"/>
      <c r="Z26" s="706"/>
      <c r="AA26" s="718">
        <v>1</v>
      </c>
      <c r="AB26" s="718">
        <v>1</v>
      </c>
      <c r="AC26" s="718">
        <v>1</v>
      </c>
    </row>
    <row r="27" spans="1:29" ht="15">
      <c r="A27" s="519"/>
      <c r="B27" s="531" t="s">
        <v>2226</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71"/>
      <c r="Q27" s="647" t="str">
        <f t="shared" ref="Q27:Q47" si="11">B27</f>
        <v>楼层</v>
      </c>
      <c r="R27" s="712" t="s">
        <v>942</v>
      </c>
      <c r="S27" s="713">
        <f>F27</f>
        <v>100</v>
      </c>
      <c r="T27" s="712" t="s">
        <v>942</v>
      </c>
      <c r="U27" s="713">
        <f>H27</f>
        <v>100</v>
      </c>
      <c r="V27" s="712" t="s">
        <v>942</v>
      </c>
      <c r="W27" s="713">
        <f>J27</f>
        <v>100</v>
      </c>
      <c r="X27" s="707"/>
      <c r="Y27" s="3371"/>
      <c r="Z27" s="706" t="str">
        <f>Q27</f>
        <v>楼层</v>
      </c>
      <c r="AA27" s="718">
        <f t="shared" si="3"/>
        <v>1</v>
      </c>
      <c r="AB27" s="718">
        <f t="shared" si="4"/>
        <v>1</v>
      </c>
      <c r="AC27" s="718">
        <f t="shared" si="5"/>
        <v>1</v>
      </c>
    </row>
    <row r="28" spans="1:29" s="455" customFormat="1" ht="15">
      <c r="A28" s="543"/>
      <c r="B28" s="764" t="s">
        <v>2164</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71"/>
      <c r="Q28" s="711" t="str">
        <f t="shared" si="11"/>
        <v>朝向</v>
      </c>
      <c r="R28" s="708" t="s">
        <v>942</v>
      </c>
      <c r="S28" s="709">
        <f>F28</f>
        <v>100</v>
      </c>
      <c r="T28" s="708" t="s">
        <v>942</v>
      </c>
      <c r="U28" s="709">
        <f>H28</f>
        <v>100</v>
      </c>
      <c r="V28" s="708" t="s">
        <v>942</v>
      </c>
      <c r="W28" s="709">
        <f>J28</f>
        <v>100</v>
      </c>
      <c r="X28" s="710"/>
      <c r="Y28" s="3371"/>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71"/>
      <c r="Q29" s="647">
        <f t="shared" si="11"/>
        <v>111</v>
      </c>
      <c r="R29" s="712" t="s">
        <v>942</v>
      </c>
      <c r="S29" s="713">
        <f t="shared" ref="S29:S47" si="12">F29</f>
        <v>100</v>
      </c>
      <c r="T29" s="712" t="s">
        <v>942</v>
      </c>
      <c r="U29" s="713">
        <f t="shared" ref="U29:U47" si="13">H29</f>
        <v>100</v>
      </c>
      <c r="V29" s="712" t="s">
        <v>942</v>
      </c>
      <c r="W29" s="713">
        <f t="shared" ref="W29:W47" si="14">J29</f>
        <v>100</v>
      </c>
      <c r="X29" s="707"/>
      <c r="Y29" s="3371"/>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71"/>
      <c r="Q30" s="647">
        <f t="shared" si="11"/>
        <v>111</v>
      </c>
      <c r="R30" s="712" t="s">
        <v>942</v>
      </c>
      <c r="S30" s="713">
        <f t="shared" si="12"/>
        <v>100</v>
      </c>
      <c r="T30" s="712" t="s">
        <v>942</v>
      </c>
      <c r="U30" s="713">
        <f t="shared" si="13"/>
        <v>100</v>
      </c>
      <c r="V30" s="712" t="s">
        <v>942</v>
      </c>
      <c r="W30" s="713">
        <f t="shared" si="14"/>
        <v>100</v>
      </c>
      <c r="X30" s="707"/>
      <c r="Y30" s="3371"/>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71"/>
      <c r="Q31" s="647">
        <f t="shared" si="11"/>
        <v>111</v>
      </c>
      <c r="R31" s="712" t="s">
        <v>942</v>
      </c>
      <c r="S31" s="713">
        <f t="shared" si="12"/>
        <v>100</v>
      </c>
      <c r="T31" s="712" t="s">
        <v>942</v>
      </c>
      <c r="U31" s="713">
        <f t="shared" si="13"/>
        <v>100</v>
      </c>
      <c r="V31" s="712" t="s">
        <v>942</v>
      </c>
      <c r="W31" s="713">
        <f t="shared" si="14"/>
        <v>100</v>
      </c>
      <c r="X31" s="707"/>
      <c r="Y31" s="3371"/>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71"/>
      <c r="Q32" s="647">
        <f t="shared" si="11"/>
        <v>111</v>
      </c>
      <c r="R32" s="712" t="s">
        <v>942</v>
      </c>
      <c r="S32" s="713">
        <f t="shared" si="12"/>
        <v>100</v>
      </c>
      <c r="T32" s="712" t="s">
        <v>942</v>
      </c>
      <c r="U32" s="713">
        <f t="shared" si="13"/>
        <v>100</v>
      </c>
      <c r="V32" s="712" t="s">
        <v>942</v>
      </c>
      <c r="W32" s="713">
        <f t="shared" si="14"/>
        <v>100</v>
      </c>
      <c r="X32" s="707"/>
      <c r="Y32" s="3371"/>
      <c r="Z32" s="706">
        <f t="shared" si="15"/>
        <v>111</v>
      </c>
      <c r="AA32" s="718">
        <f t="shared" si="3"/>
        <v>1</v>
      </c>
      <c r="AB32" s="718">
        <f t="shared" si="4"/>
        <v>1</v>
      </c>
      <c r="AC32" s="718">
        <f t="shared" si="5"/>
        <v>1</v>
      </c>
    </row>
    <row r="33" spans="1:29" ht="15">
      <c r="A33" s="547" t="s">
        <v>961</v>
      </c>
      <c r="B33" s="548" t="s">
        <v>2166</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72" t="s">
        <v>960</v>
      </c>
      <c r="Q33" s="647" t="str">
        <f t="shared" si="11"/>
        <v>建筑类型</v>
      </c>
      <c r="R33" s="712" t="s">
        <v>942</v>
      </c>
      <c r="S33" s="713">
        <f t="shared" si="12"/>
        <v>100</v>
      </c>
      <c r="T33" s="712" t="s">
        <v>942</v>
      </c>
      <c r="U33" s="713">
        <f t="shared" si="13"/>
        <v>100</v>
      </c>
      <c r="V33" s="712" t="s">
        <v>942</v>
      </c>
      <c r="W33" s="713">
        <f t="shared" si="14"/>
        <v>100</v>
      </c>
      <c r="X33" s="707"/>
      <c r="Y33" s="3373" t="s">
        <v>960</v>
      </c>
      <c r="Z33" s="706" t="str">
        <f t="shared" si="15"/>
        <v>建筑类型</v>
      </c>
      <c r="AA33" s="718">
        <f t="shared" si="3"/>
        <v>1</v>
      </c>
      <c r="AB33" s="718">
        <f t="shared" si="4"/>
        <v>1</v>
      </c>
      <c r="AC33" s="718">
        <f t="shared" si="5"/>
        <v>1</v>
      </c>
    </row>
    <row r="34" spans="1:29" s="457" customFormat="1" ht="15">
      <c r="A34" s="552"/>
      <c r="B34" s="553" t="s">
        <v>2167</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73"/>
      <c r="Q34" s="714" t="str">
        <f t="shared" si="11"/>
        <v>项目建筑规模</v>
      </c>
      <c r="R34" s="715" t="s">
        <v>942</v>
      </c>
      <c r="S34" s="716" t="e">
        <f t="shared" si="12"/>
        <v>#N/A</v>
      </c>
      <c r="T34" s="715" t="s">
        <v>942</v>
      </c>
      <c r="U34" s="716" t="e">
        <f t="shared" si="13"/>
        <v>#N/A</v>
      </c>
      <c r="V34" s="715" t="s">
        <v>942</v>
      </c>
      <c r="W34" s="716" t="e">
        <f t="shared" si="14"/>
        <v>#N/A</v>
      </c>
      <c r="X34" s="717"/>
      <c r="Y34" s="3373"/>
      <c r="Z34" s="729" t="str">
        <f t="shared" si="15"/>
        <v>项目建筑规模</v>
      </c>
      <c r="AA34" s="718" t="e">
        <f t="shared" si="3"/>
        <v>#N/A</v>
      </c>
      <c r="AB34" s="718" t="e">
        <f t="shared" si="4"/>
        <v>#N/A</v>
      </c>
      <c r="AC34" s="718" t="e">
        <f t="shared" si="5"/>
        <v>#N/A</v>
      </c>
    </row>
    <row r="35" spans="1:29" ht="15">
      <c r="A35" s="557"/>
      <c r="B35" s="553" t="s">
        <v>2168</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73"/>
      <c r="Q35" s="647" t="str">
        <f t="shared" si="11"/>
        <v>建筑结构</v>
      </c>
      <c r="R35" s="712" t="s">
        <v>942</v>
      </c>
      <c r="S35" s="713">
        <f t="shared" si="12"/>
        <v>100</v>
      </c>
      <c r="T35" s="712" t="s">
        <v>942</v>
      </c>
      <c r="U35" s="713">
        <f t="shared" si="13"/>
        <v>100</v>
      </c>
      <c r="V35" s="712" t="s">
        <v>942</v>
      </c>
      <c r="W35" s="713">
        <f t="shared" si="14"/>
        <v>100</v>
      </c>
      <c r="X35" s="707"/>
      <c r="Y35" s="3373"/>
      <c r="Z35" s="706" t="str">
        <f t="shared" si="15"/>
        <v>建筑结构</v>
      </c>
      <c r="AA35" s="718">
        <f t="shared" si="3"/>
        <v>1</v>
      </c>
      <c r="AB35" s="718">
        <f t="shared" si="4"/>
        <v>1</v>
      </c>
      <c r="AC35" s="718">
        <f t="shared" si="5"/>
        <v>1</v>
      </c>
    </row>
    <row r="36" spans="1:29" ht="15">
      <c r="A36" s="557"/>
      <c r="B36" s="553" t="s">
        <v>2170</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73"/>
      <c r="Q36" s="647" t="str">
        <f t="shared" si="11"/>
        <v>公共部分装修</v>
      </c>
      <c r="R36" s="712" t="s">
        <v>942</v>
      </c>
      <c r="S36" s="713">
        <f t="shared" si="12"/>
        <v>100</v>
      </c>
      <c r="T36" s="712" t="s">
        <v>942</v>
      </c>
      <c r="U36" s="713">
        <f t="shared" si="13"/>
        <v>100</v>
      </c>
      <c r="V36" s="712" t="s">
        <v>942</v>
      </c>
      <c r="W36" s="713">
        <f t="shared" si="14"/>
        <v>100</v>
      </c>
      <c r="X36" s="707"/>
      <c r="Y36" s="3373"/>
      <c r="Z36" s="706" t="str">
        <f t="shared" si="15"/>
        <v>公共部分装修</v>
      </c>
      <c r="AA36" s="718">
        <f t="shared" si="3"/>
        <v>1</v>
      </c>
      <c r="AB36" s="718">
        <f t="shared" si="4"/>
        <v>1</v>
      </c>
      <c r="AC36" s="718">
        <f t="shared" si="5"/>
        <v>1</v>
      </c>
    </row>
    <row r="37" spans="1:29" ht="15">
      <c r="A37" s="557"/>
      <c r="B37" s="553" t="s">
        <v>2172</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73"/>
      <c r="Q37" s="647" t="str">
        <f t="shared" si="11"/>
        <v>成新度</v>
      </c>
      <c r="R37" s="712" t="s">
        <v>942</v>
      </c>
      <c r="S37" s="713" t="e">
        <f t="shared" si="12"/>
        <v>#N/A</v>
      </c>
      <c r="T37" s="712" t="s">
        <v>942</v>
      </c>
      <c r="U37" s="713" t="e">
        <f t="shared" si="13"/>
        <v>#N/A</v>
      </c>
      <c r="V37" s="712" t="s">
        <v>942</v>
      </c>
      <c r="W37" s="713" t="e">
        <f t="shared" si="14"/>
        <v>#N/A</v>
      </c>
      <c r="X37" s="707"/>
      <c r="Y37" s="3373"/>
      <c r="Z37" s="706" t="str">
        <f t="shared" si="15"/>
        <v>成新度</v>
      </c>
      <c r="AA37" s="718" t="e">
        <f t="shared" si="3"/>
        <v>#N/A</v>
      </c>
      <c r="AB37" s="718" t="e">
        <f t="shared" si="4"/>
        <v>#N/A</v>
      </c>
      <c r="AC37" s="718" t="e">
        <f t="shared" si="5"/>
        <v>#N/A</v>
      </c>
    </row>
    <row r="38" spans="1:29" s="455" customFormat="1" ht="15">
      <c r="A38" s="560"/>
      <c r="B38" s="553" t="s">
        <v>2227</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73"/>
      <c r="Q38" s="711" t="str">
        <f t="shared" si="11"/>
        <v>写字楼等级</v>
      </c>
      <c r="R38" s="708" t="s">
        <v>942</v>
      </c>
      <c r="S38" s="709">
        <f t="shared" si="12"/>
        <v>100</v>
      </c>
      <c r="T38" s="708" t="s">
        <v>942</v>
      </c>
      <c r="U38" s="709">
        <f t="shared" si="13"/>
        <v>100</v>
      </c>
      <c r="V38" s="708" t="s">
        <v>942</v>
      </c>
      <c r="W38" s="709">
        <f t="shared" si="14"/>
        <v>100</v>
      </c>
      <c r="X38" s="710"/>
      <c r="Y38" s="3373"/>
      <c r="Z38" s="728" t="str">
        <f t="shared" si="15"/>
        <v>写字楼等级</v>
      </c>
      <c r="AA38" s="727">
        <f t="shared" si="3"/>
        <v>1</v>
      </c>
      <c r="AB38" s="727">
        <f t="shared" si="4"/>
        <v>1</v>
      </c>
      <c r="AC38" s="727">
        <f t="shared" si="5"/>
        <v>1</v>
      </c>
    </row>
    <row r="39" spans="1:29" ht="15">
      <c r="A39" s="557"/>
      <c r="B39" s="553" t="s">
        <v>2173</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73" t="s">
        <v>960</v>
      </c>
      <c r="Q39" s="647" t="str">
        <f t="shared" si="11"/>
        <v>物业管理</v>
      </c>
      <c r="R39" s="712" t="s">
        <v>942</v>
      </c>
      <c r="S39" s="713">
        <f t="shared" si="12"/>
        <v>100</v>
      </c>
      <c r="T39" s="712" t="s">
        <v>942</v>
      </c>
      <c r="U39" s="713">
        <f t="shared" si="13"/>
        <v>100</v>
      </c>
      <c r="V39" s="712" t="s">
        <v>942</v>
      </c>
      <c r="W39" s="713">
        <f t="shared" si="14"/>
        <v>100</v>
      </c>
      <c r="X39" s="707"/>
      <c r="Y39" s="3373" t="s">
        <v>960</v>
      </c>
      <c r="Z39" s="706" t="str">
        <f t="shared" si="15"/>
        <v>物业管理</v>
      </c>
      <c r="AA39" s="718">
        <f t="shared" si="3"/>
        <v>1</v>
      </c>
      <c r="AB39" s="718">
        <f t="shared" si="4"/>
        <v>1</v>
      </c>
      <c r="AC39" s="718">
        <f t="shared" si="5"/>
        <v>1</v>
      </c>
    </row>
    <row r="40" spans="1:29" ht="15">
      <c r="A40" s="557"/>
      <c r="B40" s="808" t="s">
        <v>2174</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73"/>
      <c r="Q40" s="647" t="str">
        <f t="shared" si="11"/>
        <v>市政基础设施</v>
      </c>
      <c r="R40" s="712" t="s">
        <v>942</v>
      </c>
      <c r="S40" s="713">
        <f t="shared" si="12"/>
        <v>100</v>
      </c>
      <c r="T40" s="712" t="s">
        <v>942</v>
      </c>
      <c r="U40" s="713">
        <f t="shared" si="13"/>
        <v>100</v>
      </c>
      <c r="V40" s="712" t="s">
        <v>942</v>
      </c>
      <c r="W40" s="713">
        <f t="shared" si="14"/>
        <v>100</v>
      </c>
      <c r="X40" s="707"/>
      <c r="Y40" s="3373"/>
      <c r="Z40" s="706" t="str">
        <f t="shared" si="15"/>
        <v>市政基础设施</v>
      </c>
      <c r="AA40" s="718">
        <f t="shared" si="3"/>
        <v>1</v>
      </c>
      <c r="AB40" s="718">
        <f t="shared" si="4"/>
        <v>1</v>
      </c>
      <c r="AC40" s="718">
        <f t="shared" si="5"/>
        <v>1</v>
      </c>
    </row>
    <row r="41" spans="1:29" ht="15">
      <c r="A41" s="557"/>
      <c r="B41" s="553" t="s">
        <v>2228</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73"/>
      <c r="Q41" s="647" t="str">
        <f t="shared" si="11"/>
        <v>层高</v>
      </c>
      <c r="R41" s="712" t="s">
        <v>942</v>
      </c>
      <c r="S41" s="713">
        <f t="shared" si="12"/>
        <v>100</v>
      </c>
      <c r="T41" s="712" t="s">
        <v>942</v>
      </c>
      <c r="U41" s="713">
        <f t="shared" si="13"/>
        <v>100</v>
      </c>
      <c r="V41" s="712" t="s">
        <v>942</v>
      </c>
      <c r="W41" s="713">
        <f t="shared" si="14"/>
        <v>100</v>
      </c>
      <c r="X41" s="707"/>
      <c r="Y41" s="3373"/>
      <c r="Z41" s="706" t="str">
        <f t="shared" si="15"/>
        <v>层高</v>
      </c>
      <c r="AA41" s="718">
        <f t="shared" si="3"/>
        <v>1</v>
      </c>
      <c r="AB41" s="718">
        <f t="shared" si="4"/>
        <v>1</v>
      </c>
      <c r="AC41" s="718">
        <f t="shared" si="5"/>
        <v>1</v>
      </c>
    </row>
    <row r="42" spans="1:29" s="457" customFormat="1" ht="15">
      <c r="A42" s="552"/>
      <c r="B42" s="665" t="s">
        <v>2229</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73"/>
      <c r="Q42" s="714" t="str">
        <f t="shared" si="11"/>
        <v>单套建筑面积</v>
      </c>
      <c r="R42" s="715" t="s">
        <v>942</v>
      </c>
      <c r="S42" s="716">
        <f t="shared" si="12"/>
        <v>100</v>
      </c>
      <c r="T42" s="715" t="s">
        <v>942</v>
      </c>
      <c r="U42" s="716">
        <f t="shared" si="13"/>
        <v>100</v>
      </c>
      <c r="V42" s="715" t="s">
        <v>942</v>
      </c>
      <c r="W42" s="716">
        <f t="shared" si="14"/>
        <v>100</v>
      </c>
      <c r="X42" s="717"/>
      <c r="Y42" s="3373"/>
      <c r="Z42" s="729" t="str">
        <f t="shared" si="15"/>
        <v>单套建筑面积</v>
      </c>
      <c r="AA42" s="718">
        <f t="shared" si="3"/>
        <v>1</v>
      </c>
      <c r="AB42" s="718">
        <f t="shared" si="4"/>
        <v>1</v>
      </c>
      <c r="AC42" s="718">
        <f t="shared" si="5"/>
        <v>1</v>
      </c>
    </row>
    <row r="43" spans="1:29" ht="15">
      <c r="A43" s="557"/>
      <c r="B43" s="553" t="s">
        <v>2178</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73"/>
      <c r="Q43" s="647" t="str">
        <f t="shared" si="11"/>
        <v>内部装修</v>
      </c>
      <c r="R43" s="712" t="s">
        <v>942</v>
      </c>
      <c r="S43" s="713">
        <f t="shared" si="12"/>
        <v>100</v>
      </c>
      <c r="T43" s="712" t="s">
        <v>942</v>
      </c>
      <c r="U43" s="713">
        <f t="shared" si="13"/>
        <v>100</v>
      </c>
      <c r="V43" s="712" t="s">
        <v>942</v>
      </c>
      <c r="W43" s="713">
        <f t="shared" si="14"/>
        <v>100</v>
      </c>
      <c r="X43" s="707"/>
      <c r="Y43" s="3373"/>
      <c r="Z43" s="706" t="str">
        <f t="shared" si="15"/>
        <v>内部装修</v>
      </c>
      <c r="AA43" s="718">
        <f t="shared" si="3"/>
        <v>1</v>
      </c>
      <c r="AB43" s="718">
        <f t="shared" si="4"/>
        <v>1</v>
      </c>
      <c r="AC43" s="718">
        <f t="shared" si="5"/>
        <v>1</v>
      </c>
    </row>
    <row r="44" spans="1:29" ht="27">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73"/>
      <c r="Q44" s="647" t="str">
        <f t="shared" si="11"/>
        <v>内部装修维护情况</v>
      </c>
      <c r="R44" s="712" t="s">
        <v>942</v>
      </c>
      <c r="S44" s="713">
        <f t="shared" si="12"/>
        <v>100</v>
      </c>
      <c r="T44" s="712" t="s">
        <v>942</v>
      </c>
      <c r="U44" s="713">
        <f t="shared" si="13"/>
        <v>100</v>
      </c>
      <c r="V44" s="712" t="s">
        <v>942</v>
      </c>
      <c r="W44" s="713">
        <f t="shared" si="14"/>
        <v>100</v>
      </c>
      <c r="X44" s="707"/>
      <c r="Y44" s="3373"/>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73"/>
      <c r="Q45" s="711">
        <f t="shared" si="11"/>
        <v>111</v>
      </c>
      <c r="R45" s="708" t="s">
        <v>942</v>
      </c>
      <c r="S45" s="709">
        <f t="shared" si="12"/>
        <v>100</v>
      </c>
      <c r="T45" s="708" t="s">
        <v>942</v>
      </c>
      <c r="U45" s="709">
        <f t="shared" si="13"/>
        <v>100</v>
      </c>
      <c r="V45" s="708" t="s">
        <v>942</v>
      </c>
      <c r="W45" s="709">
        <f t="shared" si="14"/>
        <v>100</v>
      </c>
      <c r="X45" s="710"/>
      <c r="Y45" s="3373"/>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73"/>
      <c r="Q46" s="647">
        <f t="shared" si="11"/>
        <v>111</v>
      </c>
      <c r="R46" s="712" t="s">
        <v>942</v>
      </c>
      <c r="S46" s="713">
        <f t="shared" si="12"/>
        <v>100</v>
      </c>
      <c r="T46" s="712" t="s">
        <v>942</v>
      </c>
      <c r="U46" s="713">
        <f t="shared" si="13"/>
        <v>100</v>
      </c>
      <c r="V46" s="712" t="s">
        <v>942</v>
      </c>
      <c r="W46" s="713">
        <f t="shared" si="14"/>
        <v>100</v>
      </c>
      <c r="X46" s="707"/>
      <c r="Y46" s="3373"/>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57"/>
      <c r="Q47" s="647">
        <f t="shared" si="11"/>
        <v>111</v>
      </c>
      <c r="R47" s="712" t="s">
        <v>942</v>
      </c>
      <c r="S47" s="713">
        <f t="shared" si="12"/>
        <v>100</v>
      </c>
      <c r="T47" s="712" t="s">
        <v>942</v>
      </c>
      <c r="U47" s="713">
        <f t="shared" si="13"/>
        <v>100</v>
      </c>
      <c r="V47" s="712" t="s">
        <v>942</v>
      </c>
      <c r="W47" s="713">
        <f t="shared" si="14"/>
        <v>100</v>
      </c>
      <c r="X47" s="707"/>
      <c r="Y47" s="3457"/>
      <c r="Z47" s="706">
        <f t="shared" si="15"/>
        <v>111</v>
      </c>
      <c r="AA47" s="718">
        <f t="shared" si="3"/>
        <v>1</v>
      </c>
      <c r="AB47" s="718">
        <f t="shared" si="4"/>
        <v>1</v>
      </c>
      <c r="AC47" s="718">
        <f t="shared" si="5"/>
        <v>1</v>
      </c>
    </row>
    <row r="48" spans="1:29" ht="15">
      <c r="A48" s="567" t="s">
        <v>2180</v>
      </c>
      <c r="B48" s="568"/>
      <c r="C48" s="569" t="s">
        <v>138</v>
      </c>
      <c r="D48" s="570"/>
      <c r="E48" s="571"/>
      <c r="F48" s="572"/>
      <c r="G48" s="573"/>
      <c r="H48" s="574"/>
      <c r="I48" s="571"/>
      <c r="J48" s="574"/>
      <c r="K48" s="661"/>
      <c r="L48" s="662"/>
      <c r="M48" s="642"/>
      <c r="N48" s="642"/>
      <c r="O48" s="642"/>
      <c r="P48" s="3376" t="str">
        <f>A48</f>
        <v>成交单价（元/平方米）</v>
      </c>
      <c r="Q48" s="3369"/>
      <c r="R48" s="3456">
        <f>E48</f>
        <v>0</v>
      </c>
      <c r="S48" s="3456"/>
      <c r="T48" s="3456">
        <f>G48</f>
        <v>0</v>
      </c>
      <c r="U48" s="3456"/>
      <c r="V48" s="3456">
        <f>I48</f>
        <v>0</v>
      </c>
      <c r="W48" s="3456"/>
      <c r="X48" s="594"/>
      <c r="Y48" s="730"/>
      <c r="Z48" s="594"/>
      <c r="AA48" s="594"/>
      <c r="AB48" s="594"/>
      <c r="AC48" s="594"/>
    </row>
    <row r="49" spans="1:29" ht="15">
      <c r="A49" s="575" t="s">
        <v>971</v>
      </c>
      <c r="B49" s="576"/>
      <c r="C49" s="577" t="e">
        <f>R50</f>
        <v>#DIV/0!</v>
      </c>
      <c r="D49" s="578"/>
      <c r="E49" s="579" t="e">
        <f>R49</f>
        <v>#DIV/0!</v>
      </c>
      <c r="F49" s="579"/>
      <c r="G49" s="577" t="e">
        <f>T49</f>
        <v>#DIV/0!</v>
      </c>
      <c r="H49" s="578"/>
      <c r="I49" s="579" t="e">
        <f>V49</f>
        <v>#DIV/0!</v>
      </c>
      <c r="J49" s="578"/>
      <c r="K49" s="663"/>
      <c r="L49" s="662"/>
      <c r="M49" s="642"/>
      <c r="N49" s="642"/>
      <c r="O49" s="642"/>
      <c r="P49" s="3376" t="str">
        <f>A49</f>
        <v>比较价格（元/平方米）</v>
      </c>
      <c r="Q49" s="3369"/>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594"/>
      <c r="Y49" s="594"/>
      <c r="Z49" s="594"/>
      <c r="AA49" s="594"/>
      <c r="AB49" s="594"/>
      <c r="AC49" s="594"/>
    </row>
    <row r="50" spans="1:29" ht="15">
      <c r="A50" s="580" t="s">
        <v>972</v>
      </c>
      <c r="B50" s="581"/>
      <c r="C50" s="582" t="e">
        <f>R50</f>
        <v>#DIV/0!</v>
      </c>
      <c r="D50" s="582"/>
      <c r="E50" s="582"/>
      <c r="F50" s="582"/>
      <c r="G50" s="582"/>
      <c r="H50" s="582"/>
      <c r="I50" s="582"/>
      <c r="J50" s="582"/>
      <c r="K50" s="664"/>
      <c r="L50" s="662"/>
      <c r="M50" s="642"/>
      <c r="N50" s="642"/>
      <c r="O50" s="642"/>
      <c r="P50" s="3465" t="str">
        <f>A50</f>
        <v>估价对象XX用房的比较价格（楼面单价，元/平方米）</v>
      </c>
      <c r="Q50" s="3376"/>
      <c r="R50" s="3458" t="e">
        <f>IF(F1="售价",ROUND(AVERAGE(R49:V49),0),ROUND(AVERAGE(R49:V49),1))</f>
        <v>#DIV/0!</v>
      </c>
      <c r="S50" s="3458"/>
      <c r="T50" s="3458"/>
      <c r="U50" s="3458"/>
      <c r="V50" s="3458"/>
      <c r="W50" s="3458"/>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5">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ht="15">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5">
      <c r="A61" s="605" t="s">
        <v>1177</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5">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ht="15">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ht="15">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7">
      <c r="A66" s="616"/>
      <c r="B66" s="619" t="s">
        <v>1003</v>
      </c>
      <c r="C66" s="620" t="s">
        <v>2181</v>
      </c>
      <c r="D66" s="620" t="s">
        <v>2182</v>
      </c>
      <c r="E66" s="620" t="s">
        <v>2183</v>
      </c>
      <c r="F66" s="620" t="s">
        <v>2184</v>
      </c>
      <c r="G66" s="620" t="s">
        <v>2185</v>
      </c>
      <c r="H66" s="620" t="s">
        <v>2186</v>
      </c>
      <c r="I66" s="620" t="s">
        <v>2187</v>
      </c>
      <c r="J66" s="620"/>
      <c r="K66" s="690"/>
      <c r="L66" s="691"/>
      <c r="M66" s="692"/>
      <c r="N66" s="686"/>
      <c r="O66" s="686"/>
      <c r="P66" s="959"/>
      <c r="Q66" s="676"/>
      <c r="R66" s="583"/>
      <c r="S66" s="583"/>
      <c r="T66" s="583"/>
      <c r="U66" s="583"/>
      <c r="V66" s="583"/>
      <c r="W66" s="583"/>
      <c r="X66" s="583"/>
      <c r="Y66" s="583"/>
      <c r="Z66" s="583"/>
      <c r="AA66" s="583"/>
      <c r="AB66" s="583"/>
      <c r="AC66" s="583"/>
    </row>
    <row r="67" spans="1:29" ht="15">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5">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ht="15">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ht="15">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ht="15">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ht="15">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ht="15">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ht="15">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ht="15">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ht="15">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ht="15">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5">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ht="15">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5">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ht="15">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5">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ht="15">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5">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ht="15">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7">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ht="15">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ht="15">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ht="15">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ht="15">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ht="15">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ht="15">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ht="15">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ht="15">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ht="15">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ht="15">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ht="15">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ht="15">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ht="15">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c r="A101" s="612" t="s">
        <v>1010</v>
      </c>
      <c r="B101" s="613" t="s">
        <v>2166</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ht="15">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5">
      <c r="A103" s="616"/>
      <c r="B103" s="619" t="s">
        <v>2167</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ht="15">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c r="A106" s="738"/>
      <c r="B106" s="619" t="s">
        <v>2168</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ht="15">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c r="A108" s="738"/>
      <c r="B108" s="619" t="s">
        <v>2170</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ht="15">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c r="A110" s="738"/>
      <c r="B110" s="619" t="s">
        <v>2172</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ht="15">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c r="A113" s="740"/>
      <c r="B113" s="619" t="s">
        <v>2227</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ht="15">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c r="A115" s="738"/>
      <c r="B115" s="619" t="s">
        <v>2173</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ht="15">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c r="A117" s="738"/>
      <c r="B117" s="631" t="s">
        <v>2174</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ht="15">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c r="A119" s="738"/>
      <c r="B119" s="741" t="s">
        <v>2230</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ht="15">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c r="A121" s="740"/>
      <c r="B121" s="619" t="s">
        <v>2231</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ht="15">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c r="A123" s="738"/>
      <c r="B123" s="619" t="s">
        <v>2178</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ht="15">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7">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ht="15">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ht="15">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ht="15">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ht="15">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D37" sqref="D37"/>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2250</v>
      </c>
      <c r="B1" s="9"/>
      <c r="C1" s="10" t="s">
        <v>561</v>
      </c>
      <c r="D1" s="11" t="s">
        <v>2418</v>
      </c>
      <c r="E1" s="12" t="s">
        <v>599</v>
      </c>
      <c r="F1" s="13">
        <f ca="1">J53</f>
        <v>34.44</v>
      </c>
      <c r="G1" s="14">
        <f>MATCH(C1,'数据-取费表'!A6:A16,0)+5</f>
        <v>6</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130632</v>
      </c>
      <c r="C2" s="18"/>
      <c r="D2" s="19"/>
      <c r="E2" s="20"/>
      <c r="F2" s="20"/>
      <c r="G2" s="21"/>
      <c r="H2" s="18"/>
      <c r="I2" s="18"/>
      <c r="J2" s="18"/>
      <c r="K2" s="161"/>
      <c r="L2" s="18"/>
      <c r="M2" s="18"/>
    </row>
    <row r="3" spans="1:33" ht="18" customHeight="1">
      <c r="A3" s="22" t="s">
        <v>2158</v>
      </c>
      <c r="B3" s="23">
        <f ca="1">IF(ISERROR(B2*10000/F43),0,ROUND(B2*10000/F43,0))</f>
        <v>8623</v>
      </c>
      <c r="C3" s="18"/>
      <c r="D3" s="19"/>
      <c r="E3" s="20"/>
      <c r="F3" s="20"/>
      <c r="G3" s="21"/>
      <c r="H3" s="24" t="s">
        <v>1977</v>
      </c>
      <c r="I3" s="162"/>
      <c r="J3" s="162"/>
      <c r="K3" s="163"/>
      <c r="L3" s="162"/>
      <c r="M3" s="162"/>
    </row>
    <row r="4" spans="1:33" ht="18" customHeight="1">
      <c r="A4" s="25" t="s">
        <v>1978</v>
      </c>
      <c r="B4" s="26" t="s">
        <v>1979</v>
      </c>
      <c r="C4" s="26" t="s">
        <v>1980</v>
      </c>
      <c r="D4" s="26" t="s">
        <v>1981</v>
      </c>
      <c r="E4" s="27" t="s">
        <v>1982</v>
      </c>
      <c r="F4" s="28"/>
      <c r="G4" s="29"/>
      <c r="H4" s="25" t="s">
        <v>1978</v>
      </c>
      <c r="I4" s="26" t="s">
        <v>1979</v>
      </c>
      <c r="J4" s="26" t="s">
        <v>1980</v>
      </c>
      <c r="K4" s="26" t="s">
        <v>1981</v>
      </c>
      <c r="L4" s="27" t="s">
        <v>1982</v>
      </c>
      <c r="M4" s="28"/>
    </row>
    <row r="5" spans="1:33" ht="18" customHeight="1">
      <c r="A5" s="30">
        <v>1</v>
      </c>
      <c r="B5" s="31" t="s">
        <v>1983</v>
      </c>
      <c r="C5" s="32">
        <f ca="1">C6+C10+C12</f>
        <v>9412</v>
      </c>
      <c r="D5" s="33" t="s">
        <v>1984</v>
      </c>
      <c r="E5" s="34"/>
      <c r="F5" s="35"/>
      <c r="G5" s="29"/>
      <c r="H5" s="30">
        <v>1</v>
      </c>
      <c r="I5" s="31" t="s">
        <v>1983</v>
      </c>
      <c r="J5" s="32">
        <f ca="1">J6+J10+J12</f>
        <v>0</v>
      </c>
      <c r="K5" s="33" t="s">
        <v>1984</v>
      </c>
      <c r="L5" s="34"/>
      <c r="M5" s="35"/>
    </row>
    <row r="6" spans="1:33" ht="18" customHeight="1">
      <c r="A6" s="36" t="s">
        <v>862</v>
      </c>
      <c r="B6" s="3449" t="s">
        <v>1985</v>
      </c>
      <c r="C6" s="37">
        <f ca="1">ROUND(F6*F8*F7*(1-F9)/10000,0)</f>
        <v>9400</v>
      </c>
      <c r="D6" s="38" t="s">
        <v>2251</v>
      </c>
      <c r="E6" s="39" t="s">
        <v>1987</v>
      </c>
      <c r="F6" s="40">
        <f ca="1">INDIRECT("'数据-取费表'!u"&amp;$G$1)</f>
        <v>2</v>
      </c>
      <c r="G6" s="29"/>
      <c r="H6" s="41" t="s">
        <v>862</v>
      </c>
      <c r="I6" s="3449" t="s">
        <v>1985</v>
      </c>
      <c r="J6" s="37">
        <f ca="1">ROUND(M6*M8*M7*(1-M9)/10000,0)</f>
        <v>0</v>
      </c>
      <c r="K6" s="113" t="s">
        <v>2252</v>
      </c>
      <c r="L6" s="39" t="s">
        <v>1987</v>
      </c>
      <c r="M6" s="40">
        <f ca="1">INDIRECT("'数据-取费表'!z"&amp;$G$1)</f>
        <v>0</v>
      </c>
    </row>
    <row r="7" spans="1:33" ht="18" customHeight="1">
      <c r="A7" s="42"/>
      <c r="B7" s="3450"/>
      <c r="C7" s="43"/>
      <c r="D7" s="44"/>
      <c r="E7" s="39" t="s">
        <v>1988</v>
      </c>
      <c r="F7" s="40">
        <f ca="1">IF(INDIRECT("'数据-取费表'!ah"&amp;$G$1)="",INDIRECT("'数据-取费表'!k"&amp;$G$1),INDIRECT("'数据-取费表'!ah"&amp;$G$1))</f>
        <v>151484.87</v>
      </c>
      <c r="G7" s="29"/>
      <c r="H7" s="45"/>
      <c r="I7" s="3450"/>
      <c r="J7" s="43"/>
      <c r="K7" s="44"/>
      <c r="L7" s="39" t="s">
        <v>1988</v>
      </c>
      <c r="M7" s="40">
        <f ca="1">F7</f>
        <v>151484.87</v>
      </c>
    </row>
    <row r="8" spans="1:33" ht="18" customHeight="1">
      <c r="A8" s="46"/>
      <c r="B8" s="3451"/>
      <c r="C8" s="43"/>
      <c r="D8" s="44"/>
      <c r="E8" s="39" t="s">
        <v>1989</v>
      </c>
      <c r="F8" s="40">
        <f ca="1">INDIRECT("'数据-取费表'!ai"&amp;$G$1)</f>
        <v>365</v>
      </c>
      <c r="G8" s="29"/>
      <c r="H8" s="45"/>
      <c r="I8" s="3451"/>
      <c r="J8" s="43"/>
      <c r="K8" s="44"/>
      <c r="L8" s="39" t="s">
        <v>1989</v>
      </c>
      <c r="M8" s="40">
        <f ca="1">INDIRECT("'数据-取费表'!ai"&amp;$G$1)</f>
        <v>365</v>
      </c>
    </row>
    <row r="9" spans="1:33" ht="18" customHeight="1">
      <c r="A9" s="47"/>
      <c r="B9" s="3452"/>
      <c r="C9" s="43"/>
      <c r="D9" s="44"/>
      <c r="E9" s="39" t="s">
        <v>1990</v>
      </c>
      <c r="F9" s="48">
        <f ca="1">INDIRECT("'数据-取费表'!w"&amp;$G$1)</f>
        <v>0.15</v>
      </c>
      <c r="G9" s="29"/>
      <c r="H9" s="49"/>
      <c r="I9" s="3451"/>
      <c r="J9" s="43"/>
      <c r="K9" s="44"/>
      <c r="L9" s="95" t="s">
        <v>1990</v>
      </c>
      <c r="M9" s="59">
        <f ca="1">INDIRECT("'数据-取费表'!ab"&amp;$G$1)</f>
        <v>0</v>
      </c>
    </row>
    <row r="10" spans="1:33" ht="18" customHeight="1">
      <c r="A10" s="36" t="s">
        <v>864</v>
      </c>
      <c r="B10" s="50" t="s">
        <v>1991</v>
      </c>
      <c r="C10" s="51">
        <f ca="1">ROUND(IF(F10="押一",C6/12*F11,IF(F10="押二",C6/12*2*F11,IF(F10="押三",C6/12*3*F11,C11*F11))),0)</f>
        <v>12</v>
      </c>
      <c r="D10" s="52" t="s">
        <v>1992</v>
      </c>
      <c r="E10" s="53" t="s">
        <v>1993</v>
      </c>
      <c r="F10" s="54" t="s">
        <v>2443</v>
      </c>
      <c r="G10" s="29"/>
      <c r="H10" s="55" t="s">
        <v>864</v>
      </c>
      <c r="I10" s="164" t="s">
        <v>1991</v>
      </c>
      <c r="J10" s="37">
        <f ca="1">ROUND(IF(M10="押一",J6/12*M11,IF(M10="押二",J6/12*2*M11,IF(M10="押三",J6/12*3*M11,J11*M11))),0)</f>
        <v>0</v>
      </c>
      <c r="K10" s="52" t="s">
        <v>1992</v>
      </c>
      <c r="L10" s="53" t="s">
        <v>1993</v>
      </c>
      <c r="M10" s="54"/>
    </row>
    <row r="11" spans="1:33" ht="18" customHeight="1">
      <c r="A11" s="56"/>
      <c r="B11" s="57" t="s">
        <v>1994</v>
      </c>
      <c r="C11" s="58"/>
      <c r="D11" s="44"/>
      <c r="E11" s="53" t="s">
        <v>644</v>
      </c>
      <c r="F11" s="59">
        <f ca="1">'数据-取费表'!B39</f>
        <v>1.4999999999999999E-2</v>
      </c>
      <c r="G11" s="29"/>
      <c r="H11" s="60"/>
      <c r="I11" s="57" t="s">
        <v>1994</v>
      </c>
      <c r="J11" s="58"/>
      <c r="K11" s="165"/>
      <c r="L11" s="53" t="s">
        <v>644</v>
      </c>
      <c r="M11" s="166">
        <f ca="1">'数据-取费表'!B39</f>
        <v>1.4999999999999999E-2</v>
      </c>
    </row>
    <row r="12" spans="1:33" ht="18" customHeight="1">
      <c r="A12" s="61" t="s">
        <v>1085</v>
      </c>
      <c r="B12" s="62" t="s">
        <v>1995</v>
      </c>
      <c r="C12" s="63"/>
      <c r="D12" s="64"/>
      <c r="E12" s="65"/>
      <c r="F12" s="66"/>
      <c r="G12" s="29"/>
      <c r="H12" s="67" t="s">
        <v>1085</v>
      </c>
      <c r="I12" s="167" t="s">
        <v>1995</v>
      </c>
      <c r="J12" s="168"/>
      <c r="K12" s="64"/>
      <c r="L12" s="65"/>
      <c r="M12" s="169"/>
    </row>
    <row r="13" spans="1:33" ht="18" customHeight="1">
      <c r="A13" s="68">
        <v>2</v>
      </c>
      <c r="B13" s="69" t="s">
        <v>1999</v>
      </c>
      <c r="C13" s="70">
        <f ca="1">ROUND(C29*F13,0)</f>
        <v>59290</v>
      </c>
      <c r="D13" s="71" t="s">
        <v>2253</v>
      </c>
      <c r="E13" s="71" t="s">
        <v>1998</v>
      </c>
      <c r="F13" s="72">
        <f ca="1">INDIRECT("'数据-取费表'!y"&amp;$G$1)</f>
        <v>1</v>
      </c>
      <c r="G13" s="29"/>
      <c r="H13" s="68">
        <v>2</v>
      </c>
      <c r="I13" s="69" t="s">
        <v>1999</v>
      </c>
      <c r="J13" s="170">
        <f ca="1">ROUND(J14*J15,0)</f>
        <v>0</v>
      </c>
      <c r="K13" s="104" t="s">
        <v>1997</v>
      </c>
      <c r="L13" s="171"/>
      <c r="M13" s="172"/>
    </row>
    <row r="14" spans="1:33" ht="18" customHeight="1">
      <c r="A14" s="73" t="s">
        <v>886</v>
      </c>
      <c r="B14" s="39" t="s">
        <v>1092</v>
      </c>
      <c r="C14" s="74">
        <f ca="1">INDIRECT("'数据-取费表'!m"&amp;$G$1)+INDIRECT("'数据-取费表'!t"&amp;$G$1)</f>
        <v>39425</v>
      </c>
      <c r="D14" s="75" t="s">
        <v>2000</v>
      </c>
      <c r="E14" s="76"/>
      <c r="F14" s="77"/>
      <c r="G14" s="29"/>
      <c r="H14" s="78" t="s">
        <v>862</v>
      </c>
      <c r="I14" s="156" t="s">
        <v>2001</v>
      </c>
      <c r="J14" s="79">
        <f ca="1">C29</f>
        <v>59290</v>
      </c>
      <c r="K14" s="157"/>
      <c r="L14" s="173"/>
      <c r="M14" s="174"/>
    </row>
    <row r="15" spans="1:33" s="2" customFormat="1" ht="18" customHeight="1">
      <c r="A15" s="73" t="s">
        <v>891</v>
      </c>
      <c r="B15" s="39" t="s">
        <v>1094</v>
      </c>
      <c r="C15" s="79">
        <f ca="1">ROUND(C14*F15,0)</f>
        <v>1577</v>
      </c>
      <c r="D15" s="80" t="s">
        <v>2002</v>
      </c>
      <c r="E15" s="80" t="s">
        <v>2003</v>
      </c>
      <c r="F15" s="81">
        <f>'数据-取费表'!B33</f>
        <v>0.04</v>
      </c>
      <c r="G15" s="82"/>
      <c r="H15" s="67" t="s">
        <v>864</v>
      </c>
      <c r="I15" s="101" t="s">
        <v>1998</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1097</v>
      </c>
      <c r="C16" s="79">
        <f ca="1">ROUND(INDIRECT("'数据-取费表'!m"&amp;$G$1)*F16,0)</f>
        <v>0</v>
      </c>
      <c r="D16" s="39" t="s">
        <v>2002</v>
      </c>
      <c r="E16" s="39" t="s">
        <v>2003</v>
      </c>
      <c r="F16" s="83">
        <f ca="1">IF(INDIRECT("'数据-取费表'!c"&amp;$G$1)="住宅",'数据-取费表'!B34,0)</f>
        <v>0</v>
      </c>
      <c r="G16" s="29"/>
      <c r="H16" s="68" t="s">
        <v>2063</v>
      </c>
      <c r="I16" s="69" t="s">
        <v>2004</v>
      </c>
      <c r="J16" s="70">
        <f ca="1">ROUND(J17+J22+J23+J24,0)</f>
        <v>5932</v>
      </c>
      <c r="K16" s="104" t="s">
        <v>2005</v>
      </c>
      <c r="L16" s="105"/>
      <c r="M16" s="35"/>
    </row>
    <row r="17" spans="1:33" s="2" customFormat="1" ht="18" customHeight="1">
      <c r="A17" s="73" t="s">
        <v>2254</v>
      </c>
      <c r="B17" s="39" t="s">
        <v>2006</v>
      </c>
      <c r="C17" s="79">
        <f ca="1">ROUND(F17*(F43+INDIRECT("'数据-取费表'!S"&amp;$G$1))/10000,0)</f>
        <v>2275</v>
      </c>
      <c r="D17" s="39" t="s">
        <v>2007</v>
      </c>
      <c r="E17" s="39" t="s">
        <v>2008</v>
      </c>
      <c r="F17" s="84">
        <f>'数据-取费表'!B35</f>
        <v>150</v>
      </c>
      <c r="G17" s="82"/>
      <c r="H17" s="78" t="s">
        <v>862</v>
      </c>
      <c r="I17" s="39" t="s">
        <v>2009</v>
      </c>
      <c r="J17" s="79">
        <f ca="1">ROUND(IF(项目基本情况!B11="自然人",J6*M17/(1+'数据-取费表'!C42),J18+J19+J20),0)</f>
        <v>5043</v>
      </c>
      <c r="K17" s="75" t="s">
        <v>2010</v>
      </c>
      <c r="L17" s="108" t="s">
        <v>2011</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2255</v>
      </c>
      <c r="B18" s="39" t="s">
        <v>1102</v>
      </c>
      <c r="C18" s="79">
        <f ca="1">ROUND(C14*F18,0)</f>
        <v>591</v>
      </c>
      <c r="D18" s="39" t="s">
        <v>2002</v>
      </c>
      <c r="E18" s="39" t="s">
        <v>2003</v>
      </c>
      <c r="F18" s="83">
        <f>'数据-取费表'!B36</f>
        <v>1.4999999999999999E-2</v>
      </c>
      <c r="G18" s="82"/>
      <c r="H18" s="73" t="s">
        <v>886</v>
      </c>
      <c r="I18" s="39" t="s">
        <v>2012</v>
      </c>
      <c r="J18" s="79">
        <f ca="1">ROUND(J6*M18/(1+'数据-取费表'!C42),1)</f>
        <v>0</v>
      </c>
      <c r="K18" s="108" t="s">
        <v>2013</v>
      </c>
      <c r="L18" s="39" t="s">
        <v>2003</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2014</v>
      </c>
      <c r="C19" s="79">
        <f ca="1">SUM(C14:C18)</f>
        <v>43868</v>
      </c>
      <c r="D19" s="85" t="s">
        <v>2015</v>
      </c>
      <c r="E19" s="86"/>
      <c r="F19" s="84"/>
      <c r="G19" s="29"/>
      <c r="H19" s="73" t="s">
        <v>891</v>
      </c>
      <c r="I19" s="39" t="s">
        <v>2016</v>
      </c>
      <c r="J19" s="79">
        <f ca="1">IF(K19="按租金收入计税",ROUND(J6*M19/(1+'数据-取费表'!C42),1),ROUND(C29*F33*0.7,1))</f>
        <v>4980.3999999999996</v>
      </c>
      <c r="K19" s="111" t="s">
        <v>2017</v>
      </c>
      <c r="L19" s="39" t="s">
        <v>2003</v>
      </c>
      <c r="M19" s="83">
        <f>IF(K19="按租金收入计税",'数据-取费表'!B51,'数据-取费表'!B50)</f>
        <v>1.2E-2</v>
      </c>
    </row>
    <row r="20" spans="1:33" s="2" customFormat="1" ht="18" customHeight="1">
      <c r="A20" s="78" t="s">
        <v>864</v>
      </c>
      <c r="B20" s="39" t="s">
        <v>2019</v>
      </c>
      <c r="C20" s="79">
        <f ca="1">ROUND(C19*F20,0)</f>
        <v>877</v>
      </c>
      <c r="D20" s="87" t="s">
        <v>2020</v>
      </c>
      <c r="E20" s="39" t="s">
        <v>2003</v>
      </c>
      <c r="F20" s="83">
        <f>'数据-取费表'!B37</f>
        <v>0.02</v>
      </c>
      <c r="G20" s="82"/>
      <c r="H20" s="88" t="s">
        <v>894</v>
      </c>
      <c r="I20" s="113" t="s">
        <v>2021</v>
      </c>
      <c r="J20" s="114">
        <f ca="1">ROUND(M20*M21/10000,0)</f>
        <v>63</v>
      </c>
      <c r="K20" s="115" t="s">
        <v>2022</v>
      </c>
      <c r="L20" s="39" t="s">
        <v>2023</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1085</v>
      </c>
      <c r="B21" s="39" t="s">
        <v>2025</v>
      </c>
      <c r="C21" s="79" t="s">
        <v>138</v>
      </c>
      <c r="D21" s="87" t="s">
        <v>2256</v>
      </c>
      <c r="E21" s="39" t="s">
        <v>2027</v>
      </c>
      <c r="F21" s="83">
        <f>'数据-取费表'!B38</f>
        <v>0.02</v>
      </c>
      <c r="G21" s="82"/>
      <c r="H21" s="89"/>
      <c r="I21" s="117"/>
      <c r="J21" s="118"/>
      <c r="K21" s="119"/>
      <c r="L21" s="39" t="s">
        <v>2028</v>
      </c>
      <c r="M21" s="40">
        <f ca="1">INDIRECT("'数据-取费表'!r"&amp;$G$1)</f>
        <v>42079.21</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2257</v>
      </c>
      <c r="B22" s="39" t="s">
        <v>2030</v>
      </c>
      <c r="C22" s="79"/>
      <c r="D22" s="90" t="str">
        <f>IF(F23&lt;=1,"单利计息。","复利计息。")&amp;"建造成本、管理费用、销售费用产生的利息。"</f>
        <v>复利计息。建造成本、管理费用、销售费用产生的利息。</v>
      </c>
      <c r="E22" s="86"/>
      <c r="F22" s="84"/>
      <c r="G22" s="29"/>
      <c r="H22" s="78" t="s">
        <v>864</v>
      </c>
      <c r="I22" s="39" t="s">
        <v>2031</v>
      </c>
      <c r="J22" s="79">
        <f ca="1">ROUND(J14*M22,0)</f>
        <v>889</v>
      </c>
      <c r="K22" s="108" t="s">
        <v>2032</v>
      </c>
      <c r="L22" s="39" t="s">
        <v>2003</v>
      </c>
      <c r="M22" s="120">
        <f ca="1">INDIRECT("'数据-取费表'!Ak"&amp;$G$1)</f>
        <v>1.4999999999999999E-2</v>
      </c>
    </row>
    <row r="23" spans="1:33" s="2" customFormat="1" ht="18" customHeight="1">
      <c r="A23" s="73" t="s">
        <v>886</v>
      </c>
      <c r="B23" s="39" t="s">
        <v>2033</v>
      </c>
      <c r="C23" s="79">
        <f ca="1">ROUND(IF('数据-取费表'!B22&lt;=1,(C19+C20)*F24*F23/2,(C19+C20)*(POWER((1+F24),F23/2)-1)),0)</f>
        <v>3226</v>
      </c>
      <c r="D23" s="91" t="str">
        <f>IF(F23&lt;=1,"(建造成本+管理费用)×利率×(建设周期÷2)","(建造成本+管理费用)×((1+利率)^(建设周期÷2)-1)")</f>
        <v>(建造成本+管理费用)×((1+利率)^(建设周期÷2)-1)</v>
      </c>
      <c r="E23" s="39" t="s">
        <v>2034</v>
      </c>
      <c r="F23" s="92">
        <f>'数据-取费表'!B20</f>
        <v>3</v>
      </c>
      <c r="G23" s="82"/>
      <c r="H23" s="78" t="s">
        <v>1085</v>
      </c>
      <c r="I23" s="39" t="s">
        <v>2035</v>
      </c>
      <c r="J23" s="79">
        <f ca="1">ROUND(J13*M23,0)</f>
        <v>0</v>
      </c>
      <c r="K23" s="108" t="s">
        <v>2036</v>
      </c>
      <c r="L23" s="39" t="s">
        <v>2003</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2037</v>
      </c>
      <c r="C24" s="79">
        <f ca="1">ROUND(IF('数据-取费表'!B22&lt;=1,F21*F24*F23/2,F21*(POWER((1+F24),F23/2)-1)),4)</f>
        <v>1.4E-3</v>
      </c>
      <c r="D24" s="91" t="str">
        <f>IF(F23&lt;=1,"销售费用×利率×(建设周期÷2)","销售费用×((1+利率)^(建设周期÷2)-1)")</f>
        <v>销售费用×((1+利率)^(建设周期÷2)-1)</v>
      </c>
      <c r="E24" s="39" t="s">
        <v>2038</v>
      </c>
      <c r="F24" s="93">
        <f ca="1">'数据-取费表'!B40</f>
        <v>4.7500000000000001E-2</v>
      </c>
      <c r="G24" s="82"/>
      <c r="H24" s="67" t="s">
        <v>2257</v>
      </c>
      <c r="I24" s="101" t="s">
        <v>2019</v>
      </c>
      <c r="J24" s="99">
        <f ca="1">ROUND(J5*M24,0)</f>
        <v>0</v>
      </c>
      <c r="K24" s="100" t="s">
        <v>2039</v>
      </c>
      <c r="L24" s="101" t="s">
        <v>2003</v>
      </c>
      <c r="M24" s="66">
        <f ca="1">INDIRECT("'数据-取费表'!Am"&amp;$G$1)</f>
        <v>1.4999999999999999E-2</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2041</v>
      </c>
      <c r="C25" s="79"/>
      <c r="D25" s="85" t="s">
        <v>2042</v>
      </c>
      <c r="E25" s="86"/>
      <c r="F25" s="84"/>
      <c r="G25" s="29"/>
      <c r="H25" s="68" t="s">
        <v>2258</v>
      </c>
      <c r="I25" s="122" t="s">
        <v>2043</v>
      </c>
      <c r="J25" s="70">
        <f ca="1">J5-J16</f>
        <v>-5932</v>
      </c>
      <c r="K25" s="123" t="s">
        <v>2044</v>
      </c>
      <c r="L25" s="124"/>
      <c r="M25" s="125"/>
    </row>
    <row r="26" spans="1:33" ht="18" customHeight="1">
      <c r="A26" s="73" t="s">
        <v>886</v>
      </c>
      <c r="B26" s="39" t="s">
        <v>2045</v>
      </c>
      <c r="C26" s="79">
        <f ca="1">ROUND((C19+C20)*F26,0)</f>
        <v>6712</v>
      </c>
      <c r="D26" s="87" t="s">
        <v>2046</v>
      </c>
      <c r="E26" s="95" t="s">
        <v>2047</v>
      </c>
      <c r="F26" s="48">
        <f ca="1">INDIRECT("'数据-取费表'!q"&amp;$G$1)</f>
        <v>0.15</v>
      </c>
      <c r="G26" s="29"/>
      <c r="H26" s="96" t="s">
        <v>2259</v>
      </c>
      <c r="I26" s="126" t="s">
        <v>2260</v>
      </c>
      <c r="J26" s="37">
        <f ca="1">IF(J5&lt;&gt;0,ROUND(J25*(1-((1+M28)/(1+M26))^M27)/(M26-M28),0),0)</f>
        <v>0</v>
      </c>
      <c r="K26" s="115" t="s">
        <v>2049</v>
      </c>
      <c r="L26" s="39" t="s">
        <v>2261</v>
      </c>
      <c r="M26" s="48">
        <f ca="1">INDIRECT("'数据-取费表'!I"&amp;$G$1)</f>
        <v>5.5E-2</v>
      </c>
    </row>
    <row r="27" spans="1:33" ht="18" customHeight="1">
      <c r="A27" s="73" t="s">
        <v>891</v>
      </c>
      <c r="B27" s="39" t="s">
        <v>2051</v>
      </c>
      <c r="C27" s="79">
        <f ca="1">ROUND(F21*F26,4)</f>
        <v>3.0000000000000001E-3</v>
      </c>
      <c r="D27" s="87" t="s">
        <v>2052</v>
      </c>
      <c r="E27" s="80"/>
      <c r="F27" s="81"/>
      <c r="G27" s="29"/>
      <c r="H27" s="97"/>
      <c r="I27" s="127"/>
      <c r="J27" s="43"/>
      <c r="K27" s="128" t="s">
        <v>2053</v>
      </c>
      <c r="L27" s="39" t="s">
        <v>2054</v>
      </c>
      <c r="M27" s="129">
        <f ca="1">INDIRECT("'数据-取费表'!ag"&amp;$G$1)</f>
        <v>0</v>
      </c>
    </row>
    <row r="28" spans="1:33" s="2" customFormat="1" ht="18" customHeight="1">
      <c r="A28" s="94" t="s">
        <v>920</v>
      </c>
      <c r="B28" s="39" t="s">
        <v>2056</v>
      </c>
      <c r="C28" s="79">
        <f>ROUND(F28/(1+'数据-取费表'!C42),4)</f>
        <v>5.33E-2</v>
      </c>
      <c r="D28" s="87" t="s">
        <v>2262</v>
      </c>
      <c r="E28" s="39" t="s">
        <v>2003</v>
      </c>
      <c r="F28" s="83">
        <f>'数据-取费表'!B41</f>
        <v>5.6000000000000001E-2</v>
      </c>
      <c r="G28" s="82"/>
      <c r="H28" s="68"/>
      <c r="I28" s="131"/>
      <c r="J28" s="70"/>
      <c r="K28" s="119"/>
      <c r="L28" s="39" t="s">
        <v>2058</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1160</v>
      </c>
      <c r="B29" s="65" t="s">
        <v>2060</v>
      </c>
      <c r="C29" s="99">
        <f ca="1">ROUND((C19+C20+C23+C26)/(1-F21-C24-C27-C28),0)</f>
        <v>59290</v>
      </c>
      <c r="D29" s="100"/>
      <c r="E29" s="101"/>
      <c r="F29" s="102"/>
      <c r="G29" s="82"/>
      <c r="H29" s="103" t="s">
        <v>2263</v>
      </c>
      <c r="I29" s="132" t="s">
        <v>2264</v>
      </c>
      <c r="J29" s="133">
        <f ca="1">ROUND(J26/(1+F40)^F41,0)</f>
        <v>0</v>
      </c>
      <c r="K29" s="134" t="s">
        <v>2062</v>
      </c>
      <c r="L29" s="135"/>
      <c r="M29" s="136">
        <f ca="1">INDIRECT("'数据-取费表'!k"&amp;$G$1)</f>
        <v>151484.87</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2063</v>
      </c>
      <c r="B30" s="69" t="s">
        <v>2004</v>
      </c>
      <c r="C30" s="70">
        <f ca="1">ROUND(C31+C36+C37+C38,0)</f>
        <v>2758</v>
      </c>
      <c r="D30" s="104" t="s">
        <v>2005</v>
      </c>
      <c r="E30" s="105"/>
      <c r="F30" s="35"/>
      <c r="G30" s="106"/>
      <c r="H30" s="107"/>
      <c r="I30" s="180"/>
      <c r="J30" s="181"/>
      <c r="K30" s="182"/>
      <c r="L30" s="183"/>
      <c r="M30" s="184"/>
    </row>
    <row r="31" spans="1:33" ht="18" customHeight="1">
      <c r="A31" s="78" t="s">
        <v>862</v>
      </c>
      <c r="B31" s="39" t="s">
        <v>2009</v>
      </c>
      <c r="C31" s="79">
        <f ca="1">ROUND(IF(项目基本情况!B11="自然人",C6*F31/(1+'数据-取费表'!C42),C32+C33+C34),1)</f>
        <v>1638.7</v>
      </c>
      <c r="D31" s="75" t="s">
        <v>2010</v>
      </c>
      <c r="E31" s="108" t="s">
        <v>2011</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2012</v>
      </c>
      <c r="C32" s="79">
        <f ca="1">ROUND(C6*F32/(1+'数据-取费表'!C42),1)</f>
        <v>501.3</v>
      </c>
      <c r="D32" s="108" t="s">
        <v>2013</v>
      </c>
      <c r="E32" s="39" t="s">
        <v>2003</v>
      </c>
      <c r="F32" s="83">
        <f>'数据-取费表'!B41</f>
        <v>5.6000000000000001E-2</v>
      </c>
      <c r="G32" s="106"/>
      <c r="H32" s="110"/>
      <c r="I32" s="185"/>
      <c r="J32" s="186"/>
      <c r="K32" s="187"/>
      <c r="L32" s="188"/>
      <c r="M32" s="189"/>
    </row>
    <row r="33" spans="1:18" ht="18" customHeight="1">
      <c r="A33" s="73" t="s">
        <v>891</v>
      </c>
      <c r="B33" s="39" t="s">
        <v>2016</v>
      </c>
      <c r="C33" s="79">
        <f ca="1">IF(D33="按租金收入计税",ROUND(C6*F33/(1+'数据-取费表'!C42),1),IF(D33="按房产原值计税",ROUND(C29*F33*0.7,1),INDIRECT("'数据-取费表'!Aj"&amp;$G$1)))</f>
        <v>1074.3</v>
      </c>
      <c r="D33" s="111" t="s">
        <v>2444</v>
      </c>
      <c r="E33" s="39" t="s">
        <v>2003</v>
      </c>
      <c r="F33" s="83">
        <f>IF(D33="按租金收入计税",'数据-取费表'!B51,'数据-取费表'!B50)</f>
        <v>0.12</v>
      </c>
      <c r="G33" s="106"/>
      <c r="H33" s="112"/>
      <c r="I33" s="112"/>
      <c r="J33" s="112"/>
      <c r="K33" s="190"/>
      <c r="L33" s="112"/>
      <c r="M33" s="112"/>
    </row>
    <row r="34" spans="1:18" ht="18" customHeight="1">
      <c r="A34" s="88" t="s">
        <v>894</v>
      </c>
      <c r="B34" s="113" t="s">
        <v>2021</v>
      </c>
      <c r="C34" s="114">
        <f ca="1">ROUND(F34*F35/10000,1)</f>
        <v>63.1</v>
      </c>
      <c r="D34" s="115" t="s">
        <v>2022</v>
      </c>
      <c r="E34" s="39" t="s">
        <v>2023</v>
      </c>
      <c r="F34" s="92">
        <f>'数据-取费表'!B52</f>
        <v>15</v>
      </c>
      <c r="G34" s="106"/>
      <c r="H34" s="107"/>
      <c r="I34" s="191" t="s">
        <v>2265</v>
      </c>
      <c r="J34" s="192"/>
      <c r="K34" s="193"/>
      <c r="L34" s="194"/>
      <c r="M34" s="194"/>
    </row>
    <row r="35" spans="1:18" ht="18" customHeight="1">
      <c r="A35" s="116"/>
      <c r="B35" s="117"/>
      <c r="C35" s="118"/>
      <c r="D35" s="119"/>
      <c r="E35" s="39" t="s">
        <v>2028</v>
      </c>
      <c r="F35" s="40">
        <f ca="1">INDIRECT("'数据-取费表'!r"&amp;$G$1)</f>
        <v>42079.21</v>
      </c>
      <c r="G35" s="106"/>
      <c r="H35" s="107"/>
      <c r="I35" s="195" t="s">
        <v>2266</v>
      </c>
      <c r="J35" s="196">
        <f ca="1">ROUND(C13*J36,0)</f>
        <v>4743</v>
      </c>
      <c r="K35" s="190"/>
      <c r="L35" s="112"/>
      <c r="M35" s="112"/>
    </row>
    <row r="36" spans="1:18" ht="18" customHeight="1">
      <c r="A36" s="78" t="s">
        <v>864</v>
      </c>
      <c r="B36" s="39" t="s">
        <v>2031</v>
      </c>
      <c r="C36" s="79">
        <f ca="1">ROUND(C29*F36,1)</f>
        <v>889.4</v>
      </c>
      <c r="D36" s="108" t="s">
        <v>2066</v>
      </c>
      <c r="E36" s="39" t="s">
        <v>2003</v>
      </c>
      <c r="F36" s="120">
        <f ca="1">INDIRECT("'数据-取费表'!Ak"&amp;$G$1)</f>
        <v>1.4999999999999999E-2</v>
      </c>
      <c r="G36" s="106"/>
      <c r="H36" s="112"/>
      <c r="I36" s="197" t="s">
        <v>2267</v>
      </c>
      <c r="J36" s="198">
        <f ca="1">INDIRECT("'数据-取费表'!j"&amp;$G$1)</f>
        <v>0.08</v>
      </c>
      <c r="K36" s="199"/>
      <c r="L36" s="112"/>
      <c r="M36" s="112"/>
    </row>
    <row r="37" spans="1:18" ht="18" customHeight="1">
      <c r="A37" s="78" t="s">
        <v>1085</v>
      </c>
      <c r="B37" s="39" t="s">
        <v>2035</v>
      </c>
      <c r="C37" s="79">
        <f ca="1">ROUND(C13*F37,1)</f>
        <v>88.9</v>
      </c>
      <c r="D37" s="108" t="s">
        <v>2036</v>
      </c>
      <c r="E37" s="39" t="s">
        <v>2003</v>
      </c>
      <c r="F37" s="121">
        <f ca="1">INDIRECT("'数据-取费表'!Al"&amp;$G$1)</f>
        <v>1.5E-3</v>
      </c>
      <c r="G37" s="106"/>
      <c r="H37" s="112"/>
      <c r="I37" s="200" t="s">
        <v>2268</v>
      </c>
      <c r="J37" s="201"/>
      <c r="K37" s="199"/>
      <c r="L37" s="112"/>
      <c r="M37" s="112"/>
    </row>
    <row r="38" spans="1:18" ht="18" customHeight="1">
      <c r="A38" s="67" t="s">
        <v>2257</v>
      </c>
      <c r="B38" s="101" t="s">
        <v>2019</v>
      </c>
      <c r="C38" s="99">
        <f ca="1">ROUND(C5*F38,1)</f>
        <v>141.19999999999999</v>
      </c>
      <c r="D38" s="100" t="s">
        <v>2039</v>
      </c>
      <c r="E38" s="101" t="s">
        <v>2003</v>
      </c>
      <c r="F38" s="66">
        <f ca="1">INDIRECT("'数据-取费表'!Am"&amp;$G$1)</f>
        <v>1.4999999999999999E-2</v>
      </c>
      <c r="G38" s="106"/>
      <c r="H38" s="112"/>
      <c r="I38" s="202" t="s">
        <v>2269</v>
      </c>
      <c r="J38" s="203"/>
      <c r="K38" s="204"/>
      <c r="L38" s="112"/>
      <c r="M38" s="112"/>
    </row>
    <row r="39" spans="1:18" ht="24.6" customHeight="1">
      <c r="A39" s="68" t="s">
        <v>2258</v>
      </c>
      <c r="B39" s="122" t="s">
        <v>2043</v>
      </c>
      <c r="C39" s="70">
        <f ca="1">C5-C30</f>
        <v>6654</v>
      </c>
      <c r="D39" s="123" t="s">
        <v>2044</v>
      </c>
      <c r="E39" s="124"/>
      <c r="F39" s="125"/>
      <c r="G39" s="106"/>
      <c r="H39" s="112"/>
      <c r="I39" s="195" t="s">
        <v>2270</v>
      </c>
      <c r="J39" s="205">
        <f ca="1">ROUND(J35/C39,3)</f>
        <v>0.71299999999999997</v>
      </c>
      <c r="K39" s="204"/>
      <c r="L39" s="112"/>
      <c r="M39" s="112"/>
    </row>
    <row r="40" spans="1:18" ht="18" customHeight="1">
      <c r="A40" s="30" t="s">
        <v>2259</v>
      </c>
      <c r="B40" s="126" t="s">
        <v>2271</v>
      </c>
      <c r="C40" s="37">
        <f ca="1">ROUND(C39*(1-((1+F42)/(1+F40))^F41)/(F40-F42),0)</f>
        <v>130632</v>
      </c>
      <c r="D40" s="115" t="s">
        <v>2049</v>
      </c>
      <c r="E40" s="39" t="s">
        <v>2261</v>
      </c>
      <c r="F40" s="48">
        <f ca="1">INDIRECT("'数据-取费表'!I"&amp;$G$1)</f>
        <v>5.5E-2</v>
      </c>
      <c r="G40" s="106"/>
      <c r="H40" s="106"/>
      <c r="I40" s="195" t="s">
        <v>2272</v>
      </c>
      <c r="J40" s="205">
        <f ca="1">1-J39</f>
        <v>0.28700000000000003</v>
      </c>
      <c r="K40" s="204"/>
      <c r="L40" s="106"/>
      <c r="M40" s="106"/>
    </row>
    <row r="41" spans="1:18" ht="18" customHeight="1">
      <c r="A41" s="47"/>
      <c r="B41" s="127"/>
      <c r="C41" s="43"/>
      <c r="D41" s="128" t="s">
        <v>2053</v>
      </c>
      <c r="E41" s="39" t="s">
        <v>2054</v>
      </c>
      <c r="F41" s="129">
        <f ca="1">IF(INDIRECT("'数据-取费表'!af"&amp;$G$1)=0,INDIRECT("'数据-取费表'!ae"&amp;$G$1),INDIRECT("'数据-取费表'!af"&amp;$G$1))</f>
        <v>34.44</v>
      </c>
      <c r="G41" s="106"/>
      <c r="H41" s="130"/>
      <c r="I41" s="202" t="s">
        <v>2273</v>
      </c>
      <c r="J41" s="206"/>
      <c r="K41" s="199"/>
      <c r="L41" s="130"/>
      <c r="M41" s="130"/>
    </row>
    <row r="42" spans="1:18" ht="18" customHeight="1">
      <c r="A42" s="56"/>
      <c r="B42" s="131"/>
      <c r="C42" s="70"/>
      <c r="D42" s="119"/>
      <c r="E42" s="39" t="s">
        <v>2058</v>
      </c>
      <c r="F42" s="48">
        <f ca="1">INDIRECT("'数据-取费表'!v"&amp;$G$1)</f>
        <v>0.02</v>
      </c>
      <c r="G42" s="106"/>
      <c r="H42" s="130"/>
      <c r="I42" s="207" t="s">
        <v>2274</v>
      </c>
      <c r="J42" s="205">
        <f ca="1">ROUND(C13/C40,3)</f>
        <v>0.45400000000000001</v>
      </c>
      <c r="K42" s="199"/>
      <c r="L42" s="130"/>
      <c r="M42" s="130"/>
    </row>
    <row r="43" spans="1:18" ht="18" customHeight="1">
      <c r="A43" s="103" t="s">
        <v>2263</v>
      </c>
      <c r="B43" s="132" t="s">
        <v>2275</v>
      </c>
      <c r="C43" s="133">
        <f ca="1">ROUND(C40*10000/F43,0)</f>
        <v>8623</v>
      </c>
      <c r="D43" s="134" t="s">
        <v>2276</v>
      </c>
      <c r="E43" s="135" t="s">
        <v>2277</v>
      </c>
      <c r="F43" s="136">
        <f ca="1">INDIRECT("'数据-取费表'!k"&amp;$G$1)</f>
        <v>151484.87</v>
      </c>
      <c r="G43" s="106"/>
      <c r="H43" s="130"/>
      <c r="I43" s="207" t="s">
        <v>2278</v>
      </c>
      <c r="J43" s="208">
        <f ca="1">1-J42</f>
        <v>0.54600000000000004</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2279</v>
      </c>
      <c r="B46" s="137"/>
      <c r="C46" s="140">
        <f ca="1">C67-C40</f>
        <v>-146565</v>
      </c>
      <c r="D46" s="137"/>
      <c r="E46" s="137"/>
      <c r="F46" s="137"/>
      <c r="I46" s="210" t="s">
        <v>2079</v>
      </c>
      <c r="J46" s="211"/>
      <c r="K46" s="212"/>
      <c r="L46" s="213">
        <f>IF(OR(M47="住宅",D1="土地（套用方法）"),0,IF(L48&gt;J51,L60,J60))</f>
        <v>0</v>
      </c>
      <c r="O46" s="214" t="s">
        <v>2080</v>
      </c>
      <c r="P46" s="29"/>
      <c r="Q46" s="219"/>
      <c r="R46" s="29"/>
    </row>
    <row r="47" spans="1:18" s="3" customFormat="1" ht="18" customHeight="1">
      <c r="A47" s="141">
        <v>1</v>
      </c>
      <c r="B47" s="142" t="s">
        <v>2280</v>
      </c>
      <c r="C47" s="140">
        <f ca="1">C48+C52+C54</f>
        <v>0</v>
      </c>
      <c r="D47" s="137"/>
      <c r="E47" s="137"/>
      <c r="F47" s="137"/>
      <c r="I47" s="215" t="s">
        <v>2081</v>
      </c>
      <c r="J47" s="216" t="s">
        <v>2141</v>
      </c>
      <c r="K47" s="217" t="s">
        <v>2082</v>
      </c>
      <c r="L47" s="218">
        <f ca="1">INDIRECT("'数据-取费表'!d"&amp;$G$1)</f>
        <v>50</v>
      </c>
      <c r="M47" s="219" t="str">
        <f>IF(ISNUMBER(FIND("住宅",C1)),"住宅","非住宅")</f>
        <v>非住宅</v>
      </c>
      <c r="O47" s="220" t="s">
        <v>1392</v>
      </c>
      <c r="P47" s="221" t="s">
        <v>2083</v>
      </c>
      <c r="Q47" s="259" t="s">
        <v>2084</v>
      </c>
      <c r="R47" s="221" t="s">
        <v>2085</v>
      </c>
    </row>
    <row r="48" spans="1:18" s="3" customFormat="1" ht="18" customHeight="1">
      <c r="A48" s="143" t="s">
        <v>1196</v>
      </c>
      <c r="B48" s="144" t="s">
        <v>2281</v>
      </c>
      <c r="C48" s="145">
        <f ca="1">ROUND(F48*F50*F49*(1-F51)/10000,0)</f>
        <v>0</v>
      </c>
      <c r="D48" s="146" t="s">
        <v>2252</v>
      </c>
      <c r="E48" s="147" t="s">
        <v>2282</v>
      </c>
      <c r="F48" s="148"/>
      <c r="G48" s="149"/>
      <c r="I48" s="222" t="s">
        <v>2086</v>
      </c>
      <c r="J48" s="223" t="s">
        <v>2136</v>
      </c>
      <c r="K48" s="224" t="s">
        <v>2087</v>
      </c>
      <c r="L48" s="225">
        <f ca="1">INDIRECT("'数据-取费表'!f"&amp;$G$1)</f>
        <v>37.44</v>
      </c>
      <c r="O48" s="226" t="s">
        <v>2088</v>
      </c>
      <c r="P48" s="227" t="s">
        <v>2089</v>
      </c>
      <c r="Q48" s="260">
        <f ca="1">C40+J29</f>
        <v>130632</v>
      </c>
      <c r="R48" s="227" t="s">
        <v>2090</v>
      </c>
    </row>
    <row r="49" spans="1:18" s="3" customFormat="1" ht="18" customHeight="1">
      <c r="A49" s="47"/>
      <c r="B49" s="127"/>
      <c r="C49" s="43"/>
      <c r="D49" s="44"/>
      <c r="E49" s="39" t="s">
        <v>1988</v>
      </c>
      <c r="F49" s="40">
        <f ca="1">F7</f>
        <v>151484.87</v>
      </c>
      <c r="G49" s="149"/>
      <c r="H49" s="150"/>
      <c r="I49" s="222" t="s">
        <v>2091</v>
      </c>
      <c r="J49" s="228"/>
      <c r="K49" s="229" t="s">
        <v>2092</v>
      </c>
      <c r="L49" s="230"/>
      <c r="O49" s="226" t="s">
        <v>2093</v>
      </c>
      <c r="P49" s="227" t="s">
        <v>2094</v>
      </c>
      <c r="Q49" s="260" t="str">
        <f ca="1">J60</f>
        <v>0</v>
      </c>
      <c r="R49" s="227" t="s">
        <v>2095</v>
      </c>
    </row>
    <row r="50" spans="1:18" s="3" customFormat="1" ht="18" customHeight="1">
      <c r="A50" s="47"/>
      <c r="B50" s="127"/>
      <c r="C50" s="43"/>
      <c r="D50" s="44"/>
      <c r="E50" s="39" t="s">
        <v>1989</v>
      </c>
      <c r="F50" s="40">
        <f ca="1">F8</f>
        <v>365</v>
      </c>
      <c r="G50" s="151"/>
      <c r="H50" s="150"/>
      <c r="I50" s="222" t="s">
        <v>2096</v>
      </c>
      <c r="J50" s="231">
        <f>SUMPRODUCT((I63:I65=J47)*(J62:L62=J48)*(J63:L65))</f>
        <v>60</v>
      </c>
      <c r="K50" s="229" t="s">
        <v>2097</v>
      </c>
      <c r="L50" s="230"/>
      <c r="O50" s="232" t="s">
        <v>2098</v>
      </c>
      <c r="P50" s="227" t="s">
        <v>2099</v>
      </c>
      <c r="Q50" s="260">
        <f ca="1">C29</f>
        <v>59290</v>
      </c>
      <c r="R50" s="227" t="s">
        <v>2090</v>
      </c>
    </row>
    <row r="51" spans="1:18" s="3" customFormat="1" ht="18" customHeight="1">
      <c r="A51" s="47"/>
      <c r="B51" s="127"/>
      <c r="C51" s="43"/>
      <c r="D51" s="44"/>
      <c r="E51" s="39" t="s">
        <v>1990</v>
      </c>
      <c r="F51" s="152"/>
      <c r="H51" s="150"/>
      <c r="I51" s="233" t="s">
        <v>2100</v>
      </c>
      <c r="J51" s="234">
        <f>IF(J49="",J50,J49+J50-YEAR('数据-取费表'!B2))</f>
        <v>60</v>
      </c>
      <c r="K51" s="222" t="s">
        <v>2101</v>
      </c>
      <c r="L51" s="235">
        <f ca="1">ROUND(-PV(INDIRECT("'数据-取费表'!h"&amp;$G$1),L48,(C39-C13*J36),0),0)</f>
        <v>32065</v>
      </c>
      <c r="O51" s="232" t="s">
        <v>2102</v>
      </c>
      <c r="P51" s="227" t="s">
        <v>2103</v>
      </c>
      <c r="Q51" s="261" t="e">
        <f ca="1">J58</f>
        <v>#VALUE!</v>
      </c>
      <c r="R51" s="262"/>
    </row>
    <row r="52" spans="1:18" s="3" customFormat="1" ht="18" customHeight="1">
      <c r="A52" s="30" t="s">
        <v>2283</v>
      </c>
      <c r="B52" s="50" t="s">
        <v>1991</v>
      </c>
      <c r="C52" s="51">
        <f ca="1">ROUND(IF(F52="押一",C48/12*F11,IF(F52="押二",C48/12*2*F11,IF(F52="押三",C48/12*3*F11,C53*F11))),0)</f>
        <v>0</v>
      </c>
      <c r="D52" s="52" t="s">
        <v>1992</v>
      </c>
      <c r="E52" s="53" t="s">
        <v>1993</v>
      </c>
      <c r="F52" s="54"/>
      <c r="I52" s="236" t="s">
        <v>2104</v>
      </c>
      <c r="J52" s="237">
        <v>8.5000000000000006E-2</v>
      </c>
      <c r="K52" s="236" t="s">
        <v>1261</v>
      </c>
      <c r="L52" s="237"/>
      <c r="O52" s="232" t="s">
        <v>2105</v>
      </c>
      <c r="P52" s="227" t="s">
        <v>2106</v>
      </c>
      <c r="Q52" s="261">
        <f>J52</f>
        <v>8.5000000000000006E-2</v>
      </c>
      <c r="R52" s="262"/>
    </row>
    <row r="53" spans="1:18" s="3" customFormat="1" ht="39.75" customHeight="1">
      <c r="A53" s="47"/>
      <c r="B53" s="57" t="s">
        <v>1994</v>
      </c>
      <c r="C53" s="58"/>
      <c r="D53" s="52"/>
      <c r="E53" s="53"/>
      <c r="F53" s="153"/>
      <c r="I53" s="238" t="s">
        <v>2107</v>
      </c>
      <c r="J53" s="239">
        <f ca="1">IF(M47="住宅",IF(D1="——",MAX(J51,L48),MAX(J51,L48-'数据-取费表'!B20)),IF(D1="——",MIN(J51,L48),MIN(J51,L48-'数据-取费表'!B20)))</f>
        <v>34.44</v>
      </c>
      <c r="K53" s="3469" t="s">
        <v>2284</v>
      </c>
      <c r="L53" s="3470"/>
      <c r="O53" s="232" t="s">
        <v>2108</v>
      </c>
      <c r="P53" s="227" t="s">
        <v>2109</v>
      </c>
      <c r="Q53" s="260">
        <f ca="1">J53</f>
        <v>34.44</v>
      </c>
      <c r="R53" s="227" t="s">
        <v>2110</v>
      </c>
    </row>
    <row r="54" spans="1:18" s="3" customFormat="1" ht="18" customHeight="1">
      <c r="A54" s="61" t="s">
        <v>1085</v>
      </c>
      <c r="B54" s="62" t="s">
        <v>1995</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2111</v>
      </c>
      <c r="P54" s="227" t="s">
        <v>2112</v>
      </c>
      <c r="Q54" s="260">
        <f ca="1">Q48+Q49</f>
        <v>130632</v>
      </c>
      <c r="R54" s="262" t="s">
        <v>2113</v>
      </c>
    </row>
    <row r="55" spans="1:18" s="3" customFormat="1" ht="18" customHeight="1">
      <c r="A55" s="154">
        <v>2</v>
      </c>
      <c r="B55" s="155" t="s">
        <v>1999</v>
      </c>
      <c r="C55" s="51">
        <f ca="1">C13</f>
        <v>59290</v>
      </c>
      <c r="D55" s="95"/>
      <c r="E55" s="95"/>
      <c r="F55" s="153"/>
      <c r="I55" s="240" t="s">
        <v>2114</v>
      </c>
      <c r="J55" s="241" t="e">
        <f ca="1">ROUND(IF(J47="钢混",J57/J50,1-(1-2%)*(J50-J57)/J50),3)</f>
        <v>#VALUE!</v>
      </c>
      <c r="K55" s="242" t="s">
        <v>2115</v>
      </c>
      <c r="L55" s="243"/>
      <c r="O55" s="244" t="s">
        <v>2116</v>
      </c>
      <c r="P55" s="29"/>
      <c r="Q55" s="219"/>
      <c r="R55" s="29"/>
    </row>
    <row r="56" spans="1:18" s="3" customFormat="1" ht="42.75" customHeight="1">
      <c r="A56" s="94"/>
      <c r="B56" s="156" t="s">
        <v>2060</v>
      </c>
      <c r="C56" s="79">
        <f ca="1">C29</f>
        <v>59290</v>
      </c>
      <c r="D56" s="108"/>
      <c r="E56" s="39"/>
      <c r="F56" s="83"/>
      <c r="I56" s="245" t="s">
        <v>2117</v>
      </c>
      <c r="J56" s="246" t="s">
        <v>484</v>
      </c>
      <c r="K56" s="222" t="s">
        <v>2118</v>
      </c>
      <c r="L56" s="225" t="str">
        <f ca="1">IF(L48&lt;J51,"——",L48-J51)</f>
        <v>——</v>
      </c>
      <c r="O56" s="220" t="s">
        <v>1392</v>
      </c>
      <c r="P56" s="221" t="s">
        <v>2083</v>
      </c>
      <c r="Q56" s="259" t="s">
        <v>2084</v>
      </c>
      <c r="R56" s="221" t="s">
        <v>2085</v>
      </c>
    </row>
    <row r="57" spans="1:18" s="3" customFormat="1" ht="28.5" customHeight="1">
      <c r="A57" s="154" t="s">
        <v>2063</v>
      </c>
      <c r="B57" s="155" t="s">
        <v>2004</v>
      </c>
      <c r="C57" s="51">
        <f ca="1">ROUND(C58+C63+C64+C65,0)</f>
        <v>1041</v>
      </c>
      <c r="D57" s="157" t="s">
        <v>2005</v>
      </c>
      <c r="E57" s="86"/>
      <c r="F57" s="84"/>
      <c r="I57" s="247" t="s">
        <v>2119</v>
      </c>
      <c r="J57" s="248" t="str">
        <f ca="1">IF(OR(M47="住宅",J51&lt;L48,J56="是"),"——",J51-L48)</f>
        <v>——</v>
      </c>
      <c r="K57" s="222" t="s">
        <v>2120</v>
      </c>
      <c r="L57" s="225" t="str">
        <f ca="1">IF(L48&lt;J51,"——",IF(L55="比较法",L49,IF(L55="基准地价",L50,L51)))</f>
        <v>——</v>
      </c>
      <c r="O57" s="226" t="s">
        <v>2088</v>
      </c>
      <c r="P57" s="227" t="s">
        <v>2089</v>
      </c>
      <c r="Q57" s="260">
        <f ca="1">C40+J29</f>
        <v>130632</v>
      </c>
      <c r="R57" s="227" t="s">
        <v>2090</v>
      </c>
    </row>
    <row r="58" spans="1:18" s="3" customFormat="1" ht="28.5" customHeight="1">
      <c r="A58" s="78" t="s">
        <v>862</v>
      </c>
      <c r="B58" s="39" t="s">
        <v>2009</v>
      </c>
      <c r="C58" s="79">
        <f ca="1">ROUND(IF(项目基本情况!B11="自然人",C47*F58,C59+C60+C61),1)</f>
        <v>63.1</v>
      </c>
      <c r="D58" s="75" t="s">
        <v>2010</v>
      </c>
      <c r="E58" s="108" t="s">
        <v>2011</v>
      </c>
      <c r="F58" s="109" t="str">
        <f ca="1">IF(项目基本情况!B11="企业","",IF(INDIRECT("'数据-取费表'!c"&amp;$G$1)="住宅",5%,IF(F48*F49*F50/12/(1+'数据-取费表'!C42)&gt;20000,12%,7%)))</f>
        <v/>
      </c>
      <c r="I58" s="247" t="s">
        <v>2121</v>
      </c>
      <c r="J58" s="249" t="e">
        <f ca="1">IF(J55&lt;0.4,0.4,J55)</f>
        <v>#VALUE!</v>
      </c>
      <c r="K58" s="222" t="s">
        <v>2122</v>
      </c>
      <c r="L58" s="225" t="e">
        <f ca="1">ROUND(POWER(1+L52,L47-L48)*(POWER(1+L52,L48)-1)/(POWER(1+L52,L47)-1),4)</f>
        <v>#DIV/0!</v>
      </c>
      <c r="O58" s="226" t="s">
        <v>2093</v>
      </c>
      <c r="P58" s="227" t="s">
        <v>2123</v>
      </c>
      <c r="Q58" s="260">
        <f ca="1">L60</f>
        <v>0</v>
      </c>
      <c r="R58" s="262" t="s">
        <v>2124</v>
      </c>
    </row>
    <row r="59" spans="1:18" s="3" customFormat="1" ht="28.5" customHeight="1">
      <c r="A59" s="73" t="s">
        <v>886</v>
      </c>
      <c r="B59" s="39" t="s">
        <v>2012</v>
      </c>
      <c r="C59" s="79">
        <f ca="1">ROUND(C47*F59/1.05,1)</f>
        <v>0</v>
      </c>
      <c r="D59" s="108" t="s">
        <v>2013</v>
      </c>
      <c r="E59" s="39" t="s">
        <v>2003</v>
      </c>
      <c r="F59" s="83">
        <f t="shared" ref="F59:F65" si="0">F32</f>
        <v>5.6000000000000001E-2</v>
      </c>
      <c r="I59" s="247" t="s">
        <v>2125</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2098</v>
      </c>
      <c r="P59" s="227" t="s">
        <v>2127</v>
      </c>
      <c r="Q59" s="260">
        <f>IF(L55="比较法",L49,IF(L55="基准地价",L50,0))</f>
        <v>0</v>
      </c>
      <c r="R59" s="227" t="s">
        <v>2090</v>
      </c>
    </row>
    <row r="60" spans="1:18" s="3" customFormat="1" ht="18" customHeight="1">
      <c r="A60" s="73" t="s">
        <v>891</v>
      </c>
      <c r="B60" s="39" t="s">
        <v>2016</v>
      </c>
      <c r="C60" s="79">
        <f ca="1">IF(D60="按租金收入计税",ROUND(C47*F60,1),IF(D60="按房产原值计税",ROUND(C56*F60*0.7,1),INDIRECT("'数据-取费表'!Aj"&amp;$G$1)))</f>
        <v>0</v>
      </c>
      <c r="D60" s="108" t="str">
        <f>D33</f>
        <v>按租金收入计税</v>
      </c>
      <c r="E60" s="39" t="s">
        <v>2003</v>
      </c>
      <c r="F60" s="83">
        <f t="shared" si="0"/>
        <v>0.12</v>
      </c>
      <c r="I60" s="250" t="s">
        <v>2128</v>
      </c>
      <c r="J60" s="251" t="str">
        <f ca="1">IF(OR(M47="住宅",J51&lt;L48,J56="是"),"0",ROUND(J59/(1+J52)^J53,0))</f>
        <v>0</v>
      </c>
      <c r="K60" s="252" t="s">
        <v>2129</v>
      </c>
      <c r="L60" s="251">
        <f ca="1">IF(OR(M47="住宅",L48&lt;J51),0,ROUND(L57*(L58/L59-1),0))</f>
        <v>0</v>
      </c>
      <c r="O60" s="232" t="s">
        <v>2102</v>
      </c>
      <c r="P60" s="227" t="s">
        <v>2130</v>
      </c>
      <c r="Q60" s="261">
        <f>L52</f>
        <v>0</v>
      </c>
      <c r="R60" s="262"/>
    </row>
    <row r="61" spans="1:18" s="3" customFormat="1" ht="18" customHeight="1">
      <c r="A61" s="88" t="s">
        <v>894</v>
      </c>
      <c r="B61" s="113" t="s">
        <v>2021</v>
      </c>
      <c r="C61" s="114">
        <f ca="1">ROUND(F61*F62/10000,1)</f>
        <v>63.1</v>
      </c>
      <c r="D61" s="115" t="s">
        <v>2022</v>
      </c>
      <c r="E61" s="39" t="s">
        <v>2023</v>
      </c>
      <c r="F61" s="92">
        <f t="shared" si="0"/>
        <v>15</v>
      </c>
      <c r="K61" s="209"/>
      <c r="O61" s="232" t="s">
        <v>2105</v>
      </c>
      <c r="P61" s="227" t="s">
        <v>2131</v>
      </c>
      <c r="Q61" s="260" t="e">
        <f ca="1">L58</f>
        <v>#DIV/0!</v>
      </c>
      <c r="R61" s="262" t="s">
        <v>2132</v>
      </c>
    </row>
    <row r="62" spans="1:18" s="3" customFormat="1">
      <c r="A62" s="116"/>
      <c r="B62" s="117"/>
      <c r="C62" s="118"/>
      <c r="D62" s="119"/>
      <c r="E62" s="39" t="s">
        <v>2028</v>
      </c>
      <c r="F62" s="40">
        <f t="shared" ca="1" si="0"/>
        <v>42079.21</v>
      </c>
      <c r="I62" s="253" t="s">
        <v>2133</v>
      </c>
      <c r="J62" s="254" t="s">
        <v>2134</v>
      </c>
      <c r="K62" s="254" t="s">
        <v>2135</v>
      </c>
      <c r="L62" s="254" t="s">
        <v>2136</v>
      </c>
      <c r="M62" s="255" t="s">
        <v>2137</v>
      </c>
      <c r="O62" s="232" t="s">
        <v>2108</v>
      </c>
      <c r="P62" s="227" t="str">
        <f>K59</f>
        <v>建设期及建筑物耐用年限下的土地年期修正系数Kn</v>
      </c>
      <c r="Q62" s="260" t="e">
        <f ca="1">L59</f>
        <v>#DIV/0!</v>
      </c>
      <c r="R62" s="262" t="s">
        <v>2139</v>
      </c>
    </row>
    <row r="63" spans="1:18" s="3" customFormat="1">
      <c r="A63" s="78" t="s">
        <v>864</v>
      </c>
      <c r="B63" s="39" t="s">
        <v>2031</v>
      </c>
      <c r="C63" s="79">
        <f ca="1">ROUND(C56*F63,1)</f>
        <v>889.4</v>
      </c>
      <c r="D63" s="108" t="s">
        <v>2066</v>
      </c>
      <c r="E63" s="39" t="s">
        <v>2003</v>
      </c>
      <c r="F63" s="120">
        <f t="shared" ca="1" si="0"/>
        <v>1.4999999999999999E-2</v>
      </c>
      <c r="I63" s="253" t="s">
        <v>2140</v>
      </c>
      <c r="J63" s="254">
        <v>70</v>
      </c>
      <c r="K63" s="254">
        <v>50</v>
      </c>
      <c r="L63" s="254">
        <v>80</v>
      </c>
      <c r="M63" s="256">
        <v>0.02</v>
      </c>
      <c r="O63" s="226" t="s">
        <v>2111</v>
      </c>
      <c r="P63" s="227" t="s">
        <v>2112</v>
      </c>
      <c r="Q63" s="260">
        <f ca="1">Q57+Q58</f>
        <v>130632</v>
      </c>
      <c r="R63" s="262" t="s">
        <v>2113</v>
      </c>
    </row>
    <row r="64" spans="1:18" s="3" customFormat="1" ht="15.75">
      <c r="A64" s="78" t="s">
        <v>1085</v>
      </c>
      <c r="B64" s="39" t="s">
        <v>2035</v>
      </c>
      <c r="C64" s="79">
        <f ca="1">ROUND(C55*F64,1)</f>
        <v>88.9</v>
      </c>
      <c r="D64" s="108" t="s">
        <v>2036</v>
      </c>
      <c r="E64" s="39" t="s">
        <v>2003</v>
      </c>
      <c r="F64" s="121">
        <f t="shared" ca="1" si="0"/>
        <v>1.5E-3</v>
      </c>
      <c r="I64" s="253" t="s">
        <v>2141</v>
      </c>
      <c r="J64" s="254">
        <v>50</v>
      </c>
      <c r="K64" s="254">
        <v>35</v>
      </c>
      <c r="L64" s="254">
        <v>60</v>
      </c>
      <c r="M64" s="206">
        <v>0</v>
      </c>
      <c r="O64" s="244" t="s">
        <v>2142</v>
      </c>
      <c r="P64" s="29"/>
      <c r="Q64" s="219"/>
      <c r="R64" s="29"/>
    </row>
    <row r="65" spans="1:18" s="3" customFormat="1">
      <c r="A65" s="78" t="s">
        <v>2257</v>
      </c>
      <c r="B65" s="39" t="s">
        <v>2019</v>
      </c>
      <c r="C65" s="79">
        <f ca="1">ROUND(C47*F65,1)</f>
        <v>0</v>
      </c>
      <c r="D65" s="108" t="s">
        <v>2039</v>
      </c>
      <c r="E65" s="39" t="s">
        <v>2003</v>
      </c>
      <c r="F65" s="48">
        <f t="shared" ca="1" si="0"/>
        <v>1.4999999999999999E-2</v>
      </c>
      <c r="I65" s="253" t="s">
        <v>2143</v>
      </c>
      <c r="J65" s="254">
        <v>40</v>
      </c>
      <c r="K65" s="254">
        <v>30</v>
      </c>
      <c r="L65" s="254">
        <v>50</v>
      </c>
      <c r="M65" s="256">
        <v>0.02</v>
      </c>
      <c r="O65" s="220" t="s">
        <v>1392</v>
      </c>
      <c r="P65" s="221" t="s">
        <v>2083</v>
      </c>
      <c r="Q65" s="259" t="s">
        <v>2084</v>
      </c>
      <c r="R65" s="221" t="s">
        <v>2085</v>
      </c>
    </row>
    <row r="66" spans="1:18" s="3" customFormat="1" ht="24">
      <c r="A66" s="154" t="s">
        <v>2258</v>
      </c>
      <c r="B66" s="263" t="s">
        <v>2043</v>
      </c>
      <c r="C66" s="51">
        <f ca="1">C47-C57</f>
        <v>-1041</v>
      </c>
      <c r="D66" s="75" t="s">
        <v>2044</v>
      </c>
      <c r="E66" s="264"/>
      <c r="F66" s="265"/>
      <c r="K66" s="209"/>
      <c r="O66" s="226" t="s">
        <v>2088</v>
      </c>
      <c r="P66" s="227" t="s">
        <v>2089</v>
      </c>
      <c r="Q66" s="260">
        <f ca="1">C40+J29</f>
        <v>130632</v>
      </c>
      <c r="R66" s="227" t="s">
        <v>2090</v>
      </c>
    </row>
    <row r="67" spans="1:18" s="3" customFormat="1" ht="19.5">
      <c r="A67" s="30" t="s">
        <v>2259</v>
      </c>
      <c r="B67" s="126" t="s">
        <v>2271</v>
      </c>
      <c r="C67" s="37">
        <f ca="1">ROUND(C66*(1-((1+F69)/(1+F67))^F68)/(F67-F69),0)</f>
        <v>-15933</v>
      </c>
      <c r="D67" s="115" t="s">
        <v>2049</v>
      </c>
      <c r="E67" s="39" t="s">
        <v>2050</v>
      </c>
      <c r="F67" s="48">
        <f ca="1">F40</f>
        <v>5.5E-2</v>
      </c>
      <c r="K67" s="209"/>
      <c r="O67" s="226" t="s">
        <v>2093</v>
      </c>
      <c r="P67" s="227" t="s">
        <v>2123</v>
      </c>
      <c r="Q67" s="260">
        <f ca="1">L60</f>
        <v>0</v>
      </c>
      <c r="R67" s="262" t="s">
        <v>2124</v>
      </c>
    </row>
    <row r="68" spans="1:18" ht="21">
      <c r="A68" s="47"/>
      <c r="B68" s="127"/>
      <c r="C68" s="43"/>
      <c r="D68" s="128" t="s">
        <v>2053</v>
      </c>
      <c r="E68" s="39" t="s">
        <v>2054</v>
      </c>
      <c r="F68" s="129">
        <f ca="1">F41</f>
        <v>34.44</v>
      </c>
      <c r="O68" s="232" t="s">
        <v>2098</v>
      </c>
      <c r="P68" s="227" t="s">
        <v>2127</v>
      </c>
      <c r="Q68" s="267">
        <f ca="1">L51</f>
        <v>32065</v>
      </c>
      <c r="R68" s="268" t="s">
        <v>2144</v>
      </c>
    </row>
    <row r="69" spans="1:18" ht="19.5">
      <c r="A69" s="56"/>
      <c r="B69" s="131"/>
      <c r="C69" s="70"/>
      <c r="D69" s="119"/>
      <c r="E69" s="39" t="s">
        <v>2058</v>
      </c>
      <c r="F69" s="152"/>
      <c r="O69" s="232" t="s">
        <v>2102</v>
      </c>
      <c r="P69" s="266" t="s">
        <v>2145</v>
      </c>
      <c r="Q69" s="260">
        <f ca="1">ROUND(Q70-Q71*Q72,0)</f>
        <v>1911</v>
      </c>
      <c r="R69" s="262"/>
    </row>
    <row r="70" spans="1:18">
      <c r="A70" s="103" t="s">
        <v>2263</v>
      </c>
      <c r="B70" s="132" t="s">
        <v>2275</v>
      </c>
      <c r="C70" s="133">
        <f ca="1">ROUND(C67*10000/F70,0)</f>
        <v>-1052</v>
      </c>
      <c r="D70" s="134" t="s">
        <v>2276</v>
      </c>
      <c r="E70" s="135" t="s">
        <v>2277</v>
      </c>
      <c r="F70" s="136">
        <f ca="1">F43</f>
        <v>151484.87</v>
      </c>
      <c r="O70" s="232" t="s">
        <v>2146</v>
      </c>
      <c r="P70" s="266" t="s">
        <v>2147</v>
      </c>
      <c r="Q70" s="260">
        <f ca="1">C39</f>
        <v>6654</v>
      </c>
      <c r="R70" s="227" t="s">
        <v>2090</v>
      </c>
    </row>
    <row r="71" spans="1:18">
      <c r="O71" s="232" t="s">
        <v>2148</v>
      </c>
      <c r="P71" s="266" t="s">
        <v>2149</v>
      </c>
      <c r="Q71" s="260">
        <f ca="1">C13</f>
        <v>59290</v>
      </c>
      <c r="R71" s="227" t="s">
        <v>2090</v>
      </c>
    </row>
    <row r="72" spans="1:18">
      <c r="O72" s="232" t="s">
        <v>2150</v>
      </c>
      <c r="P72" s="266" t="s">
        <v>2151</v>
      </c>
      <c r="Q72" s="261">
        <f ca="1">J36</f>
        <v>0.08</v>
      </c>
      <c r="R72" s="262"/>
    </row>
    <row r="73" spans="1:18">
      <c r="O73" s="232" t="s">
        <v>2105</v>
      </c>
      <c r="P73" s="227" t="s">
        <v>2130</v>
      </c>
      <c r="Q73" s="261">
        <f>L52</f>
        <v>0</v>
      </c>
      <c r="R73" s="262"/>
    </row>
    <row r="74" spans="1:18" ht="19.5">
      <c r="O74" s="232" t="s">
        <v>2108</v>
      </c>
      <c r="P74" s="227" t="s">
        <v>2131</v>
      </c>
      <c r="Q74" s="260" t="e">
        <f ca="1">L58</f>
        <v>#DIV/0!</v>
      </c>
      <c r="R74" s="262" t="s">
        <v>2132</v>
      </c>
    </row>
    <row r="75" spans="1:18">
      <c r="O75" s="232" t="s">
        <v>2152</v>
      </c>
      <c r="P75" s="227" t="str">
        <f>K59</f>
        <v>建设期及建筑物耐用年限下的土地年期修正系数Kn</v>
      </c>
      <c r="Q75" s="260" t="e">
        <f ca="1">L59</f>
        <v>#DIV/0!</v>
      </c>
      <c r="R75" s="262" t="s">
        <v>2139</v>
      </c>
    </row>
    <row r="76" spans="1:18">
      <c r="O76" s="226" t="s">
        <v>2111</v>
      </c>
      <c r="P76" s="227" t="s">
        <v>2112</v>
      </c>
      <c r="Q76" s="260">
        <f ca="1">Q66+Q67</f>
        <v>130632</v>
      </c>
      <c r="R76" s="262" t="s">
        <v>2113</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73" priority="4">
      <formula>$F$10="自定义"</formula>
    </cfRule>
  </conditionalFormatting>
  <conditionalFormatting sqref="J11">
    <cfRule type="expression" dxfId="72" priority="2">
      <formula>$M$10="自定义"</formula>
    </cfRule>
  </conditionalFormatting>
  <conditionalFormatting sqref="C53">
    <cfRule type="expression" dxfId="71" priority="1">
      <formula>$F$52="自定义"</formula>
    </cfRule>
  </conditionalFormatting>
  <conditionalFormatting sqref="I55">
    <cfRule type="expression" dxfId="70" priority="8">
      <formula>$J$51&gt;$L$48</formula>
    </cfRule>
  </conditionalFormatting>
  <conditionalFormatting sqref="K55">
    <cfRule type="expression" dxfId="69" priority="7">
      <formula>$L$48&gt;$J$51</formula>
    </cfRule>
  </conditionalFormatting>
  <conditionalFormatting sqref="I60">
    <cfRule type="expression" dxfId="68" priority="6">
      <formula>$J$51&gt;$L$48</formula>
    </cfRule>
  </conditionalFormatting>
  <conditionalFormatting sqref="K60">
    <cfRule type="expression" dxfId="67"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ignoredErrors>
    <ignoredError sqref="F49:F50 F70 F67:F68 F62:F65"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abSelected="1" topLeftCell="D7" zoomScale="90" zoomScaleNormal="90" workbookViewId="0">
      <selection activeCell="V23" sqref="V23"/>
    </sheetView>
  </sheetViews>
  <sheetFormatPr defaultColWidth="9" defaultRowHeight="14.25"/>
  <cols>
    <col min="1" max="1" width="10.5" style="460" customWidth="1"/>
    <col min="2" max="3" width="15.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2232</v>
      </c>
      <c r="C1" s="465" t="s">
        <v>2155</v>
      </c>
      <c r="D1" s="919" t="s">
        <v>371</v>
      </c>
      <c r="E1" s="467"/>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f>C49</f>
        <v>25960</v>
      </c>
      <c r="C3" s="476" t="s">
        <v>2159</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5">
      <c r="A4" s="478" t="s">
        <v>930</v>
      </c>
      <c r="B4" s="479"/>
      <c r="C4" s="3358" t="s">
        <v>931</v>
      </c>
      <c r="D4" s="3359"/>
      <c r="E4" s="3399" t="s">
        <v>932</v>
      </c>
      <c r="F4" s="3400"/>
      <c r="G4" s="3358" t="s">
        <v>933</v>
      </c>
      <c r="H4" s="3359"/>
      <c r="I4" s="3358" t="s">
        <v>934</v>
      </c>
      <c r="J4" s="3359"/>
      <c r="K4" s="640" t="s">
        <v>935</v>
      </c>
      <c r="L4" s="641"/>
      <c r="M4" s="642"/>
      <c r="N4" s="642"/>
      <c r="O4" s="642"/>
      <c r="P4" s="3386" t="s">
        <v>936</v>
      </c>
      <c r="Q4" s="3387"/>
      <c r="R4" s="3392" t="s">
        <v>932</v>
      </c>
      <c r="S4" s="3393"/>
      <c r="T4" s="3392" t="s">
        <v>933</v>
      </c>
      <c r="U4" s="3393"/>
      <c r="V4" s="3378" t="s">
        <v>934</v>
      </c>
      <c r="W4" s="3378"/>
      <c r="X4" s="707"/>
      <c r="Y4" s="3392" t="s">
        <v>936</v>
      </c>
      <c r="Z4" s="3393"/>
      <c r="AA4" s="3379" t="s">
        <v>932</v>
      </c>
      <c r="AB4" s="3378" t="s">
        <v>933</v>
      </c>
      <c r="AC4" s="3379" t="s">
        <v>934</v>
      </c>
    </row>
    <row r="5" spans="1:29" ht="15">
      <c r="A5" s="480"/>
      <c r="B5" s="481"/>
      <c r="C5" s="3360" t="s">
        <v>937</v>
      </c>
      <c r="D5" s="3361"/>
      <c r="E5" s="3454" t="s">
        <v>2455</v>
      </c>
      <c r="F5" s="3402"/>
      <c r="G5" s="3455" t="s">
        <v>2459</v>
      </c>
      <c r="H5" s="3361"/>
      <c r="I5" s="3455" t="s">
        <v>2456</v>
      </c>
      <c r="J5" s="3361"/>
      <c r="K5" s="640"/>
      <c r="L5" s="641"/>
      <c r="M5" s="642"/>
      <c r="N5" s="642"/>
      <c r="O5" s="642"/>
      <c r="P5" s="3388"/>
      <c r="Q5" s="3389"/>
      <c r="R5" s="3394"/>
      <c r="S5" s="3395"/>
      <c r="T5" s="3394"/>
      <c r="U5" s="3395"/>
      <c r="V5" s="3378"/>
      <c r="W5" s="3378"/>
      <c r="X5" s="707"/>
      <c r="Y5" s="3394"/>
      <c r="Z5" s="3395"/>
      <c r="AA5" s="3380"/>
      <c r="AB5" s="3378"/>
      <c r="AC5" s="3380"/>
    </row>
    <row r="6" spans="1:29" ht="15">
      <c r="A6" s="482"/>
      <c r="B6" s="483"/>
      <c r="C6" s="3364" t="s">
        <v>938</v>
      </c>
      <c r="D6" s="3365"/>
      <c r="E6" s="3403" t="s">
        <v>938</v>
      </c>
      <c r="F6" s="3404"/>
      <c r="G6" s="3364" t="s">
        <v>938</v>
      </c>
      <c r="H6" s="3365"/>
      <c r="I6" s="3364" t="s">
        <v>938</v>
      </c>
      <c r="J6" s="3365"/>
      <c r="K6" s="640" t="s">
        <v>939</v>
      </c>
      <c r="L6" s="641"/>
      <c r="M6" s="642"/>
      <c r="N6" s="642"/>
      <c r="O6" s="642"/>
      <c r="P6" s="3390"/>
      <c r="Q6" s="3391"/>
      <c r="R6" s="3394"/>
      <c r="S6" s="3395"/>
      <c r="T6" s="3396"/>
      <c r="U6" s="3397"/>
      <c r="V6" s="3378"/>
      <c r="W6" s="3378"/>
      <c r="X6" s="707"/>
      <c r="Y6" s="3396"/>
      <c r="Z6" s="3397"/>
      <c r="AA6" s="3381"/>
      <c r="AB6" s="3378"/>
      <c r="AC6" s="3381"/>
    </row>
    <row r="7" spans="1:29" s="455" customFormat="1" ht="15">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66" t="s">
        <v>941</v>
      </c>
      <c r="Q7" s="3367"/>
      <c r="R7" s="708" t="s">
        <v>942</v>
      </c>
      <c r="S7" s="709">
        <f t="shared" ref="S7:S15" si="0">F7</f>
        <v>100</v>
      </c>
      <c r="T7" s="708" t="s">
        <v>942</v>
      </c>
      <c r="U7" s="709">
        <f t="shared" ref="U7:U15" si="1">H7</f>
        <v>100</v>
      </c>
      <c r="V7" s="708" t="s">
        <v>942</v>
      </c>
      <c r="W7" s="709">
        <f t="shared" ref="W7:W15" si="2">J7</f>
        <v>100</v>
      </c>
      <c r="X7" s="710"/>
      <c r="Y7" s="3366" t="s">
        <v>941</v>
      </c>
      <c r="Z7" s="3398"/>
      <c r="AA7" s="727">
        <f>D7/F7</f>
        <v>1</v>
      </c>
      <c r="AB7" s="727">
        <f>D7/H7</f>
        <v>1</v>
      </c>
      <c r="AC7" s="727">
        <f>D7/J7</f>
        <v>1</v>
      </c>
    </row>
    <row r="8" spans="1:29" s="455" customFormat="1" ht="15">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66" t="s">
        <v>945</v>
      </c>
      <c r="Q8" s="3398"/>
      <c r="R8" s="708" t="s">
        <v>942</v>
      </c>
      <c r="S8" s="709">
        <f t="shared" si="0"/>
        <v>100</v>
      </c>
      <c r="T8" s="708" t="s">
        <v>942</v>
      </c>
      <c r="U8" s="709">
        <f t="shared" si="1"/>
        <v>100</v>
      </c>
      <c r="V8" s="708" t="s">
        <v>942</v>
      </c>
      <c r="W8" s="709">
        <f t="shared" si="2"/>
        <v>100</v>
      </c>
      <c r="X8" s="710"/>
      <c r="Y8" s="3366" t="s">
        <v>945</v>
      </c>
      <c r="Z8" s="3398"/>
      <c r="AA8" s="727">
        <f t="shared" ref="AA8:AA46" si="3">D8/F8</f>
        <v>1</v>
      </c>
      <c r="AB8" s="727">
        <f t="shared" ref="AB8:AB46" si="4">D8/H8</f>
        <v>1</v>
      </c>
      <c r="AC8" s="727">
        <f t="shared" ref="AC8:AC46" si="5">D8/J8</f>
        <v>1</v>
      </c>
    </row>
    <row r="9" spans="1:29" s="455" customFormat="1" ht="15">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69" t="s">
        <v>948</v>
      </c>
      <c r="Q9" s="711" t="str">
        <f t="shared" ref="Q9:Q15" si="6">B9</f>
        <v>用途</v>
      </c>
      <c r="R9" s="708" t="s">
        <v>942</v>
      </c>
      <c r="S9" s="709">
        <f t="shared" si="0"/>
        <v>100</v>
      </c>
      <c r="T9" s="708" t="s">
        <v>942</v>
      </c>
      <c r="U9" s="709">
        <f t="shared" si="1"/>
        <v>100</v>
      </c>
      <c r="V9" s="708" t="s">
        <v>942</v>
      </c>
      <c r="W9" s="709">
        <f t="shared" si="2"/>
        <v>100</v>
      </c>
      <c r="X9" s="710"/>
      <c r="Y9" s="3357" t="s">
        <v>949</v>
      </c>
      <c r="Z9" s="728" t="str">
        <f t="shared" ref="Z9:Z15" si="7">Q9</f>
        <v>用途</v>
      </c>
      <c r="AA9" s="727">
        <f t="shared" si="3"/>
        <v>1</v>
      </c>
      <c r="AB9" s="727">
        <f t="shared" si="4"/>
        <v>1</v>
      </c>
      <c r="AC9" s="727">
        <f t="shared" si="5"/>
        <v>1</v>
      </c>
    </row>
    <row r="10" spans="1:29" s="456" customFormat="1" ht="27">
      <c r="A10" s="499"/>
      <c r="B10" s="3171" t="s">
        <v>950</v>
      </c>
      <c r="C10" s="500" t="s">
        <v>2429</v>
      </c>
      <c r="D10" s="501">
        <v>100</v>
      </c>
      <c r="E10" s="500" t="s">
        <v>2429</v>
      </c>
      <c r="F10" s="501">
        <f>SUMIF(65:65,E10,66:66)-SUMIF(65:65,C10,66:66)+100</f>
        <v>100</v>
      </c>
      <c r="G10" s="502" t="s">
        <v>2429</v>
      </c>
      <c r="H10" s="501">
        <f>SUMIF(65:65,G10,66:66)-SUMIF(65:65,C10,66:66)+100</f>
        <v>100</v>
      </c>
      <c r="I10" s="500" t="s">
        <v>2429</v>
      </c>
      <c r="J10" s="501">
        <f>SUMIF(65:65,I10,66:66)-SUMIF(65:65,C10,66:66)+100</f>
        <v>100</v>
      </c>
      <c r="K10" s="648">
        <v>5</v>
      </c>
      <c r="L10" s="649"/>
      <c r="M10" s="650"/>
      <c r="N10" s="650"/>
      <c r="O10" s="651"/>
      <c r="P10" s="3369"/>
      <c r="Q10" s="711" t="str">
        <f t="shared" si="6"/>
        <v>土地使用年限（年）</v>
      </c>
      <c r="R10" s="708" t="s">
        <v>942</v>
      </c>
      <c r="S10" s="709">
        <f t="shared" si="0"/>
        <v>100</v>
      </c>
      <c r="T10" s="708" t="s">
        <v>942</v>
      </c>
      <c r="U10" s="709">
        <f t="shared" si="1"/>
        <v>100</v>
      </c>
      <c r="V10" s="708" t="s">
        <v>942</v>
      </c>
      <c r="W10" s="709">
        <f t="shared" si="2"/>
        <v>100</v>
      </c>
      <c r="X10" s="710"/>
      <c r="Y10" s="3357"/>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69"/>
      <c r="Q11" s="711" t="str">
        <f t="shared" si="6"/>
        <v>容积率</v>
      </c>
      <c r="R11" s="708" t="s">
        <v>942</v>
      </c>
      <c r="S11" s="709">
        <f t="shared" si="0"/>
        <v>100</v>
      </c>
      <c r="T11" s="708" t="s">
        <v>942</v>
      </c>
      <c r="U11" s="709">
        <f t="shared" si="1"/>
        <v>100</v>
      </c>
      <c r="V11" s="708" t="s">
        <v>942</v>
      </c>
      <c r="W11" s="709">
        <f t="shared" si="2"/>
        <v>100</v>
      </c>
      <c r="X11" s="710"/>
      <c r="Y11" s="3357"/>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69"/>
      <c r="Q14" s="711">
        <f t="shared" si="6"/>
        <v>111</v>
      </c>
      <c r="R14" s="708" t="s">
        <v>942</v>
      </c>
      <c r="S14" s="709">
        <f t="shared" si="0"/>
        <v>100</v>
      </c>
      <c r="T14" s="708" t="s">
        <v>942</v>
      </c>
      <c r="U14" s="709">
        <f t="shared" si="1"/>
        <v>100</v>
      </c>
      <c r="V14" s="708" t="s">
        <v>942</v>
      </c>
      <c r="W14" s="709">
        <f t="shared" si="2"/>
        <v>100</v>
      </c>
      <c r="X14" s="710"/>
      <c r="Y14" s="3357"/>
      <c r="Z14" s="728">
        <f t="shared" si="7"/>
        <v>111</v>
      </c>
      <c r="AA14" s="727">
        <f t="shared" si="3"/>
        <v>1</v>
      </c>
      <c r="AB14" s="727">
        <f t="shared" si="4"/>
        <v>1</v>
      </c>
      <c r="AC14" s="727">
        <f t="shared" si="5"/>
        <v>1</v>
      </c>
    </row>
    <row r="15" spans="1:29" ht="57">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70" t="s">
        <v>955</v>
      </c>
      <c r="Q15" s="647" t="str">
        <f t="shared" si="6"/>
        <v>商业繁华度</v>
      </c>
      <c r="R15" s="712" t="s">
        <v>942</v>
      </c>
      <c r="S15" s="713">
        <f t="shared" si="0"/>
        <v>102</v>
      </c>
      <c r="T15" s="712" t="s">
        <v>942</v>
      </c>
      <c r="U15" s="713">
        <f t="shared" si="1"/>
        <v>100</v>
      </c>
      <c r="V15" s="712" t="s">
        <v>942</v>
      </c>
      <c r="W15" s="713">
        <f t="shared" si="2"/>
        <v>100</v>
      </c>
      <c r="X15" s="707"/>
      <c r="Y15" s="3370"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2233</v>
      </c>
      <c r="F16" s="523"/>
      <c r="G16" s="521" t="s">
        <v>956</v>
      </c>
      <c r="H16" s="524"/>
      <c r="I16" s="521" t="s">
        <v>956</v>
      </c>
      <c r="J16" s="522"/>
      <c r="K16" s="657"/>
      <c r="L16" s="655"/>
      <c r="M16" s="642"/>
      <c r="N16" s="642"/>
      <c r="O16" s="654"/>
      <c r="P16" s="3371"/>
      <c r="Q16" s="647"/>
      <c r="R16" s="712"/>
      <c r="S16" s="713"/>
      <c r="T16" s="712"/>
      <c r="U16" s="713"/>
      <c r="V16" s="712"/>
      <c r="W16" s="713"/>
      <c r="X16" s="707"/>
      <c r="Y16" s="3371"/>
      <c r="Z16" s="706"/>
      <c r="AA16" s="718">
        <v>1</v>
      </c>
      <c r="AB16" s="718">
        <v>1</v>
      </c>
      <c r="AC16" s="718">
        <v>1</v>
      </c>
    </row>
    <row r="17" spans="1:29" ht="71.25">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71"/>
      <c r="Q17" s="647" t="str">
        <f>B17</f>
        <v>交通便捷度</v>
      </c>
      <c r="R17" s="712" t="s">
        <v>942</v>
      </c>
      <c r="S17" s="713">
        <f>F17</f>
        <v>100</v>
      </c>
      <c r="T17" s="712" t="s">
        <v>942</v>
      </c>
      <c r="U17" s="713">
        <f>H17</f>
        <v>100</v>
      </c>
      <c r="V17" s="712" t="s">
        <v>942</v>
      </c>
      <c r="W17" s="713">
        <f>J17</f>
        <v>100</v>
      </c>
      <c r="X17" s="707"/>
      <c r="Y17" s="3371"/>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71"/>
      <c r="Q18" s="647"/>
      <c r="R18" s="712"/>
      <c r="S18" s="713"/>
      <c r="T18" s="712"/>
      <c r="U18" s="713"/>
      <c r="V18" s="712"/>
      <c r="W18" s="713"/>
      <c r="X18" s="707"/>
      <c r="Y18" s="3371"/>
      <c r="Z18" s="706"/>
      <c r="AA18" s="718">
        <v>1</v>
      </c>
      <c r="AB18" s="718">
        <v>1</v>
      </c>
      <c r="AC18" s="718">
        <v>1</v>
      </c>
    </row>
    <row r="19" spans="1:29" ht="42.75">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71"/>
      <c r="Q19" s="647" t="str">
        <f>B19</f>
        <v>公共配套设施</v>
      </c>
      <c r="R19" s="712" t="s">
        <v>942</v>
      </c>
      <c r="S19" s="713">
        <f>F19</f>
        <v>100</v>
      </c>
      <c r="T19" s="712" t="s">
        <v>942</v>
      </c>
      <c r="U19" s="713">
        <f>H19</f>
        <v>100</v>
      </c>
      <c r="V19" s="712" t="s">
        <v>942</v>
      </c>
      <c r="W19" s="713">
        <f>J19</f>
        <v>100</v>
      </c>
      <c r="X19" s="707"/>
      <c r="Y19" s="3371"/>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71"/>
      <c r="Q20" s="647"/>
      <c r="R20" s="712"/>
      <c r="S20" s="713"/>
      <c r="T20" s="712"/>
      <c r="U20" s="713"/>
      <c r="V20" s="712"/>
      <c r="W20" s="713"/>
      <c r="X20" s="707"/>
      <c r="Y20" s="3371"/>
      <c r="Z20" s="706"/>
      <c r="AA20" s="718">
        <v>1</v>
      </c>
      <c r="AB20" s="718">
        <v>1</v>
      </c>
      <c r="AC20" s="718">
        <v>1</v>
      </c>
    </row>
    <row r="21" spans="1:29" ht="28.5">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71"/>
      <c r="Q21" s="647" t="str">
        <f>B21</f>
        <v>基础设施水平</v>
      </c>
      <c r="R21" s="712" t="s">
        <v>942</v>
      </c>
      <c r="S21" s="713">
        <f>F21</f>
        <v>100</v>
      </c>
      <c r="T21" s="712" t="s">
        <v>942</v>
      </c>
      <c r="U21" s="713">
        <f>H21</f>
        <v>100</v>
      </c>
      <c r="V21" s="712" t="s">
        <v>942</v>
      </c>
      <c r="W21" s="713">
        <f>J21</f>
        <v>100</v>
      </c>
      <c r="X21" s="707"/>
      <c r="Y21" s="3371"/>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71"/>
      <c r="Q22" s="647"/>
      <c r="R22" s="712"/>
      <c r="S22" s="713"/>
      <c r="T22" s="712"/>
      <c r="U22" s="713"/>
      <c r="V22" s="712"/>
      <c r="W22" s="713"/>
      <c r="X22" s="707"/>
      <c r="Y22" s="3371"/>
      <c r="Z22" s="706"/>
      <c r="AA22" s="718">
        <v>1</v>
      </c>
      <c r="AB22" s="718">
        <v>1</v>
      </c>
      <c r="AC22" s="718">
        <v>1</v>
      </c>
    </row>
    <row r="23" spans="1:29" ht="42.75">
      <c r="A23" s="519"/>
      <c r="B23" s="538" t="s">
        <v>2162</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71"/>
      <c r="Q23" s="647" t="str">
        <f>B23</f>
        <v>自然及人文环境</v>
      </c>
      <c r="R23" s="712" t="s">
        <v>942</v>
      </c>
      <c r="S23" s="713">
        <f>F23</f>
        <v>100</v>
      </c>
      <c r="T23" s="712" t="s">
        <v>942</v>
      </c>
      <c r="U23" s="713">
        <f>H23</f>
        <v>100</v>
      </c>
      <c r="V23" s="712" t="s">
        <v>942</v>
      </c>
      <c r="W23" s="713">
        <f>J23</f>
        <v>100</v>
      </c>
      <c r="X23" s="707"/>
      <c r="Y23" s="3371"/>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71"/>
      <c r="Q24" s="647"/>
      <c r="R24" s="712"/>
      <c r="S24" s="713"/>
      <c r="T24" s="712"/>
      <c r="U24" s="713"/>
      <c r="V24" s="712"/>
      <c r="W24" s="713"/>
      <c r="X24" s="707"/>
      <c r="Y24" s="3371"/>
      <c r="Z24" s="706"/>
      <c r="AA24" s="718">
        <v>1</v>
      </c>
      <c r="AB24" s="718">
        <v>1</v>
      </c>
      <c r="AC24" s="718">
        <v>1</v>
      </c>
    </row>
    <row r="25" spans="1:29" ht="15">
      <c r="A25" s="519"/>
      <c r="B25" s="553" t="s">
        <v>234</v>
      </c>
      <c r="C25" s="540" t="s">
        <v>2234</v>
      </c>
      <c r="D25" s="511">
        <v>100</v>
      </c>
      <c r="E25" s="540" t="s">
        <v>2234</v>
      </c>
      <c r="F25" s="541">
        <f>SUMIF(86:86,E25,87:87)-SUMIF(86:86,C25,87:87)+100</f>
        <v>100</v>
      </c>
      <c r="G25" s="540" t="s">
        <v>2234</v>
      </c>
      <c r="H25" s="511">
        <f>SUMIF(86:86,G25,87:87)-SUMIF(86:86,C25,87:87)+100</f>
        <v>100</v>
      </c>
      <c r="I25" s="540" t="s">
        <v>2235</v>
      </c>
      <c r="J25" s="511">
        <f>SUMIF(86:86,I25,87:87)-SUMIF(86:86,C25,87:87)+100</f>
        <v>105</v>
      </c>
      <c r="K25" s="648">
        <v>5</v>
      </c>
      <c r="L25" s="655"/>
      <c r="M25" s="642"/>
      <c r="N25" s="642"/>
      <c r="O25" s="654"/>
      <c r="P25" s="3371"/>
      <c r="Q25" s="647" t="str">
        <f t="shared" ref="Q25:Q46" si="11">B25</f>
        <v>临街状况</v>
      </c>
      <c r="R25" s="712" t="s">
        <v>942</v>
      </c>
      <c r="S25" s="713">
        <f>F25</f>
        <v>100</v>
      </c>
      <c r="T25" s="712" t="s">
        <v>942</v>
      </c>
      <c r="U25" s="713">
        <f>H25</f>
        <v>100</v>
      </c>
      <c r="V25" s="712" t="s">
        <v>942</v>
      </c>
      <c r="W25" s="713">
        <f>J25</f>
        <v>105</v>
      </c>
      <c r="X25" s="707"/>
      <c r="Y25" s="3371"/>
      <c r="Z25" s="706" t="str">
        <f>Q25</f>
        <v>临街状况</v>
      </c>
      <c r="AA25" s="718">
        <f t="shared" si="3"/>
        <v>1</v>
      </c>
      <c r="AB25" s="718">
        <f t="shared" si="4"/>
        <v>1</v>
      </c>
      <c r="AC25" s="718">
        <f t="shared" si="5"/>
        <v>0.95238095238095233</v>
      </c>
    </row>
    <row r="26" spans="1:29" ht="15">
      <c r="A26" s="519"/>
      <c r="B26" s="803" t="s">
        <v>2236</v>
      </c>
      <c r="C26" s="926" t="s">
        <v>956</v>
      </c>
      <c r="D26" s="511">
        <v>100</v>
      </c>
      <c r="E26" s="926" t="s">
        <v>956</v>
      </c>
      <c r="F26" s="541">
        <f>SUMIF(88:88,E26,89:89)-SUMIF(88:88,C26,89:89)+100</f>
        <v>100</v>
      </c>
      <c r="G26" s="926" t="s">
        <v>956</v>
      </c>
      <c r="H26" s="511">
        <f>SUMIF(88:88,G26,89:89)-SUMIF(88:88,C26,89:89)+100</f>
        <v>100</v>
      </c>
      <c r="I26" s="926" t="s">
        <v>2233</v>
      </c>
      <c r="J26" s="511">
        <f>SUMIF(88:88,I26,89:89)-SUMIF(88:88,C26,89:89)+100</f>
        <v>102</v>
      </c>
      <c r="K26" s="652"/>
      <c r="L26" s="655"/>
      <c r="M26" s="642"/>
      <c r="N26" s="642"/>
      <c r="O26" s="654"/>
      <c r="P26" s="3371"/>
      <c r="Q26" s="647" t="str">
        <f t="shared" si="11"/>
        <v>平面位置/可视性</v>
      </c>
      <c r="R26" s="712" t="s">
        <v>942</v>
      </c>
      <c r="S26" s="713">
        <f>F26</f>
        <v>100</v>
      </c>
      <c r="T26" s="712" t="s">
        <v>942</v>
      </c>
      <c r="U26" s="713">
        <f>H26</f>
        <v>100</v>
      </c>
      <c r="V26" s="712" t="s">
        <v>942</v>
      </c>
      <c r="W26" s="713">
        <f>J26</f>
        <v>102</v>
      </c>
      <c r="X26" s="707"/>
      <c r="Y26" s="3371"/>
      <c r="Z26" s="706" t="str">
        <f>Q26</f>
        <v>平面位置/可视性</v>
      </c>
      <c r="AA26" s="718">
        <f t="shared" si="3"/>
        <v>1</v>
      </c>
      <c r="AB26" s="718">
        <f t="shared" si="4"/>
        <v>1</v>
      </c>
      <c r="AC26" s="718">
        <f t="shared" si="5"/>
        <v>0.98039215686274506</v>
      </c>
    </row>
    <row r="27" spans="1:29" s="455" customFormat="1" ht="15">
      <c r="A27" s="543"/>
      <c r="B27" s="538" t="s">
        <v>2237</v>
      </c>
      <c r="C27" s="927" t="s">
        <v>2238</v>
      </c>
      <c r="D27" s="804">
        <v>100</v>
      </c>
      <c r="E27" s="927" t="s">
        <v>2238</v>
      </c>
      <c r="F27" s="805">
        <f>SUMIF(90:90,E27,91:91)-SUMIF(90:90,C27,91:91)+100</f>
        <v>100</v>
      </c>
      <c r="G27" s="927" t="s">
        <v>2238</v>
      </c>
      <c r="H27" s="804">
        <f>SUMIF(90:90,G27,91:91)-SUMIF(90:90,C27,91:91)+100</f>
        <v>100</v>
      </c>
      <c r="I27" s="927" t="s">
        <v>2238</v>
      </c>
      <c r="J27" s="804">
        <f>SUMIF(90:90,I27,91:91)-SUMIF(90:90,C27,91:91)+100</f>
        <v>100</v>
      </c>
      <c r="K27" s="648">
        <v>2</v>
      </c>
      <c r="L27" s="644"/>
      <c r="M27" s="645"/>
      <c r="N27" s="645"/>
      <c r="O27" s="646"/>
      <c r="P27" s="3371"/>
      <c r="Q27" s="711" t="str">
        <f t="shared" si="11"/>
        <v>人流量</v>
      </c>
      <c r="R27" s="708" t="s">
        <v>942</v>
      </c>
      <c r="S27" s="709">
        <f>F27</f>
        <v>100</v>
      </c>
      <c r="T27" s="708" t="s">
        <v>942</v>
      </c>
      <c r="U27" s="709">
        <f>H27</f>
        <v>100</v>
      </c>
      <c r="V27" s="708" t="s">
        <v>942</v>
      </c>
      <c r="W27" s="709">
        <f>J27</f>
        <v>100</v>
      </c>
      <c r="X27" s="710"/>
      <c r="Y27" s="3371"/>
      <c r="Z27" s="728" t="str">
        <f>Q27</f>
        <v>人流量</v>
      </c>
      <c r="AA27" s="718">
        <f t="shared" si="3"/>
        <v>1</v>
      </c>
      <c r="AB27" s="718">
        <f t="shared" si="4"/>
        <v>1</v>
      </c>
      <c r="AC27" s="718">
        <f t="shared" si="5"/>
        <v>1</v>
      </c>
    </row>
    <row r="28" spans="1:29" ht="15">
      <c r="A28" s="519"/>
      <c r="B28" s="553" t="s">
        <v>2226</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71"/>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71"/>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71"/>
      <c r="Q29" s="647">
        <f t="shared" si="11"/>
        <v>111</v>
      </c>
      <c r="R29" s="712" t="s">
        <v>942</v>
      </c>
      <c r="S29" s="713">
        <f t="shared" si="12"/>
        <v>100</v>
      </c>
      <c r="T29" s="712" t="s">
        <v>942</v>
      </c>
      <c r="U29" s="713">
        <f t="shared" si="13"/>
        <v>100</v>
      </c>
      <c r="V29" s="712" t="s">
        <v>942</v>
      </c>
      <c r="W29" s="713">
        <f t="shared" si="14"/>
        <v>100</v>
      </c>
      <c r="X29" s="707"/>
      <c r="Y29" s="3371"/>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71"/>
      <c r="Q30" s="647">
        <f t="shared" si="11"/>
        <v>111</v>
      </c>
      <c r="R30" s="712" t="s">
        <v>942</v>
      </c>
      <c r="S30" s="713">
        <f t="shared" si="12"/>
        <v>100</v>
      </c>
      <c r="T30" s="712" t="s">
        <v>942</v>
      </c>
      <c r="U30" s="713">
        <f t="shared" si="13"/>
        <v>100</v>
      </c>
      <c r="V30" s="712" t="s">
        <v>942</v>
      </c>
      <c r="W30" s="713">
        <f t="shared" si="14"/>
        <v>100</v>
      </c>
      <c r="X30" s="707"/>
      <c r="Y30" s="3371"/>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71"/>
      <c r="Q31" s="647">
        <f t="shared" si="11"/>
        <v>111</v>
      </c>
      <c r="R31" s="712" t="s">
        <v>942</v>
      </c>
      <c r="S31" s="713">
        <f t="shared" si="12"/>
        <v>100</v>
      </c>
      <c r="T31" s="712" t="s">
        <v>942</v>
      </c>
      <c r="U31" s="713">
        <f t="shared" si="13"/>
        <v>100</v>
      </c>
      <c r="V31" s="712" t="s">
        <v>942</v>
      </c>
      <c r="W31" s="713">
        <f t="shared" si="14"/>
        <v>100</v>
      </c>
      <c r="X31" s="707"/>
      <c r="Y31" s="3371"/>
      <c r="Z31" s="706">
        <f t="shared" si="15"/>
        <v>111</v>
      </c>
      <c r="AA31" s="718">
        <f t="shared" si="3"/>
        <v>1</v>
      </c>
      <c r="AB31" s="718">
        <f t="shared" si="4"/>
        <v>1</v>
      </c>
      <c r="AC31" s="718">
        <f t="shared" si="5"/>
        <v>1</v>
      </c>
    </row>
    <row r="32" spans="1:29" ht="15">
      <c r="A32" s="547" t="s">
        <v>961</v>
      </c>
      <c r="B32" s="548" t="s">
        <v>2239</v>
      </c>
      <c r="C32" s="3172" t="s">
        <v>2431</v>
      </c>
      <c r="D32" s="550">
        <v>100</v>
      </c>
      <c r="E32" s="928" t="s">
        <v>2240</v>
      </c>
      <c r="F32" s="541">
        <f>SUMIF(100:100,E32,101:101)-SUMIF(100:100,C32,101:101)+100</f>
        <v>102</v>
      </c>
      <c r="G32" s="928" t="s">
        <v>2240</v>
      </c>
      <c r="H32" s="511">
        <f>SUMIF(100:100,G32,101:101)-SUMIF(100:100,C32,101:101)+100</f>
        <v>102</v>
      </c>
      <c r="I32" s="928" t="s">
        <v>2240</v>
      </c>
      <c r="J32" s="550">
        <f>SUMIF(100:100,I32,101:101)-SUMIF(100:100,C32,101:101)+100</f>
        <v>102</v>
      </c>
      <c r="K32" s="648">
        <v>2</v>
      </c>
      <c r="L32" s="655"/>
      <c r="M32" s="642"/>
      <c r="N32" s="642"/>
      <c r="O32" s="654"/>
      <c r="P32" s="3372" t="s">
        <v>960</v>
      </c>
      <c r="Q32" s="647" t="str">
        <f t="shared" si="11"/>
        <v>商业类型</v>
      </c>
      <c r="R32" s="712" t="s">
        <v>942</v>
      </c>
      <c r="S32" s="713">
        <f t="shared" si="12"/>
        <v>102</v>
      </c>
      <c r="T32" s="712" t="s">
        <v>942</v>
      </c>
      <c r="U32" s="713">
        <f t="shared" si="13"/>
        <v>102</v>
      </c>
      <c r="V32" s="712" t="s">
        <v>942</v>
      </c>
      <c r="W32" s="713">
        <f t="shared" si="14"/>
        <v>102</v>
      </c>
      <c r="X32" s="707"/>
      <c r="Y32" s="3373"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2167</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73"/>
      <c r="Q33" s="714" t="str">
        <f t="shared" si="11"/>
        <v>项目建筑规模</v>
      </c>
      <c r="R33" s="715" t="s">
        <v>942</v>
      </c>
      <c r="S33" s="716">
        <f t="shared" si="12"/>
        <v>100</v>
      </c>
      <c r="T33" s="715" t="s">
        <v>942</v>
      </c>
      <c r="U33" s="716">
        <f t="shared" si="13"/>
        <v>100</v>
      </c>
      <c r="V33" s="715" t="s">
        <v>942</v>
      </c>
      <c r="W33" s="716">
        <f t="shared" si="14"/>
        <v>100</v>
      </c>
      <c r="X33" s="717"/>
      <c r="Y33" s="3373"/>
      <c r="Z33" s="729" t="str">
        <f t="shared" si="15"/>
        <v>项目建筑规模</v>
      </c>
      <c r="AA33" s="718">
        <f t="shared" si="3"/>
        <v>1</v>
      </c>
      <c r="AB33" s="718">
        <f t="shared" si="4"/>
        <v>1</v>
      </c>
      <c r="AC33" s="718">
        <f t="shared" si="5"/>
        <v>1</v>
      </c>
    </row>
    <row r="34" spans="1:29" ht="15">
      <c r="A34" s="557"/>
      <c r="B34" s="553" t="s">
        <v>2168</v>
      </c>
      <c r="C34" s="929" t="s">
        <v>2141</v>
      </c>
      <c r="D34" s="511">
        <v>100</v>
      </c>
      <c r="E34" s="930" t="s">
        <v>2141</v>
      </c>
      <c r="F34" s="541">
        <f>SUMIF(105:105,E34,106:106)-SUMIF(105:105,C34,106:106)+100</f>
        <v>100</v>
      </c>
      <c r="G34" s="929" t="s">
        <v>2141</v>
      </c>
      <c r="H34" s="511">
        <f>SUMIF(105:105,G34,106:106)-SUMIF(105:105,C34,106:106)+100</f>
        <v>100</v>
      </c>
      <c r="I34" s="929" t="s">
        <v>2141</v>
      </c>
      <c r="J34" s="511">
        <f>SUMIF(105:105,I34,106:106)-SUMIF(105:105,C34,106:106)+100</f>
        <v>100</v>
      </c>
      <c r="K34" s="648">
        <v>2</v>
      </c>
      <c r="L34" s="655"/>
      <c r="M34" s="642"/>
      <c r="N34" s="642"/>
      <c r="O34" s="654"/>
      <c r="P34" s="3373"/>
      <c r="Q34" s="647" t="str">
        <f t="shared" si="11"/>
        <v>建筑结构</v>
      </c>
      <c r="R34" s="712" t="s">
        <v>942</v>
      </c>
      <c r="S34" s="713">
        <f t="shared" si="12"/>
        <v>100</v>
      </c>
      <c r="T34" s="712" t="s">
        <v>942</v>
      </c>
      <c r="U34" s="713">
        <f t="shared" si="13"/>
        <v>100</v>
      </c>
      <c r="V34" s="712" t="s">
        <v>942</v>
      </c>
      <c r="W34" s="713">
        <f t="shared" si="14"/>
        <v>100</v>
      </c>
      <c r="X34" s="707"/>
      <c r="Y34" s="3373"/>
      <c r="Z34" s="706" t="str">
        <f t="shared" si="15"/>
        <v>建筑结构</v>
      </c>
      <c r="AA34" s="718">
        <f t="shared" si="3"/>
        <v>1</v>
      </c>
      <c r="AB34" s="718">
        <f t="shared" si="4"/>
        <v>1</v>
      </c>
      <c r="AC34" s="718">
        <f t="shared" si="5"/>
        <v>1</v>
      </c>
    </row>
    <row r="35" spans="1:29" ht="15">
      <c r="A35" s="557"/>
      <c r="B35" s="553" t="s">
        <v>2170</v>
      </c>
      <c r="C35" s="931" t="s">
        <v>2171</v>
      </c>
      <c r="D35" s="511">
        <v>100</v>
      </c>
      <c r="E35" s="931" t="s">
        <v>2171</v>
      </c>
      <c r="F35" s="541">
        <f>SUMIF(107:107,E35,108:108)-SUMIF(107:107,C35,108:108)+100</f>
        <v>100</v>
      </c>
      <c r="G35" s="931" t="s">
        <v>2171</v>
      </c>
      <c r="H35" s="511">
        <f>SUMIF(107:107,G35,108:108)-SUMIF(107:107,C35,108:108)+100</f>
        <v>100</v>
      </c>
      <c r="I35" s="931" t="s">
        <v>2171</v>
      </c>
      <c r="J35" s="511">
        <f>SUMIF(107:107,I35,108:108)-SUMIF(107:107,C35,108:108)+100</f>
        <v>100</v>
      </c>
      <c r="K35" s="648">
        <v>2</v>
      </c>
      <c r="L35" s="655"/>
      <c r="M35" s="642"/>
      <c r="N35" s="642"/>
      <c r="O35" s="654"/>
      <c r="P35" s="3373"/>
      <c r="Q35" s="647" t="str">
        <f t="shared" si="11"/>
        <v>公共部分装修</v>
      </c>
      <c r="R35" s="712" t="s">
        <v>942</v>
      </c>
      <c r="S35" s="713">
        <f t="shared" si="12"/>
        <v>100</v>
      </c>
      <c r="T35" s="712" t="s">
        <v>942</v>
      </c>
      <c r="U35" s="713">
        <f t="shared" si="13"/>
        <v>100</v>
      </c>
      <c r="V35" s="712" t="s">
        <v>942</v>
      </c>
      <c r="W35" s="713">
        <f t="shared" si="14"/>
        <v>100</v>
      </c>
      <c r="X35" s="707"/>
      <c r="Y35" s="3373"/>
      <c r="Z35" s="706" t="str">
        <f t="shared" si="15"/>
        <v>公共部分装修</v>
      </c>
      <c r="AA35" s="718">
        <f t="shared" si="3"/>
        <v>1</v>
      </c>
      <c r="AB35" s="718">
        <f t="shared" si="4"/>
        <v>1</v>
      </c>
      <c r="AC35" s="718">
        <f t="shared" si="5"/>
        <v>1</v>
      </c>
    </row>
    <row r="36" spans="1:29" ht="15">
      <c r="A36" s="557"/>
      <c r="B36" s="553" t="s">
        <v>2172</v>
      </c>
      <c r="C36" s="554">
        <v>1</v>
      </c>
      <c r="D36" s="511">
        <v>100</v>
      </c>
      <c r="E36" s="554">
        <v>0.85</v>
      </c>
      <c r="F36" s="541">
        <f>LOOKUP(E36,110:110,111:111)-LOOKUP(C36,110:110,111:111)+100</f>
        <v>98</v>
      </c>
      <c r="G36" s="554">
        <v>0.8</v>
      </c>
      <c r="H36" s="541">
        <f>LOOKUP(G36,110:110,111:111)-LOOKUP(C36,110:110,111:111)+100</f>
        <v>98</v>
      </c>
      <c r="I36" s="554">
        <v>0.85</v>
      </c>
      <c r="J36" s="511">
        <f>LOOKUP(I36,110:110,111:111)-LOOKUP(C36,110:110,111:111)+100</f>
        <v>98</v>
      </c>
      <c r="K36" s="648">
        <v>2</v>
      </c>
      <c r="L36" s="655"/>
      <c r="M36" s="642"/>
      <c r="N36" s="642"/>
      <c r="O36" s="654"/>
      <c r="P36" s="3373"/>
      <c r="Q36" s="647" t="str">
        <f t="shared" si="11"/>
        <v>成新度</v>
      </c>
      <c r="R36" s="712" t="s">
        <v>942</v>
      </c>
      <c r="S36" s="713">
        <f t="shared" si="12"/>
        <v>98</v>
      </c>
      <c r="T36" s="712" t="s">
        <v>942</v>
      </c>
      <c r="U36" s="713">
        <f t="shared" si="13"/>
        <v>98</v>
      </c>
      <c r="V36" s="712" t="s">
        <v>942</v>
      </c>
      <c r="W36" s="713">
        <f t="shared" si="14"/>
        <v>98</v>
      </c>
      <c r="X36" s="707"/>
      <c r="Y36" s="3373"/>
      <c r="Z36" s="706" t="str">
        <f t="shared" si="15"/>
        <v>成新度</v>
      </c>
      <c r="AA36" s="718">
        <f t="shared" si="3"/>
        <v>1.0204081632653061</v>
      </c>
      <c r="AB36" s="718">
        <f t="shared" si="4"/>
        <v>1.0204081632653061</v>
      </c>
      <c r="AC36" s="718">
        <f t="shared" si="5"/>
        <v>1.0204081632653061</v>
      </c>
    </row>
    <row r="37" spans="1:29" s="455" customFormat="1" ht="15">
      <c r="A37" s="560"/>
      <c r="B37" s="808" t="s">
        <v>2174</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73"/>
      <c r="Q37" s="711" t="str">
        <f t="shared" si="11"/>
        <v>市政基础设施</v>
      </c>
      <c r="R37" s="708" t="s">
        <v>942</v>
      </c>
      <c r="S37" s="709">
        <f t="shared" si="12"/>
        <v>100</v>
      </c>
      <c r="T37" s="708" t="s">
        <v>942</v>
      </c>
      <c r="U37" s="709">
        <f t="shared" si="13"/>
        <v>100</v>
      </c>
      <c r="V37" s="708" t="s">
        <v>942</v>
      </c>
      <c r="W37" s="709">
        <f t="shared" si="14"/>
        <v>100</v>
      </c>
      <c r="X37" s="710"/>
      <c r="Y37" s="3373"/>
      <c r="Z37" s="728" t="str">
        <f t="shared" si="15"/>
        <v>市政基础设施</v>
      </c>
      <c r="AA37" s="727">
        <f t="shared" si="3"/>
        <v>1</v>
      </c>
      <c r="AB37" s="727">
        <f t="shared" si="4"/>
        <v>1</v>
      </c>
      <c r="AC37" s="727">
        <f t="shared" si="5"/>
        <v>1</v>
      </c>
    </row>
    <row r="38" spans="1:29" ht="15">
      <c r="A38" s="557"/>
      <c r="B38" s="553" t="s">
        <v>2241</v>
      </c>
      <c r="C38" s="931" t="s">
        <v>2242</v>
      </c>
      <c r="D38" s="511">
        <v>100</v>
      </c>
      <c r="E38" s="931" t="s">
        <v>2242</v>
      </c>
      <c r="F38" s="541">
        <f>SUMIF(114:114,E38,115:115)-SUMIF(114:114,C38,115:115)+100</f>
        <v>100</v>
      </c>
      <c r="G38" s="931" t="s">
        <v>2243</v>
      </c>
      <c r="H38" s="511">
        <f>SUMIF(114:114,G38,115:115)-SUMIF(114:114,C38,115:115)+100</f>
        <v>95</v>
      </c>
      <c r="I38" s="931" t="s">
        <v>2242</v>
      </c>
      <c r="J38" s="511">
        <f>SUMIF(114:114,I38,115:115)-SUMIF(114:114,C38,115:115)+100</f>
        <v>100</v>
      </c>
      <c r="K38" s="648">
        <v>5</v>
      </c>
      <c r="L38" s="655"/>
      <c r="M38" s="642"/>
      <c r="N38" s="642"/>
      <c r="O38" s="654"/>
      <c r="P38" s="3373" t="s">
        <v>960</v>
      </c>
      <c r="Q38" s="647" t="str">
        <f t="shared" si="11"/>
        <v>业态</v>
      </c>
      <c r="R38" s="712" t="s">
        <v>942</v>
      </c>
      <c r="S38" s="713">
        <f t="shared" si="12"/>
        <v>100</v>
      </c>
      <c r="T38" s="712" t="s">
        <v>942</v>
      </c>
      <c r="U38" s="713">
        <f t="shared" si="13"/>
        <v>95</v>
      </c>
      <c r="V38" s="712" t="s">
        <v>942</v>
      </c>
      <c r="W38" s="713">
        <f t="shared" si="14"/>
        <v>100</v>
      </c>
      <c r="X38" s="707"/>
      <c r="Y38" s="3373" t="s">
        <v>960</v>
      </c>
      <c r="Z38" s="706" t="str">
        <f t="shared" si="15"/>
        <v>业态</v>
      </c>
      <c r="AA38" s="718">
        <f t="shared" si="3"/>
        <v>1</v>
      </c>
      <c r="AB38" s="718">
        <f t="shared" si="4"/>
        <v>1.0526315789473684</v>
      </c>
      <c r="AC38" s="718">
        <f t="shared" si="5"/>
        <v>1</v>
      </c>
    </row>
    <row r="39" spans="1:29" ht="15">
      <c r="A39" s="557"/>
      <c r="B39" s="553" t="s">
        <v>2228</v>
      </c>
      <c r="C39" s="931" t="s">
        <v>2457</v>
      </c>
      <c r="D39" s="511">
        <v>100</v>
      </c>
      <c r="E39" s="931" t="s">
        <v>2457</v>
      </c>
      <c r="F39" s="541">
        <f>SUMIF(116:116,E39,117:117)-SUMIF(116:116,C39,117:117)+100</f>
        <v>100</v>
      </c>
      <c r="G39" s="931" t="s">
        <v>2457</v>
      </c>
      <c r="H39" s="511">
        <f>SUMIF(116:116,G39,117:117)-SUMIF(116:116,C39,117:117)+100</f>
        <v>100</v>
      </c>
      <c r="I39" s="931" t="s">
        <v>2457</v>
      </c>
      <c r="J39" s="511">
        <f>SUMIF(116:116,I39,117:117)-SUMIF(116:116,C39,117:117)+100</f>
        <v>100</v>
      </c>
      <c r="K39" s="648"/>
      <c r="L39" s="655"/>
      <c r="M39" s="642"/>
      <c r="N39" s="642"/>
      <c r="O39" s="654"/>
      <c r="P39" s="3373"/>
      <c r="Q39" s="647" t="str">
        <f t="shared" si="11"/>
        <v>层高</v>
      </c>
      <c r="R39" s="712" t="s">
        <v>942</v>
      </c>
      <c r="S39" s="713">
        <f t="shared" si="12"/>
        <v>100</v>
      </c>
      <c r="T39" s="712" t="s">
        <v>942</v>
      </c>
      <c r="U39" s="713">
        <f t="shared" si="13"/>
        <v>100</v>
      </c>
      <c r="V39" s="712" t="s">
        <v>942</v>
      </c>
      <c r="W39" s="713">
        <f t="shared" si="14"/>
        <v>100</v>
      </c>
      <c r="X39" s="707"/>
      <c r="Y39" s="3373"/>
      <c r="Z39" s="706" t="str">
        <f t="shared" si="15"/>
        <v>层高</v>
      </c>
      <c r="AA39" s="718">
        <f t="shared" si="3"/>
        <v>1</v>
      </c>
      <c r="AB39" s="718">
        <f t="shared" si="4"/>
        <v>1</v>
      </c>
      <c r="AC39" s="718">
        <f t="shared" si="5"/>
        <v>1</v>
      </c>
    </row>
    <row r="40" spans="1:29" ht="15">
      <c r="A40" s="557"/>
      <c r="B40" s="553" t="s">
        <v>2231</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73"/>
      <c r="Q40" s="647" t="str">
        <f t="shared" si="11"/>
        <v>单套建筑面积</v>
      </c>
      <c r="R40" s="712" t="s">
        <v>942</v>
      </c>
      <c r="S40" s="713">
        <f t="shared" si="12"/>
        <v>100</v>
      </c>
      <c r="T40" s="712" t="s">
        <v>942</v>
      </c>
      <c r="U40" s="713">
        <f t="shared" si="13"/>
        <v>100</v>
      </c>
      <c r="V40" s="712" t="s">
        <v>942</v>
      </c>
      <c r="W40" s="713">
        <f t="shared" si="14"/>
        <v>100</v>
      </c>
      <c r="X40" s="707"/>
      <c r="Y40" s="3373"/>
      <c r="Z40" s="706" t="str">
        <f t="shared" si="15"/>
        <v>单套建筑面积</v>
      </c>
      <c r="AA40" s="718">
        <f t="shared" si="3"/>
        <v>1</v>
      </c>
      <c r="AB40" s="718">
        <f t="shared" si="4"/>
        <v>1</v>
      </c>
      <c r="AC40" s="718">
        <f t="shared" si="5"/>
        <v>1</v>
      </c>
    </row>
    <row r="41" spans="1:29" s="457" customFormat="1" ht="15">
      <c r="A41" s="552"/>
      <c r="B41" s="665" t="s">
        <v>2244</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73"/>
      <c r="Q41" s="714" t="str">
        <f t="shared" si="11"/>
        <v>进深比</v>
      </c>
      <c r="R41" s="715" t="s">
        <v>942</v>
      </c>
      <c r="S41" s="716">
        <f t="shared" si="12"/>
        <v>100</v>
      </c>
      <c r="T41" s="715" t="s">
        <v>942</v>
      </c>
      <c r="U41" s="716">
        <f t="shared" si="13"/>
        <v>100</v>
      </c>
      <c r="V41" s="715" t="s">
        <v>942</v>
      </c>
      <c r="W41" s="716">
        <f t="shared" si="14"/>
        <v>100</v>
      </c>
      <c r="X41" s="717"/>
      <c r="Y41" s="3373"/>
      <c r="Z41" s="729" t="str">
        <f t="shared" si="15"/>
        <v>进深比</v>
      </c>
      <c r="AA41" s="718">
        <f t="shared" si="3"/>
        <v>1</v>
      </c>
      <c r="AB41" s="718">
        <f t="shared" si="4"/>
        <v>1</v>
      </c>
      <c r="AC41" s="718">
        <f t="shared" si="5"/>
        <v>1</v>
      </c>
    </row>
    <row r="42" spans="1:29" ht="15">
      <c r="A42" s="557"/>
      <c r="B42" s="553" t="s">
        <v>2178</v>
      </c>
      <c r="C42" s="931" t="s">
        <v>2179</v>
      </c>
      <c r="D42" s="511">
        <v>100</v>
      </c>
      <c r="E42" s="931" t="s">
        <v>2189</v>
      </c>
      <c r="F42" s="541">
        <f>SUMIF(122:122,E42,123:123)-SUMIF(122:122,C42,123:123)+100</f>
        <v>103</v>
      </c>
      <c r="G42" s="931" t="s">
        <v>2189</v>
      </c>
      <c r="H42" s="511">
        <f>SUMIF(122:122,G42,123:123)-SUMIF(122:122,C42,123:123)+100</f>
        <v>103</v>
      </c>
      <c r="I42" s="931" t="s">
        <v>2189</v>
      </c>
      <c r="J42" s="511">
        <f>SUMIF(122:122,I42,123:123)-SUMIF(122:122,C42,123:123)+100</f>
        <v>103</v>
      </c>
      <c r="K42" s="648">
        <v>3</v>
      </c>
      <c r="L42" s="655"/>
      <c r="M42" s="642"/>
      <c r="N42" s="642"/>
      <c r="O42" s="654"/>
      <c r="P42" s="3373"/>
      <c r="Q42" s="647" t="str">
        <f t="shared" si="11"/>
        <v>内部装修</v>
      </c>
      <c r="R42" s="712" t="s">
        <v>942</v>
      </c>
      <c r="S42" s="713">
        <f t="shared" si="12"/>
        <v>103</v>
      </c>
      <c r="T42" s="712" t="s">
        <v>942</v>
      </c>
      <c r="U42" s="713">
        <f t="shared" si="13"/>
        <v>103</v>
      </c>
      <c r="V42" s="712" t="s">
        <v>942</v>
      </c>
      <c r="W42" s="713">
        <f t="shared" si="14"/>
        <v>103</v>
      </c>
      <c r="X42" s="707"/>
      <c r="Y42" s="3373"/>
      <c r="Z42" s="706" t="str">
        <f t="shared" si="15"/>
        <v>内部装修</v>
      </c>
      <c r="AA42" s="718">
        <f t="shared" si="3"/>
        <v>0.970873786407767</v>
      </c>
      <c r="AB42" s="718">
        <f t="shared" si="4"/>
        <v>0.970873786407767</v>
      </c>
      <c r="AC42" s="718">
        <f t="shared" si="5"/>
        <v>0.970873786407767</v>
      </c>
    </row>
    <row r="43" spans="1:29" ht="27">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73"/>
      <c r="Q43" s="647" t="str">
        <f t="shared" si="11"/>
        <v>内部装修维护情况</v>
      </c>
      <c r="R43" s="712" t="s">
        <v>942</v>
      </c>
      <c r="S43" s="713">
        <f t="shared" si="12"/>
        <v>100</v>
      </c>
      <c r="T43" s="712" t="s">
        <v>942</v>
      </c>
      <c r="U43" s="713">
        <f t="shared" si="13"/>
        <v>100</v>
      </c>
      <c r="V43" s="712" t="s">
        <v>942</v>
      </c>
      <c r="W43" s="713">
        <f t="shared" si="14"/>
        <v>100</v>
      </c>
      <c r="X43" s="707"/>
      <c r="Y43" s="3373"/>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73"/>
      <c r="Q44" s="711">
        <f t="shared" si="11"/>
        <v>111</v>
      </c>
      <c r="R44" s="708" t="s">
        <v>942</v>
      </c>
      <c r="S44" s="709">
        <f t="shared" si="12"/>
        <v>100</v>
      </c>
      <c r="T44" s="708" t="s">
        <v>942</v>
      </c>
      <c r="U44" s="709">
        <f t="shared" si="13"/>
        <v>100</v>
      </c>
      <c r="V44" s="708" t="s">
        <v>942</v>
      </c>
      <c r="W44" s="709">
        <f t="shared" si="14"/>
        <v>100</v>
      </c>
      <c r="X44" s="710"/>
      <c r="Y44" s="3373"/>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73"/>
      <c r="Q45" s="647">
        <f t="shared" si="11"/>
        <v>111</v>
      </c>
      <c r="R45" s="712" t="s">
        <v>942</v>
      </c>
      <c r="S45" s="713">
        <f t="shared" si="12"/>
        <v>100</v>
      </c>
      <c r="T45" s="712" t="s">
        <v>942</v>
      </c>
      <c r="U45" s="713">
        <f t="shared" si="13"/>
        <v>100</v>
      </c>
      <c r="V45" s="712" t="s">
        <v>942</v>
      </c>
      <c r="W45" s="713">
        <f t="shared" si="14"/>
        <v>100</v>
      </c>
      <c r="X45" s="707"/>
      <c r="Y45" s="3373"/>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57"/>
      <c r="Q46" s="647">
        <f t="shared" si="11"/>
        <v>111</v>
      </c>
      <c r="R46" s="712" t="s">
        <v>942</v>
      </c>
      <c r="S46" s="713">
        <f t="shared" si="12"/>
        <v>100</v>
      </c>
      <c r="T46" s="712" t="s">
        <v>942</v>
      </c>
      <c r="U46" s="713">
        <f t="shared" si="13"/>
        <v>100</v>
      </c>
      <c r="V46" s="712" t="s">
        <v>942</v>
      </c>
      <c r="W46" s="713">
        <f t="shared" si="14"/>
        <v>100</v>
      </c>
      <c r="X46" s="707"/>
      <c r="Y46" s="3457"/>
      <c r="Z46" s="706">
        <f t="shared" si="15"/>
        <v>111</v>
      </c>
      <c r="AA46" s="718">
        <f t="shared" si="3"/>
        <v>1</v>
      </c>
      <c r="AB46" s="718">
        <f t="shared" si="4"/>
        <v>1</v>
      </c>
      <c r="AC46" s="718">
        <f t="shared" si="5"/>
        <v>1</v>
      </c>
    </row>
    <row r="47" spans="1:29" ht="15">
      <c r="A47" s="567" t="s">
        <v>2180</v>
      </c>
      <c r="B47" s="568"/>
      <c r="C47" s="569" t="s">
        <v>138</v>
      </c>
      <c r="D47" s="570"/>
      <c r="E47" s="571">
        <v>27975</v>
      </c>
      <c r="F47" s="572"/>
      <c r="G47" s="573">
        <v>27056</v>
      </c>
      <c r="H47" s="574"/>
      <c r="I47" s="571">
        <v>26000</v>
      </c>
      <c r="J47" s="574"/>
      <c r="K47" s="661"/>
      <c r="L47" s="662"/>
      <c r="M47" s="583"/>
      <c r="N47" s="642"/>
      <c r="O47" s="583"/>
      <c r="P47" s="3369" t="str">
        <f>A47</f>
        <v>成交单价（元/平方米）</v>
      </c>
      <c r="Q47" s="3369"/>
      <c r="R47" s="3456">
        <f>E47</f>
        <v>27975</v>
      </c>
      <c r="S47" s="3456"/>
      <c r="T47" s="3456">
        <f>G47</f>
        <v>27056</v>
      </c>
      <c r="U47" s="3456"/>
      <c r="V47" s="3456">
        <f>I47</f>
        <v>26000</v>
      </c>
      <c r="W47" s="3456"/>
      <c r="X47" s="594"/>
      <c r="Y47" s="730"/>
      <c r="Z47" s="594"/>
      <c r="AA47" s="594"/>
      <c r="AB47" s="594"/>
      <c r="AC47" s="594"/>
    </row>
    <row r="48" spans="1:29" ht="15">
      <c r="A48" s="575" t="s">
        <v>971</v>
      </c>
      <c r="B48" s="576"/>
      <c r="C48" s="577">
        <f>R49</f>
        <v>25960</v>
      </c>
      <c r="D48" s="578"/>
      <c r="E48" s="579">
        <f>R48</f>
        <v>26638</v>
      </c>
      <c r="F48" s="579"/>
      <c r="G48" s="577">
        <f>T48</f>
        <v>27662</v>
      </c>
      <c r="H48" s="578"/>
      <c r="I48" s="579">
        <f>V48</f>
        <v>23579</v>
      </c>
      <c r="J48" s="578"/>
      <c r="K48" s="663"/>
      <c r="L48" s="662"/>
      <c r="M48" s="583"/>
      <c r="N48" s="642"/>
      <c r="O48" s="583"/>
      <c r="P48" s="3369" t="str">
        <f>A48</f>
        <v>比较价格（元/平方米）</v>
      </c>
      <c r="Q48" s="3369"/>
      <c r="R48" s="3456">
        <f>IF(F1="售价",ROUND(PRODUCT(R47,AA7:AA46),0),ROUND(PRODUCT(R47,AA7:AA46),1))</f>
        <v>26638</v>
      </c>
      <c r="S48" s="3456"/>
      <c r="T48" s="3456">
        <f>IF(F1="售价",ROUND(PRODUCT(T47,AB7:AB46),0),ROUND(PRODUCT(T47,AB7:AB46),1))</f>
        <v>27662</v>
      </c>
      <c r="U48" s="3456"/>
      <c r="V48" s="3456">
        <f>IF(F1="售价",ROUND(PRODUCT(V47,AC7:AC46),0),ROUND(PRODUCT(V47,AC7:AC46),1))</f>
        <v>23579</v>
      </c>
      <c r="W48" s="3456"/>
      <c r="X48" s="594"/>
      <c r="Y48" s="594"/>
      <c r="Z48" s="594"/>
      <c r="AA48" s="594"/>
      <c r="AB48" s="594"/>
      <c r="AC48" s="594"/>
    </row>
    <row r="49" spans="1:29" ht="15">
      <c r="A49" s="580" t="s">
        <v>972</v>
      </c>
      <c r="B49" s="581"/>
      <c r="C49" s="582">
        <f>R49</f>
        <v>25960</v>
      </c>
      <c r="D49" s="582"/>
      <c r="E49" s="582"/>
      <c r="F49" s="582"/>
      <c r="G49" s="582"/>
      <c r="H49" s="582"/>
      <c r="I49" s="582"/>
      <c r="J49" s="582"/>
      <c r="K49" s="664"/>
      <c r="L49" s="662"/>
      <c r="M49" s="583"/>
      <c r="N49" s="642"/>
      <c r="O49" s="583"/>
      <c r="P49" s="3375" t="str">
        <f>A49</f>
        <v>估价对象XX用房的比较价格（楼面单价，元/平方米）</v>
      </c>
      <c r="Q49" s="3376"/>
      <c r="R49" s="3458">
        <f>IF(F1="售价",ROUND(AVERAGE(R48:V48),0),ROUND(AVERAGE(R48:V48),1))</f>
        <v>25960</v>
      </c>
      <c r="S49" s="3458"/>
      <c r="T49" s="3458"/>
      <c r="U49" s="3458"/>
      <c r="V49" s="3458"/>
      <c r="W49" s="3458"/>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5">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ht="15">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5">
      <c r="A60" s="605" t="s">
        <v>1177</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5">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ht="15">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ht="15">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7">
      <c r="A65" s="616"/>
      <c r="B65" s="619" t="s">
        <v>1003</v>
      </c>
      <c r="C65" s="620" t="s">
        <v>2181</v>
      </c>
      <c r="D65" s="620" t="s">
        <v>2182</v>
      </c>
      <c r="E65" s="620" t="s">
        <v>2183</v>
      </c>
      <c r="F65" s="620" t="s">
        <v>2184</v>
      </c>
      <c r="G65" s="620" t="s">
        <v>2185</v>
      </c>
      <c r="H65" s="620" t="s">
        <v>2186</v>
      </c>
      <c r="I65" s="620" t="s">
        <v>2187</v>
      </c>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ht="15">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ht="15">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ht="15">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ht="15">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ht="15">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ht="15">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ht="15">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ht="15">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ht="15">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5">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ht="15">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5">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ht="15">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5">
      <c r="A84" s="616"/>
      <c r="B84" s="619" t="s">
        <v>2162</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ht="15">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5">
      <c r="A86" s="735"/>
      <c r="B86" s="619" t="s">
        <v>234</v>
      </c>
      <c r="C86" s="936" t="s">
        <v>2245</v>
      </c>
      <c r="D86" s="936" t="s">
        <v>2235</v>
      </c>
      <c r="E86" s="936" t="s">
        <v>2234</v>
      </c>
      <c r="F86" s="936" t="s">
        <v>2246</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ht="15">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5">
      <c r="A88" s="735"/>
      <c r="B88" s="619" t="str">
        <f>B26</f>
        <v>平面位置/可视性</v>
      </c>
      <c r="C88" s="936" t="s">
        <v>2233</v>
      </c>
      <c r="D88" s="936" t="s">
        <v>956</v>
      </c>
      <c r="E88" s="936" t="s">
        <v>2161</v>
      </c>
      <c r="F88" s="937" t="s">
        <v>2247</v>
      </c>
      <c r="G88" s="936" t="s">
        <v>2248</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ht="15">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ht="15">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ht="15">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ht="15">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ht="15">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ht="15">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ht="15">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ht="15">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ht="15">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ht="15">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ht="15">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c r="A100" s="612" t="s">
        <v>1010</v>
      </c>
      <c r="B100" s="613" t="s">
        <v>2239</v>
      </c>
      <c r="C100" s="2059" t="s">
        <v>2430</v>
      </c>
      <c r="D100" s="2059" t="s">
        <v>2432</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ht="15">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5">
      <c r="A102" s="616"/>
      <c r="B102" s="619" t="s">
        <v>2167</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ht="15">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c r="A105" s="738"/>
      <c r="B105" s="619" t="s">
        <v>2168</v>
      </c>
      <c r="C105" s="936" t="s">
        <v>2141</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ht="15">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c r="A107" s="738"/>
      <c r="B107" s="619" t="s">
        <v>2170</v>
      </c>
      <c r="C107" s="936" t="s">
        <v>2171</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ht="15">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c r="A109" s="738"/>
      <c r="B109" s="619" t="s">
        <v>2172</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ht="15">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c r="A112" s="740"/>
      <c r="B112" s="631" t="s">
        <v>2174</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ht="15">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c r="A114" s="738"/>
      <c r="B114" s="619" t="s">
        <v>2241</v>
      </c>
      <c r="C114" s="936" t="s">
        <v>2242</v>
      </c>
      <c r="D114" s="936" t="s">
        <v>2243</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ht="15">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c r="A116" s="738"/>
      <c r="B116" s="619" t="s">
        <v>2228</v>
      </c>
      <c r="C116" s="936" t="s">
        <v>2458</v>
      </c>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ht="15">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c r="A118" s="738"/>
      <c r="B118" s="619" t="s">
        <v>2231</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ht="15">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c r="A120" s="740"/>
      <c r="B120" s="619" t="s">
        <v>2249</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ht="15">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c r="A122" s="738"/>
      <c r="B122" s="619" t="s">
        <v>2178</v>
      </c>
      <c r="C122" s="936" t="s">
        <v>2171</v>
      </c>
      <c r="D122" s="936" t="s">
        <v>2188</v>
      </c>
      <c r="E122" s="936" t="s">
        <v>2189</v>
      </c>
      <c r="F122" s="939" t="s">
        <v>2179</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ht="15">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7">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ht="15">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ht="15">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ht="15">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ht="15">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66" priority="12" stopIfTrue="1">
      <formula>$F$52="超过30%"</formula>
    </cfRule>
  </conditionalFormatting>
  <conditionalFormatting sqref="G52">
    <cfRule type="expression" dxfId="65" priority="8" stopIfTrue="1">
      <formula>$H$52="超过30%"</formula>
    </cfRule>
  </conditionalFormatting>
  <conditionalFormatting sqref="I52">
    <cfRule type="expression" dxfId="64" priority="3" stopIfTrue="1">
      <formula>$J$52="超过30%"</formula>
    </cfRule>
  </conditionalFormatting>
  <conditionalFormatting sqref="J52">
    <cfRule type="containsText" dxfId="63" priority="6" stopIfTrue="1" operator="containsText" text="超过">
      <formula>NOT(ISERROR(SEARCH("超过",J52)))</formula>
    </cfRule>
  </conditionalFormatting>
  <conditionalFormatting sqref="E53">
    <cfRule type="expression" dxfId="62" priority="11" stopIfTrue="1">
      <formula>$F$53="超过20%"</formula>
    </cfRule>
  </conditionalFormatting>
  <conditionalFormatting sqref="G53">
    <cfRule type="expression" dxfId="61" priority="7" stopIfTrue="1">
      <formula>$H$53="超过20%"</formula>
    </cfRule>
  </conditionalFormatting>
  <conditionalFormatting sqref="I53">
    <cfRule type="expression" dxfId="60" priority="2" stopIfTrue="1">
      <formula>$J$53="超过20%"</formula>
    </cfRule>
  </conditionalFormatting>
  <conditionalFormatting sqref="J53">
    <cfRule type="containsText" dxfId="59" priority="4" stopIfTrue="1" operator="containsText" text="超过">
      <formula>NOT(ISERROR(SEARCH("超过",J53)))</formula>
    </cfRule>
  </conditionalFormatting>
  <conditionalFormatting sqref="E54">
    <cfRule type="expression" dxfId="58" priority="10" stopIfTrue="1">
      <formula>$F$54="超过30%"</formula>
    </cfRule>
  </conditionalFormatting>
  <conditionalFormatting sqref="F54">
    <cfRule type="containsText" dxfId="57" priority="14" stopIfTrue="1" operator="containsText" text="超过">
      <formula>NOT(ISERROR(SEARCH("超过",F54)))</formula>
    </cfRule>
  </conditionalFormatting>
  <conditionalFormatting sqref="G54">
    <cfRule type="expression" dxfId="56" priority="9" stopIfTrue="1">
      <formula>$H$54="超过30%"</formula>
    </cfRule>
  </conditionalFormatting>
  <conditionalFormatting sqref="H54">
    <cfRule type="containsText" dxfId="55" priority="15" stopIfTrue="1" operator="containsText" text="超过">
      <formula>NOT(ISERROR(SEARCH("超过",H54)))</formula>
    </cfRule>
  </conditionalFormatting>
  <conditionalFormatting sqref="I54">
    <cfRule type="expression" dxfId="54" priority="1" stopIfTrue="1">
      <formula>$J$54="超过30%"</formula>
    </cfRule>
  </conditionalFormatting>
  <conditionalFormatting sqref="J54">
    <cfRule type="containsText" dxfId="53" priority="5" stopIfTrue="1" operator="containsText" text="超过">
      <formula>NOT(ISERROR(SEARCH("超过",J54)))</formula>
    </cfRule>
  </conditionalFormatting>
  <conditionalFormatting sqref="F52 H52">
    <cfRule type="containsText" dxfId="52" priority="17" stopIfTrue="1" operator="containsText" text="超过">
      <formula>NOT(ISERROR(SEARCH("超过",F52)))</formula>
    </cfRule>
  </conditionalFormatting>
  <conditionalFormatting sqref="F53 H53">
    <cfRule type="containsText" dxfId="51"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1" t="s">
        <v>2285</v>
      </c>
      <c r="B1" s="3472"/>
      <c r="C1" s="3473"/>
      <c r="D1" s="3474">
        <f>SUM(I10,I15,I20,I21,I23)</f>
        <v>0</v>
      </c>
      <c r="E1" s="3474"/>
      <c r="F1" s="3474"/>
      <c r="G1" s="3474"/>
      <c r="H1" s="3474"/>
      <c r="I1" s="3475"/>
    </row>
    <row r="2" spans="1:9">
      <c r="A2" s="3483" t="s">
        <v>2286</v>
      </c>
      <c r="B2" s="3476" t="s">
        <v>2287</v>
      </c>
      <c r="C2" s="3476"/>
      <c r="D2" s="889" t="s">
        <v>2288</v>
      </c>
      <c r="E2" s="889" t="s">
        <v>2289</v>
      </c>
      <c r="F2" s="889" t="s">
        <v>2290</v>
      </c>
      <c r="G2" s="889" t="s">
        <v>2291</v>
      </c>
      <c r="H2" s="889" t="s">
        <v>2292</v>
      </c>
      <c r="I2" s="913" t="s">
        <v>2293</v>
      </c>
    </row>
    <row r="3" spans="1:9">
      <c r="A3" s="3483"/>
      <c r="B3" s="3476" t="s">
        <v>2294</v>
      </c>
      <c r="C3" s="3476"/>
      <c r="D3" s="890"/>
      <c r="E3" s="889"/>
      <c r="F3" s="891"/>
      <c r="G3" s="891"/>
      <c r="H3" s="892"/>
      <c r="I3" s="914">
        <f>ROUND(D3*E3*F3*G3*H3/10000,0)</f>
        <v>0</v>
      </c>
    </row>
    <row r="4" spans="1:9">
      <c r="A4" s="3483"/>
      <c r="B4" s="3476" t="s">
        <v>2295</v>
      </c>
      <c r="C4" s="3476"/>
      <c r="D4" s="890"/>
      <c r="E4" s="889"/>
      <c r="F4" s="891"/>
      <c r="G4" s="891"/>
      <c r="H4" s="892"/>
      <c r="I4" s="914">
        <f t="shared" ref="I4:I9" si="0">ROUND(D4*E4*F4*G4*H4/10000,0)</f>
        <v>0</v>
      </c>
    </row>
    <row r="5" spans="1:9">
      <c r="A5" s="3483"/>
      <c r="B5" s="3476" t="s">
        <v>2296</v>
      </c>
      <c r="C5" s="3476"/>
      <c r="D5" s="890"/>
      <c r="E5" s="889"/>
      <c r="F5" s="891"/>
      <c r="G5" s="891"/>
      <c r="H5" s="892"/>
      <c r="I5" s="914">
        <f t="shared" si="0"/>
        <v>0</v>
      </c>
    </row>
    <row r="6" spans="1:9">
      <c r="A6" s="3483"/>
      <c r="B6" s="3476" t="s">
        <v>2297</v>
      </c>
      <c r="C6" s="3476"/>
      <c r="D6" s="890"/>
      <c r="E6" s="889"/>
      <c r="F6" s="891"/>
      <c r="G6" s="891"/>
      <c r="H6" s="892"/>
      <c r="I6" s="914">
        <f t="shared" si="0"/>
        <v>0</v>
      </c>
    </row>
    <row r="7" spans="1:9">
      <c r="A7" s="3483"/>
      <c r="B7" s="3476" t="s">
        <v>2298</v>
      </c>
      <c r="C7" s="3476"/>
      <c r="D7" s="890"/>
      <c r="E7" s="889"/>
      <c r="F7" s="891"/>
      <c r="G7" s="891"/>
      <c r="H7" s="892"/>
      <c r="I7" s="914">
        <f t="shared" si="0"/>
        <v>0</v>
      </c>
    </row>
    <row r="8" spans="1:9">
      <c r="A8" s="3483"/>
      <c r="B8" s="3476" t="s">
        <v>2299</v>
      </c>
      <c r="C8" s="3476"/>
      <c r="D8" s="890"/>
      <c r="E8" s="889"/>
      <c r="F8" s="891"/>
      <c r="G8" s="891"/>
      <c r="H8" s="892"/>
      <c r="I8" s="914">
        <f t="shared" si="0"/>
        <v>0</v>
      </c>
    </row>
    <row r="9" spans="1:9">
      <c r="A9" s="3483"/>
      <c r="B9" s="3476" t="s">
        <v>2300</v>
      </c>
      <c r="C9" s="3476"/>
      <c r="D9" s="890"/>
      <c r="E9" s="889"/>
      <c r="F9" s="891"/>
      <c r="G9" s="891"/>
      <c r="H9" s="892"/>
      <c r="I9" s="914">
        <f t="shared" si="0"/>
        <v>0</v>
      </c>
    </row>
    <row r="10" spans="1:9">
      <c r="A10" s="3483"/>
      <c r="B10" s="3477" t="s">
        <v>491</v>
      </c>
      <c r="C10" s="3477"/>
      <c r="D10" s="893">
        <v>527</v>
      </c>
      <c r="E10" s="893" t="e">
        <f>ROUND(D1*10000/D10/H9,0)</f>
        <v>#DIV/0!</v>
      </c>
      <c r="F10" s="894"/>
      <c r="G10" s="894"/>
      <c r="H10" s="895"/>
      <c r="I10" s="915">
        <f>SUM(I3:I9)</f>
        <v>0</v>
      </c>
    </row>
    <row r="11" spans="1:9" ht="14.25">
      <c r="A11" s="3483" t="s">
        <v>2301</v>
      </c>
      <c r="B11" s="3476" t="s">
        <v>2302</v>
      </c>
      <c r="C11" s="3476"/>
      <c r="D11" s="890" t="s">
        <v>2303</v>
      </c>
      <c r="E11" s="890" t="s">
        <v>2304</v>
      </c>
      <c r="F11" s="891" t="s">
        <v>2305</v>
      </c>
      <c r="G11" s="891" t="s">
        <v>2292</v>
      </c>
      <c r="H11" s="896" t="s">
        <v>138</v>
      </c>
      <c r="I11" s="913" t="s">
        <v>2293</v>
      </c>
    </row>
    <row r="12" spans="1:9">
      <c r="A12" s="3483"/>
      <c r="B12" s="3476" t="s">
        <v>2306</v>
      </c>
      <c r="C12" s="3476"/>
      <c r="D12" s="890"/>
      <c r="E12" s="890"/>
      <c r="F12" s="891"/>
      <c r="G12" s="892"/>
      <c r="H12" s="897"/>
      <c r="I12" s="913">
        <f>ROUND(D12*E12*F12*G12/10000,0)</f>
        <v>0</v>
      </c>
    </row>
    <row r="13" spans="1:9">
      <c r="A13" s="3483"/>
      <c r="B13" s="3476" t="s">
        <v>2307</v>
      </c>
      <c r="C13" s="3476"/>
      <c r="D13" s="890"/>
      <c r="E13" s="890"/>
      <c r="F13" s="891"/>
      <c r="G13" s="892"/>
      <c r="H13" s="897"/>
      <c r="I13" s="913">
        <f>ROUND(D13*E13*F13*G13/10000,0)</f>
        <v>0</v>
      </c>
    </row>
    <row r="14" spans="1:9">
      <c r="A14" s="3483"/>
      <c r="B14" s="3476" t="s">
        <v>2308</v>
      </c>
      <c r="C14" s="3476"/>
      <c r="D14" s="890"/>
      <c r="E14" s="890"/>
      <c r="F14" s="891"/>
      <c r="G14" s="892"/>
      <c r="H14" s="897"/>
      <c r="I14" s="913">
        <f>ROUND(D14*E14*F14*G14/10000,0)</f>
        <v>0</v>
      </c>
    </row>
    <row r="15" spans="1:9">
      <c r="A15" s="3483"/>
      <c r="B15" s="3477" t="s">
        <v>491</v>
      </c>
      <c r="C15" s="3477"/>
      <c r="D15" s="893"/>
      <c r="E15" s="893">
        <f>SUM(E12:E14)</f>
        <v>0</v>
      </c>
      <c r="F15" s="894"/>
      <c r="G15" s="892"/>
      <c r="H15" s="897"/>
      <c r="I15" s="916">
        <f>SUM(I12:I14)</f>
        <v>0</v>
      </c>
    </row>
    <row r="16" spans="1:9" ht="24">
      <c r="A16" s="3483" t="s">
        <v>2309</v>
      </c>
      <c r="B16" s="3476" t="s">
        <v>2310</v>
      </c>
      <c r="C16" s="3476"/>
      <c r="D16" s="890" t="s">
        <v>2288</v>
      </c>
      <c r="E16" s="898" t="s">
        <v>2311</v>
      </c>
      <c r="F16" s="891" t="s">
        <v>2312</v>
      </c>
      <c r="G16" s="892" t="s">
        <v>2292</v>
      </c>
      <c r="H16" s="896" t="s">
        <v>138</v>
      </c>
      <c r="I16" s="913" t="s">
        <v>2293</v>
      </c>
    </row>
    <row r="17" spans="1:9" ht="14.25">
      <c r="A17" s="3483"/>
      <c r="B17" s="3476" t="s">
        <v>2313</v>
      </c>
      <c r="C17" s="3476"/>
      <c r="D17" s="890"/>
      <c r="E17" s="890"/>
      <c r="F17" s="891"/>
      <c r="G17" s="892"/>
      <c r="H17" s="899"/>
      <c r="I17" s="917">
        <f>ROUND(D17*E17*F17*G17/10000,0)</f>
        <v>0</v>
      </c>
    </row>
    <row r="18" spans="1:9" ht="14.25">
      <c r="A18" s="3483"/>
      <c r="B18" s="3476" t="s">
        <v>2314</v>
      </c>
      <c r="C18" s="3476"/>
      <c r="D18" s="890"/>
      <c r="E18" s="890"/>
      <c r="F18" s="891"/>
      <c r="G18" s="892"/>
      <c r="H18" s="899"/>
      <c r="I18" s="917">
        <f>ROUND(D18*E18*F18*G18/10000,0)</f>
        <v>0</v>
      </c>
    </row>
    <row r="19" spans="1:9" ht="14.25">
      <c r="A19" s="3483"/>
      <c r="B19" s="3476" t="s">
        <v>2315</v>
      </c>
      <c r="C19" s="3476"/>
      <c r="D19" s="890"/>
      <c r="E19" s="890"/>
      <c r="F19" s="891"/>
      <c r="G19" s="892"/>
      <c r="H19" s="899"/>
      <c r="I19" s="917">
        <f>ROUND(D19*E19*F19*G19/10000,0)</f>
        <v>0</v>
      </c>
    </row>
    <row r="20" spans="1:9">
      <c r="A20" s="3483"/>
      <c r="B20" s="3477" t="s">
        <v>491</v>
      </c>
      <c r="C20" s="3477"/>
      <c r="D20" s="893">
        <f>SUM(D17:D19)</f>
        <v>0</v>
      </c>
      <c r="E20" s="893"/>
      <c r="F20" s="894"/>
      <c r="G20" s="892"/>
      <c r="H20" s="897"/>
      <c r="I20" s="916">
        <f>SUM(I17:I19)</f>
        <v>0</v>
      </c>
    </row>
    <row r="21" spans="1:9">
      <c r="A21" s="3483" t="s">
        <v>2316</v>
      </c>
      <c r="B21" s="3491"/>
      <c r="C21" s="3491"/>
      <c r="D21" s="3491"/>
      <c r="E21" s="3491"/>
      <c r="F21" s="3491"/>
      <c r="G21" s="3491"/>
      <c r="H21" s="900">
        <v>0.1</v>
      </c>
      <c r="I21" s="915">
        <f>ROUND(I10*H21,0)</f>
        <v>0</v>
      </c>
    </row>
    <row r="22" spans="1:9" ht="14.25">
      <c r="A22" s="3484" t="s">
        <v>2317</v>
      </c>
      <c r="B22" s="3485"/>
      <c r="C22" s="3486"/>
      <c r="D22" s="901" t="s">
        <v>383</v>
      </c>
      <c r="E22" s="901" t="s">
        <v>2318</v>
      </c>
      <c r="F22" s="902" t="s">
        <v>2292</v>
      </c>
      <c r="G22" s="902" t="s">
        <v>2319</v>
      </c>
      <c r="H22" s="896" t="s">
        <v>138</v>
      </c>
      <c r="I22" s="913" t="s">
        <v>2293</v>
      </c>
    </row>
    <row r="23" spans="1:9">
      <c r="A23" s="3487"/>
      <c r="B23" s="3488"/>
      <c r="C23" s="3489"/>
      <c r="D23" s="903"/>
      <c r="E23" s="903"/>
      <c r="F23" s="903"/>
      <c r="G23" s="904"/>
      <c r="H23" s="905"/>
      <c r="I23" s="918">
        <f>ROUND(E23*D23*F23*(1-G23)/10000,0)</f>
        <v>0</v>
      </c>
    </row>
    <row r="26" spans="1:9">
      <c r="A26" s="906" t="s">
        <v>2320</v>
      </c>
      <c r="B26" s="906"/>
      <c r="C26" s="906"/>
      <c r="D26" s="906"/>
      <c r="E26" s="3482">
        <f>C27-C30-C31-C32</f>
        <v>0</v>
      </c>
      <c r="F26" s="3482"/>
      <c r="G26" s="3482"/>
      <c r="H26" s="907" t="s">
        <v>2321</v>
      </c>
    </row>
    <row r="27" spans="1:9">
      <c r="A27" s="908">
        <v>1</v>
      </c>
      <c r="B27" s="909" t="s">
        <v>2322</v>
      </c>
      <c r="C27" s="909"/>
      <c r="D27" s="909"/>
      <c r="E27" s="3478"/>
      <c r="F27" s="3478"/>
      <c r="G27" s="3478"/>
    </row>
    <row r="28" spans="1:9">
      <c r="A28" s="910" t="s">
        <v>1196</v>
      </c>
      <c r="B28" s="909" t="s">
        <v>2323</v>
      </c>
      <c r="C28" s="909"/>
      <c r="D28" s="909"/>
      <c r="E28" s="3478"/>
      <c r="F28" s="3478"/>
      <c r="G28" s="3478"/>
    </row>
    <row r="29" spans="1:9">
      <c r="A29" s="910" t="s">
        <v>1236</v>
      </c>
      <c r="B29" s="909" t="s">
        <v>1995</v>
      </c>
      <c r="C29" s="909"/>
      <c r="D29" s="909"/>
      <c r="E29" s="909" t="s">
        <v>2324</v>
      </c>
      <c r="F29" s="909"/>
      <c r="G29" s="909"/>
    </row>
    <row r="30" spans="1:9">
      <c r="A30" s="908">
        <v>2</v>
      </c>
      <c r="B30" s="909" t="s">
        <v>2325</v>
      </c>
      <c r="C30" s="909">
        <f>C27*D30</f>
        <v>0</v>
      </c>
      <c r="D30" s="911">
        <v>0.2</v>
      </c>
      <c r="E30" s="909" t="s">
        <v>2326</v>
      </c>
      <c r="F30" s="909"/>
      <c r="G30" s="909"/>
    </row>
    <row r="31" spans="1:9">
      <c r="A31" s="908">
        <v>3</v>
      </c>
      <c r="B31" s="909" t="s">
        <v>2327</v>
      </c>
      <c r="C31" s="909">
        <f>C25*D31</f>
        <v>0</v>
      </c>
      <c r="D31" s="911">
        <v>0.15</v>
      </c>
      <c r="E31" s="909" t="s">
        <v>2328</v>
      </c>
      <c r="F31" s="909"/>
      <c r="G31" s="909"/>
    </row>
    <row r="32" spans="1:9">
      <c r="A32" s="908">
        <v>4</v>
      </c>
      <c r="B32" s="909" t="s">
        <v>2329</v>
      </c>
      <c r="C32" s="909">
        <f>C27*D32</f>
        <v>0</v>
      </c>
      <c r="D32" s="911">
        <v>0.05</v>
      </c>
      <c r="E32" s="3490"/>
      <c r="F32" s="3490"/>
      <c r="G32" s="3490"/>
    </row>
    <row r="33" spans="1:7" hidden="1">
      <c r="A33" s="3479" t="s">
        <v>2330</v>
      </c>
      <c r="B33" s="3480"/>
      <c r="C33" s="3480"/>
      <c r="D33" s="3481"/>
      <c r="E33" s="3482"/>
      <c r="F33" s="3482"/>
      <c r="G33" s="3482"/>
    </row>
    <row r="34" spans="1:7" hidden="1">
      <c r="A34" s="912">
        <v>1</v>
      </c>
      <c r="B34" s="909" t="s">
        <v>2331</v>
      </c>
      <c r="C34" s="909"/>
      <c r="D34" s="909"/>
      <c r="E34" s="3478"/>
      <c r="F34" s="3478"/>
      <c r="G34" s="3478"/>
    </row>
    <row r="35" spans="1:7" hidden="1">
      <c r="A35" s="912">
        <v>2</v>
      </c>
      <c r="B35" s="909" t="s">
        <v>2332</v>
      </c>
      <c r="C35" s="909"/>
      <c r="D35" s="909"/>
      <c r="E35" s="3478"/>
      <c r="F35" s="3478"/>
      <c r="G35" s="3478"/>
    </row>
    <row r="36" spans="1:7" hidden="1">
      <c r="A36" s="912">
        <v>3</v>
      </c>
      <c r="B36" s="909" t="s">
        <v>2333</v>
      </c>
      <c r="C36" s="909"/>
      <c r="D36" s="909"/>
      <c r="E36" s="3478"/>
      <c r="F36" s="3478"/>
      <c r="G36" s="3478"/>
    </row>
    <row r="37" spans="1:7" hidden="1">
      <c r="A37" s="912">
        <v>4</v>
      </c>
      <c r="B37" s="909" t="s">
        <v>2334</v>
      </c>
      <c r="C37" s="909"/>
      <c r="D37" s="909"/>
      <c r="E37" s="3478"/>
      <c r="F37" s="3478"/>
      <c r="G37" s="3478"/>
    </row>
    <row r="38" spans="1:7" hidden="1">
      <c r="A38" s="3479" t="s">
        <v>2335</v>
      </c>
      <c r="B38" s="3480"/>
      <c r="C38" s="3480"/>
      <c r="D38" s="3481"/>
      <c r="E38" s="3482"/>
      <c r="F38" s="3482"/>
      <c r="G38" s="348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30" customWidth="1"/>
    <col min="2" max="2" width="26.625" style="831" customWidth="1"/>
    <col min="3" max="3" width="11.125" style="831" customWidth="1"/>
    <col min="4" max="5" width="11.125" style="832" customWidth="1"/>
    <col min="6" max="6" width="9.5" style="831" customWidth="1"/>
    <col min="7" max="7" width="31.875" style="831" customWidth="1"/>
    <col min="8" max="25" width="9" style="833" customWidth="1"/>
    <col min="26" max="254" width="9" style="831" customWidth="1"/>
    <col min="255" max="16384" width="8.375" style="831"/>
  </cols>
  <sheetData>
    <row r="1" spans="1:25" s="3" customFormat="1" ht="20.25">
      <c r="A1" s="834" t="s">
        <v>2336</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1080</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2337</v>
      </c>
      <c r="D6" s="848" t="s">
        <v>2338</v>
      </c>
      <c r="E6" s="849" t="s">
        <v>2339</v>
      </c>
      <c r="F6" s="849" t="s">
        <v>858</v>
      </c>
      <c r="G6" s="850"/>
    </row>
    <row r="7" spans="1:25" s="828" customFormat="1" ht="13.5" customHeight="1">
      <c r="A7" s="851">
        <v>1</v>
      </c>
      <c r="B7" s="852" t="s">
        <v>2340</v>
      </c>
      <c r="C7" s="853">
        <f>C8+C9</f>
        <v>0</v>
      </c>
      <c r="D7" s="853"/>
      <c r="E7" s="854"/>
      <c r="F7" s="854"/>
      <c r="G7" s="855"/>
    </row>
    <row r="8" spans="1:25" s="828" customFormat="1" ht="13.5" customHeight="1">
      <c r="A8" s="851" t="s">
        <v>2341</v>
      </c>
      <c r="B8" s="856" t="s">
        <v>2342</v>
      </c>
      <c r="C8" s="857"/>
      <c r="D8" s="853"/>
      <c r="E8" s="854"/>
      <c r="F8" s="854"/>
      <c r="G8" s="858"/>
    </row>
    <row r="9" spans="1:25" s="828" customFormat="1" ht="13.5" customHeight="1">
      <c r="A9" s="851" t="s">
        <v>2343</v>
      </c>
      <c r="B9" s="856" t="s">
        <v>2344</v>
      </c>
      <c r="C9" s="857"/>
      <c r="D9" s="853"/>
      <c r="E9" s="854"/>
      <c r="F9" s="854"/>
      <c r="G9" s="858"/>
    </row>
    <row r="10" spans="1:25" s="828" customFormat="1" ht="36">
      <c r="A10" s="851">
        <v>2</v>
      </c>
      <c r="B10" s="852" t="s">
        <v>2345</v>
      </c>
      <c r="C10" s="853">
        <f>C11+C14+C15</f>
        <v>0</v>
      </c>
      <c r="D10" s="859">
        <f>'数据-汇总表'!E3</f>
        <v>524902.89999999991</v>
      </c>
      <c r="E10" s="853">
        <f>'数据-取费表'!B31</f>
        <v>150</v>
      </c>
      <c r="F10" s="860"/>
      <c r="G10" s="861" t="s">
        <v>2346</v>
      </c>
    </row>
    <row r="11" spans="1:25" s="828" customFormat="1" ht="13.5" customHeight="1">
      <c r="A11" s="851" t="s">
        <v>2341</v>
      </c>
      <c r="B11" s="862" t="s">
        <v>2347</v>
      </c>
      <c r="C11" s="863">
        <f>'数据-取费表'!B29</f>
        <v>0</v>
      </c>
      <c r="D11" s="864"/>
      <c r="E11" s="863"/>
      <c r="F11" s="865"/>
      <c r="G11" s="866" t="s">
        <v>2348</v>
      </c>
    </row>
    <row r="12" spans="1:25" s="828" customFormat="1" ht="13.5" customHeight="1">
      <c r="A12" s="867" t="s">
        <v>2349</v>
      </c>
      <c r="B12" s="868" t="s">
        <v>2350</v>
      </c>
      <c r="C12" s="869">
        <f>ROUND(D12*E12/10000,0)</f>
        <v>0</v>
      </c>
      <c r="D12" s="870">
        <f>'数据-汇总表'!E5</f>
        <v>0</v>
      </c>
      <c r="E12" s="869">
        <f>'数据-取费表'!B27</f>
        <v>50</v>
      </c>
      <c r="F12" s="865"/>
      <c r="G12" s="861"/>
    </row>
    <row r="13" spans="1:25" s="828" customFormat="1" ht="13.5" customHeight="1">
      <c r="A13" s="867" t="s">
        <v>2351</v>
      </c>
      <c r="B13" s="868" t="s">
        <v>2352</v>
      </c>
      <c r="C13" s="869">
        <f>ROUND(D13*E13/10000,0)</f>
        <v>4724</v>
      </c>
      <c r="D13" s="870">
        <f>'数据-汇总表'!E6</f>
        <v>524902.89999999991</v>
      </c>
      <c r="E13" s="869">
        <f>'数据-取费表'!B28</f>
        <v>90</v>
      </c>
      <c r="F13" s="865"/>
      <c r="G13" s="861"/>
    </row>
    <row r="14" spans="1:25" s="828" customFormat="1" ht="13.5" customHeight="1">
      <c r="A14" s="851" t="s">
        <v>2343</v>
      </c>
      <c r="B14" s="871" t="s">
        <v>2353</v>
      </c>
      <c r="C14" s="857"/>
      <c r="D14" s="870"/>
      <c r="E14" s="869"/>
      <c r="F14" s="872"/>
      <c r="G14" s="873" t="s">
        <v>2354</v>
      </c>
    </row>
    <row r="15" spans="1:25" s="828" customFormat="1" ht="13.5" customHeight="1">
      <c r="A15" s="851" t="s">
        <v>2355</v>
      </c>
      <c r="B15" s="871" t="s">
        <v>2356</v>
      </c>
      <c r="C15" s="857"/>
      <c r="D15" s="870"/>
      <c r="E15" s="869"/>
      <c r="F15" s="872"/>
      <c r="G15" s="873" t="s">
        <v>2357</v>
      </c>
    </row>
    <row r="16" spans="1:25" s="829" customFormat="1" ht="48">
      <c r="A16" s="851">
        <v>3</v>
      </c>
      <c r="B16" s="852" t="s">
        <v>2358</v>
      </c>
      <c r="C16" s="857"/>
      <c r="D16" s="859"/>
      <c r="E16" s="853"/>
      <c r="F16" s="860"/>
      <c r="G16" s="861" t="s">
        <v>2359</v>
      </c>
      <c r="H16" s="828"/>
      <c r="I16" s="828"/>
      <c r="J16" s="828"/>
      <c r="K16" s="828"/>
      <c r="L16" s="828"/>
      <c r="M16" s="828"/>
      <c r="N16" s="828"/>
      <c r="O16" s="828"/>
      <c r="P16" s="828"/>
      <c r="Q16" s="828"/>
      <c r="R16" s="828"/>
      <c r="S16" s="828"/>
      <c r="T16" s="828"/>
      <c r="U16" s="828"/>
      <c r="V16" s="828"/>
      <c r="W16" s="828"/>
      <c r="X16" s="828"/>
      <c r="Y16" s="828"/>
    </row>
    <row r="17" spans="1:25" s="829" customFormat="1" ht="25.5">
      <c r="A17" s="874">
        <v>4</v>
      </c>
      <c r="B17" s="852" t="s">
        <v>2360</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2361</v>
      </c>
      <c r="C18" s="853">
        <f>ROUND((C7+C10+C16)*F18,0)</f>
        <v>0</v>
      </c>
      <c r="D18" s="876"/>
      <c r="E18" s="877"/>
      <c r="F18" s="860">
        <f>'数据-取费表'!Q16</f>
        <v>0.15</v>
      </c>
      <c r="G18" s="879" t="s">
        <v>2362</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2363</v>
      </c>
      <c r="C19" s="853">
        <f ca="1">C7+C10+C16+C17+C18</f>
        <v>0</v>
      </c>
      <c r="D19" s="859"/>
      <c r="E19" s="853"/>
      <c r="F19" s="860"/>
      <c r="G19" s="879" t="s">
        <v>2364</v>
      </c>
      <c r="H19" s="828"/>
      <c r="I19" s="828"/>
      <c r="J19" s="828"/>
      <c r="K19" s="828"/>
      <c r="L19" s="828"/>
      <c r="M19" s="828"/>
      <c r="N19" s="828"/>
      <c r="O19" s="828"/>
      <c r="P19" s="828"/>
      <c r="Q19" s="828"/>
      <c r="R19" s="828"/>
      <c r="S19" s="828"/>
      <c r="T19" s="828"/>
      <c r="U19" s="828"/>
      <c r="V19" s="828"/>
      <c r="W19" s="828"/>
      <c r="X19" s="828"/>
      <c r="Y19" s="828"/>
    </row>
    <row r="20" spans="1:25" s="829" customFormat="1" ht="24.75">
      <c r="A20" s="851">
        <v>7</v>
      </c>
      <c r="B20" s="852" t="s">
        <v>2365</v>
      </c>
      <c r="C20" s="853">
        <f ca="1">ROUND(C19*F20,0)</f>
        <v>0</v>
      </c>
      <c r="D20" s="859"/>
      <c r="E20" s="853"/>
      <c r="F20" s="881"/>
      <c r="G20" s="879" t="s">
        <v>2366</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2367</v>
      </c>
      <c r="C21" s="853">
        <f ca="1">C19+C20</f>
        <v>0</v>
      </c>
      <c r="D21" s="859"/>
      <c r="E21" s="853"/>
      <c r="F21" s="860"/>
      <c r="G21" s="879" t="s">
        <v>2368</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2369</v>
      </c>
      <c r="C22" s="853">
        <f ca="1">ROUND(C21*F22,0)</f>
        <v>0</v>
      </c>
      <c r="D22" s="859"/>
      <c r="E22" s="853"/>
      <c r="F22" s="882">
        <f>'数据-取费表'!AP16</f>
        <v>0.83399999999999996</v>
      </c>
      <c r="G22" s="879" t="s">
        <v>2370</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2371</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2020年2月10日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793" t="s">
        <v>1170</v>
      </c>
      <c r="C1" s="465" t="s">
        <v>2155</v>
      </c>
      <c r="D1" s="466"/>
      <c r="E1" s="467"/>
      <c r="F1" s="468"/>
      <c r="G1" s="469" t="s">
        <v>2157</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2158</v>
      </c>
      <c r="B3" s="475" t="e">
        <f>C43</f>
        <v>#DIV/0!</v>
      </c>
      <c r="C3" s="476" t="s">
        <v>2159</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58" t="s">
        <v>931</v>
      </c>
      <c r="D4" s="3359"/>
      <c r="E4" s="3399" t="s">
        <v>932</v>
      </c>
      <c r="F4" s="3400"/>
      <c r="G4" s="3358" t="s">
        <v>933</v>
      </c>
      <c r="H4" s="3359"/>
      <c r="I4" s="3358" t="s">
        <v>934</v>
      </c>
      <c r="J4" s="3359"/>
      <c r="K4" s="640" t="s">
        <v>935</v>
      </c>
      <c r="L4" s="641"/>
      <c r="M4" s="642"/>
      <c r="N4" s="642"/>
      <c r="O4" s="642"/>
      <c r="P4" s="3386" t="s">
        <v>936</v>
      </c>
      <c r="Q4" s="3387"/>
      <c r="R4" s="3392" t="s">
        <v>932</v>
      </c>
      <c r="S4" s="3393"/>
      <c r="T4" s="3392" t="s">
        <v>933</v>
      </c>
      <c r="U4" s="3393"/>
      <c r="V4" s="3378" t="s">
        <v>934</v>
      </c>
      <c r="W4" s="3378"/>
      <c r="X4" s="707"/>
      <c r="Y4" s="3392" t="s">
        <v>936</v>
      </c>
      <c r="Z4" s="3393"/>
      <c r="AA4" s="3379" t="s">
        <v>932</v>
      </c>
      <c r="AB4" s="3380" t="s">
        <v>933</v>
      </c>
      <c r="AC4" s="3379" t="s">
        <v>934</v>
      </c>
    </row>
    <row r="5" spans="1:29" ht="15">
      <c r="A5" s="480"/>
      <c r="B5" s="481"/>
      <c r="C5" s="3360" t="s">
        <v>937</v>
      </c>
      <c r="D5" s="3361"/>
      <c r="E5" s="3401" t="s">
        <v>1171</v>
      </c>
      <c r="F5" s="3402"/>
      <c r="G5" s="3360" t="s">
        <v>1172</v>
      </c>
      <c r="H5" s="3361"/>
      <c r="I5" s="3360" t="s">
        <v>1173</v>
      </c>
      <c r="J5" s="3361"/>
      <c r="K5" s="640"/>
      <c r="L5" s="641"/>
      <c r="M5" s="642"/>
      <c r="N5" s="642"/>
      <c r="O5" s="642"/>
      <c r="P5" s="3388"/>
      <c r="Q5" s="3389"/>
      <c r="R5" s="3394"/>
      <c r="S5" s="3395"/>
      <c r="T5" s="3394"/>
      <c r="U5" s="3395"/>
      <c r="V5" s="3378"/>
      <c r="W5" s="3378"/>
      <c r="X5" s="707"/>
      <c r="Y5" s="3394"/>
      <c r="Z5" s="3395"/>
      <c r="AA5" s="3380"/>
      <c r="AB5" s="3380"/>
      <c r="AC5" s="3380"/>
    </row>
    <row r="6" spans="1:29" ht="15">
      <c r="A6" s="482"/>
      <c r="B6" s="483"/>
      <c r="C6" s="3364" t="s">
        <v>938</v>
      </c>
      <c r="D6" s="3365"/>
      <c r="E6" s="3403" t="s">
        <v>938</v>
      </c>
      <c r="F6" s="3404"/>
      <c r="G6" s="3364" t="s">
        <v>938</v>
      </c>
      <c r="H6" s="3365"/>
      <c r="I6" s="3364" t="s">
        <v>938</v>
      </c>
      <c r="J6" s="3365"/>
      <c r="K6" s="640" t="s">
        <v>939</v>
      </c>
      <c r="L6" s="641"/>
      <c r="M6" s="642"/>
      <c r="N6" s="642"/>
      <c r="O6" s="642"/>
      <c r="P6" s="3390"/>
      <c r="Q6" s="3391"/>
      <c r="R6" s="3394"/>
      <c r="S6" s="3395"/>
      <c r="T6" s="3396"/>
      <c r="U6" s="3397"/>
      <c r="V6" s="3378"/>
      <c r="W6" s="3378"/>
      <c r="X6" s="707"/>
      <c r="Y6" s="3396"/>
      <c r="Z6" s="3397"/>
      <c r="AA6" s="3381"/>
      <c r="AB6" s="3381"/>
      <c r="AC6" s="3381"/>
    </row>
    <row r="7" spans="1:29" s="455" customFormat="1" ht="15">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66" t="s">
        <v>941</v>
      </c>
      <c r="Q7" s="3367"/>
      <c r="R7" s="708" t="s">
        <v>942</v>
      </c>
      <c r="S7" s="709">
        <f t="shared" ref="S7:S15" si="0">F7</f>
        <v>0</v>
      </c>
      <c r="T7" s="708" t="s">
        <v>942</v>
      </c>
      <c r="U7" s="709">
        <f t="shared" ref="U7:U15" si="1">H7</f>
        <v>0</v>
      </c>
      <c r="V7" s="708" t="s">
        <v>942</v>
      </c>
      <c r="W7" s="709">
        <f t="shared" ref="W7:W15" si="2">J7</f>
        <v>0</v>
      </c>
      <c r="X7" s="710"/>
      <c r="Y7" s="3366" t="s">
        <v>941</v>
      </c>
      <c r="Z7" s="3398"/>
      <c r="AA7" s="727" t="e">
        <f>D7/F7</f>
        <v>#DIV/0!</v>
      </c>
      <c r="AB7" s="727" t="e">
        <f>D7/H7</f>
        <v>#DIV/0!</v>
      </c>
      <c r="AC7" s="727" t="e">
        <f>D7/J7</f>
        <v>#DIV/0!</v>
      </c>
    </row>
    <row r="8" spans="1:29" s="455" customFormat="1" ht="15">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66" t="s">
        <v>945</v>
      </c>
      <c r="Q8" s="3398"/>
      <c r="R8" s="708" t="s">
        <v>942</v>
      </c>
      <c r="S8" s="709">
        <f t="shared" si="0"/>
        <v>0</v>
      </c>
      <c r="T8" s="708" t="s">
        <v>942</v>
      </c>
      <c r="U8" s="709">
        <f t="shared" si="1"/>
        <v>0</v>
      </c>
      <c r="V8" s="708" t="s">
        <v>942</v>
      </c>
      <c r="W8" s="709">
        <f t="shared" si="2"/>
        <v>0</v>
      </c>
      <c r="X8" s="710"/>
      <c r="Y8" s="3366" t="s">
        <v>945</v>
      </c>
      <c r="Z8" s="3398"/>
      <c r="AA8" s="727" t="e">
        <f t="shared" ref="AA8:AA40" si="3">D8/F8</f>
        <v>#DIV/0!</v>
      </c>
      <c r="AB8" s="727" t="e">
        <f t="shared" ref="AB8:AB40" si="4">D8/H8</f>
        <v>#DIV/0!</v>
      </c>
      <c r="AC8" s="727" t="e">
        <f t="shared" ref="AC8:AC40" si="5">D8/J8</f>
        <v>#DIV/0!</v>
      </c>
    </row>
    <row r="9" spans="1:29" s="455" customFormat="1" ht="15">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69" t="s">
        <v>948</v>
      </c>
      <c r="Q9" s="711" t="str">
        <f t="shared" ref="Q9:Q15" si="6">B9</f>
        <v>用途</v>
      </c>
      <c r="R9" s="708" t="s">
        <v>942</v>
      </c>
      <c r="S9" s="709">
        <f t="shared" si="0"/>
        <v>100</v>
      </c>
      <c r="T9" s="708" t="s">
        <v>942</v>
      </c>
      <c r="U9" s="709">
        <f t="shared" si="1"/>
        <v>100</v>
      </c>
      <c r="V9" s="708" t="s">
        <v>942</v>
      </c>
      <c r="W9" s="709">
        <f t="shared" si="2"/>
        <v>100</v>
      </c>
      <c r="X9" s="710"/>
      <c r="Y9" s="3357" t="s">
        <v>949</v>
      </c>
      <c r="Z9" s="728" t="str">
        <f t="shared" ref="Z9:Z15" si="7">Q9</f>
        <v>用途</v>
      </c>
      <c r="AA9" s="727">
        <f t="shared" si="3"/>
        <v>1</v>
      </c>
      <c r="AB9" s="727">
        <f t="shared" si="4"/>
        <v>1</v>
      </c>
      <c r="AC9" s="727">
        <f t="shared" si="5"/>
        <v>1</v>
      </c>
    </row>
    <row r="10" spans="1:29" s="456" customFormat="1" ht="27">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69"/>
      <c r="Q10" s="711" t="str">
        <f t="shared" si="6"/>
        <v>土地使用年限（年）</v>
      </c>
      <c r="R10" s="708" t="s">
        <v>942</v>
      </c>
      <c r="S10" s="709">
        <f t="shared" si="0"/>
        <v>100</v>
      </c>
      <c r="T10" s="708" t="s">
        <v>942</v>
      </c>
      <c r="U10" s="709">
        <f t="shared" si="1"/>
        <v>100</v>
      </c>
      <c r="V10" s="708" t="s">
        <v>942</v>
      </c>
      <c r="W10" s="709">
        <f t="shared" si="2"/>
        <v>100</v>
      </c>
      <c r="X10" s="710"/>
      <c r="Y10" s="3357"/>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69"/>
      <c r="Q11" s="711" t="str">
        <f t="shared" si="6"/>
        <v>容积率</v>
      </c>
      <c r="R11" s="708" t="s">
        <v>942</v>
      </c>
      <c r="S11" s="709" t="e">
        <f t="shared" si="0"/>
        <v>#N/A</v>
      </c>
      <c r="T11" s="708" t="s">
        <v>942</v>
      </c>
      <c r="U11" s="709" t="e">
        <f t="shared" si="1"/>
        <v>#N/A</v>
      </c>
      <c r="V11" s="708" t="s">
        <v>942</v>
      </c>
      <c r="W11" s="709" t="e">
        <f t="shared" si="2"/>
        <v>#N/A</v>
      </c>
      <c r="X11" s="710"/>
      <c r="Y11" s="3357"/>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69"/>
      <c r="Q14" s="711">
        <f t="shared" si="6"/>
        <v>111</v>
      </c>
      <c r="R14" s="708" t="s">
        <v>942</v>
      </c>
      <c r="S14" s="709">
        <f t="shared" si="0"/>
        <v>100</v>
      </c>
      <c r="T14" s="708" t="s">
        <v>942</v>
      </c>
      <c r="U14" s="709">
        <f t="shared" si="1"/>
        <v>100</v>
      </c>
      <c r="V14" s="708" t="s">
        <v>942</v>
      </c>
      <c r="W14" s="709">
        <f t="shared" si="2"/>
        <v>100</v>
      </c>
      <c r="X14" s="710"/>
      <c r="Y14" s="3357"/>
      <c r="Z14" s="728">
        <f t="shared" si="7"/>
        <v>111</v>
      </c>
      <c r="AA14" s="727">
        <f t="shared" si="3"/>
        <v>1</v>
      </c>
      <c r="AB14" s="727">
        <f t="shared" si="4"/>
        <v>1</v>
      </c>
      <c r="AC14" s="727">
        <f t="shared" si="5"/>
        <v>1</v>
      </c>
    </row>
    <row r="15" spans="1:29" ht="57">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70" t="s">
        <v>955</v>
      </c>
      <c r="Q15" s="647" t="str">
        <f t="shared" si="6"/>
        <v>产业集聚程度</v>
      </c>
      <c r="R15" s="712" t="s">
        <v>942</v>
      </c>
      <c r="S15" s="713">
        <f t="shared" si="0"/>
        <v>100</v>
      </c>
      <c r="T15" s="712" t="s">
        <v>942</v>
      </c>
      <c r="U15" s="713">
        <f t="shared" si="1"/>
        <v>100</v>
      </c>
      <c r="V15" s="712" t="s">
        <v>942</v>
      </c>
      <c r="W15" s="713">
        <f t="shared" si="2"/>
        <v>100</v>
      </c>
      <c r="X15" s="707"/>
      <c r="Y15" s="3370"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71"/>
      <c r="Q16" s="647"/>
      <c r="R16" s="712"/>
      <c r="S16" s="713"/>
      <c r="T16" s="712"/>
      <c r="U16" s="713"/>
      <c r="V16" s="712"/>
      <c r="W16" s="713"/>
      <c r="X16" s="707"/>
      <c r="Y16" s="3371"/>
      <c r="Z16" s="706"/>
      <c r="AA16" s="718">
        <v>1</v>
      </c>
      <c r="AB16" s="718">
        <v>1</v>
      </c>
      <c r="AC16" s="718">
        <v>1</v>
      </c>
    </row>
    <row r="17" spans="1:29" ht="85.5">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71"/>
      <c r="Q17" s="647" t="str">
        <f>B17</f>
        <v>交通便捷度</v>
      </c>
      <c r="R17" s="712" t="s">
        <v>942</v>
      </c>
      <c r="S17" s="713">
        <f>F17</f>
        <v>100</v>
      </c>
      <c r="T17" s="712" t="s">
        <v>942</v>
      </c>
      <c r="U17" s="713">
        <f>H17</f>
        <v>100</v>
      </c>
      <c r="V17" s="712" t="s">
        <v>942</v>
      </c>
      <c r="W17" s="713">
        <f>J17</f>
        <v>100</v>
      </c>
      <c r="X17" s="707"/>
      <c r="Y17" s="3371"/>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71"/>
      <c r="Q18" s="647"/>
      <c r="R18" s="712"/>
      <c r="S18" s="713"/>
      <c r="T18" s="712"/>
      <c r="U18" s="713"/>
      <c r="V18" s="712"/>
      <c r="W18" s="713"/>
      <c r="X18" s="707"/>
      <c r="Y18" s="3371"/>
      <c r="Z18" s="706"/>
      <c r="AA18" s="718">
        <v>1</v>
      </c>
      <c r="AB18" s="718">
        <v>1</v>
      </c>
      <c r="AC18" s="718">
        <v>1</v>
      </c>
    </row>
    <row r="19" spans="1:29" ht="42.75">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71"/>
      <c r="Q19" s="647" t="str">
        <f>B19</f>
        <v>公共配套设施</v>
      </c>
      <c r="R19" s="712" t="s">
        <v>942</v>
      </c>
      <c r="S19" s="713">
        <f>F19</f>
        <v>100</v>
      </c>
      <c r="T19" s="712" t="s">
        <v>942</v>
      </c>
      <c r="U19" s="713">
        <f>H19</f>
        <v>100</v>
      </c>
      <c r="V19" s="712" t="s">
        <v>942</v>
      </c>
      <c r="W19" s="713">
        <f>J19</f>
        <v>100</v>
      </c>
      <c r="X19" s="707"/>
      <c r="Y19" s="3371"/>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71"/>
      <c r="Q20" s="647"/>
      <c r="R20" s="712"/>
      <c r="S20" s="713"/>
      <c r="T20" s="712"/>
      <c r="U20" s="713"/>
      <c r="V20" s="712"/>
      <c r="W20" s="713"/>
      <c r="X20" s="707"/>
      <c r="Y20" s="3371"/>
      <c r="Z20" s="706"/>
      <c r="AA20" s="718">
        <v>1</v>
      </c>
      <c r="AB20" s="718">
        <v>1</v>
      </c>
      <c r="AC20" s="718">
        <v>1</v>
      </c>
    </row>
    <row r="21" spans="1:29" ht="28.5">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71"/>
      <c r="Q21" s="647" t="str">
        <f>B21</f>
        <v>基础设施水平</v>
      </c>
      <c r="R21" s="712" t="s">
        <v>942</v>
      </c>
      <c r="S21" s="713">
        <f>F21</f>
        <v>100</v>
      </c>
      <c r="T21" s="712" t="s">
        <v>942</v>
      </c>
      <c r="U21" s="713">
        <f>H21</f>
        <v>100</v>
      </c>
      <c r="V21" s="712" t="s">
        <v>942</v>
      </c>
      <c r="W21" s="713">
        <f>J21</f>
        <v>100</v>
      </c>
      <c r="X21" s="707"/>
      <c r="Y21" s="3371"/>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71"/>
      <c r="Q22" s="647"/>
      <c r="R22" s="712"/>
      <c r="S22" s="713"/>
      <c r="T22" s="712"/>
      <c r="U22" s="713"/>
      <c r="V22" s="712"/>
      <c r="W22" s="713"/>
      <c r="X22" s="707"/>
      <c r="Y22" s="3371"/>
      <c r="Z22" s="706"/>
      <c r="AA22" s="718">
        <v>1</v>
      </c>
      <c r="AB22" s="718">
        <v>1</v>
      </c>
      <c r="AC22" s="718">
        <v>1</v>
      </c>
    </row>
    <row r="23" spans="1:29" ht="71.25">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71"/>
      <c r="Q23" s="647" t="str">
        <f>B23</f>
        <v>环境质量</v>
      </c>
      <c r="R23" s="712" t="s">
        <v>942</v>
      </c>
      <c r="S23" s="713">
        <f>F23</f>
        <v>100</v>
      </c>
      <c r="T23" s="712" t="s">
        <v>942</v>
      </c>
      <c r="U23" s="713">
        <f>H23</f>
        <v>100</v>
      </c>
      <c r="V23" s="712" t="s">
        <v>942</v>
      </c>
      <c r="W23" s="713">
        <f>J23</f>
        <v>100</v>
      </c>
      <c r="X23" s="707"/>
      <c r="Y23" s="3371"/>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71"/>
      <c r="Q24" s="647"/>
      <c r="R24" s="712"/>
      <c r="S24" s="713"/>
      <c r="T24" s="712"/>
      <c r="U24" s="713"/>
      <c r="V24" s="712"/>
      <c r="W24" s="713"/>
      <c r="X24" s="707"/>
      <c r="Y24" s="3371"/>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71"/>
      <c r="Q25" s="647">
        <f>B25</f>
        <v>111</v>
      </c>
      <c r="R25" s="712" t="s">
        <v>942</v>
      </c>
      <c r="S25" s="713">
        <f>F25</f>
        <v>100</v>
      </c>
      <c r="T25" s="712" t="s">
        <v>942</v>
      </c>
      <c r="U25" s="713">
        <f>H25</f>
        <v>100</v>
      </c>
      <c r="V25" s="712" t="s">
        <v>942</v>
      </c>
      <c r="W25" s="713">
        <f>J25</f>
        <v>100</v>
      </c>
      <c r="X25" s="707"/>
      <c r="Y25" s="3371"/>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71"/>
      <c r="Q26" s="647">
        <f t="shared" ref="Q26:Q40" si="11">B26</f>
        <v>111</v>
      </c>
      <c r="R26" s="712" t="s">
        <v>942</v>
      </c>
      <c r="S26" s="713">
        <f>F26</f>
        <v>100</v>
      </c>
      <c r="T26" s="712" t="s">
        <v>942</v>
      </c>
      <c r="U26" s="713">
        <f>H26</f>
        <v>100</v>
      </c>
      <c r="V26" s="712" t="s">
        <v>942</v>
      </c>
      <c r="W26" s="713">
        <f>J26</f>
        <v>100</v>
      </c>
      <c r="X26" s="707"/>
      <c r="Y26" s="3371"/>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71"/>
      <c r="Q27" s="711">
        <f t="shared" si="11"/>
        <v>111</v>
      </c>
      <c r="R27" s="708" t="s">
        <v>942</v>
      </c>
      <c r="S27" s="709">
        <f>F27</f>
        <v>100</v>
      </c>
      <c r="T27" s="708" t="s">
        <v>942</v>
      </c>
      <c r="U27" s="709">
        <f>H27</f>
        <v>100</v>
      </c>
      <c r="V27" s="708" t="s">
        <v>942</v>
      </c>
      <c r="W27" s="709">
        <f>J27</f>
        <v>100</v>
      </c>
      <c r="X27" s="710"/>
      <c r="Y27" s="3371"/>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71"/>
      <c r="Q28" s="647">
        <f t="shared" si="11"/>
        <v>111</v>
      </c>
      <c r="R28" s="712" t="s">
        <v>942</v>
      </c>
      <c r="S28" s="713">
        <f t="shared" ref="S28:S40" si="12">F28</f>
        <v>100</v>
      </c>
      <c r="T28" s="712" t="s">
        <v>942</v>
      </c>
      <c r="U28" s="713">
        <f t="shared" ref="U28:U40" si="13">H28</f>
        <v>100</v>
      </c>
      <c r="V28" s="712" t="s">
        <v>942</v>
      </c>
      <c r="W28" s="713">
        <f t="shared" ref="W28:W40" si="14">J28</f>
        <v>100</v>
      </c>
      <c r="X28" s="707"/>
      <c r="Y28" s="3371"/>
      <c r="Z28" s="706">
        <f t="shared" ref="Z28:Z40" si="15">Q28</f>
        <v>111</v>
      </c>
      <c r="AA28" s="718">
        <f t="shared" si="3"/>
        <v>1</v>
      </c>
      <c r="AB28" s="718">
        <f t="shared" si="4"/>
        <v>1</v>
      </c>
      <c r="AC28" s="718">
        <f t="shared" si="5"/>
        <v>1</v>
      </c>
    </row>
    <row r="29" spans="1:29" ht="15">
      <c r="A29" s="547" t="s">
        <v>961</v>
      </c>
      <c r="B29" s="548" t="s">
        <v>2166</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72" t="s">
        <v>960</v>
      </c>
      <c r="Q29" s="647" t="str">
        <f t="shared" si="11"/>
        <v>建筑类型</v>
      </c>
      <c r="R29" s="712" t="s">
        <v>942</v>
      </c>
      <c r="S29" s="713">
        <f t="shared" si="12"/>
        <v>100</v>
      </c>
      <c r="T29" s="712" t="s">
        <v>942</v>
      </c>
      <c r="U29" s="713">
        <f t="shared" si="13"/>
        <v>100</v>
      </c>
      <c r="V29" s="712" t="s">
        <v>942</v>
      </c>
      <c r="W29" s="713">
        <f t="shared" si="14"/>
        <v>100</v>
      </c>
      <c r="X29" s="707"/>
      <c r="Y29" s="3373" t="s">
        <v>960</v>
      </c>
      <c r="Z29" s="706" t="str">
        <f t="shared" si="15"/>
        <v>建筑类型</v>
      </c>
      <c r="AA29" s="718">
        <f t="shared" si="3"/>
        <v>1</v>
      </c>
      <c r="AB29" s="718">
        <f t="shared" si="4"/>
        <v>1</v>
      </c>
      <c r="AC29" s="718">
        <f t="shared" si="5"/>
        <v>1</v>
      </c>
    </row>
    <row r="30" spans="1:29" s="457" customFormat="1" ht="15">
      <c r="A30" s="552"/>
      <c r="B30" s="553" t="s">
        <v>2167</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73"/>
      <c r="Q30" s="714" t="str">
        <f t="shared" si="11"/>
        <v>项目建筑规模</v>
      </c>
      <c r="R30" s="715" t="s">
        <v>942</v>
      </c>
      <c r="S30" s="716" t="e">
        <f t="shared" si="12"/>
        <v>#N/A</v>
      </c>
      <c r="T30" s="715" t="s">
        <v>942</v>
      </c>
      <c r="U30" s="716" t="e">
        <f t="shared" si="13"/>
        <v>#N/A</v>
      </c>
      <c r="V30" s="715" t="s">
        <v>942</v>
      </c>
      <c r="W30" s="716" t="e">
        <f t="shared" si="14"/>
        <v>#N/A</v>
      </c>
      <c r="X30" s="717"/>
      <c r="Y30" s="3373"/>
      <c r="Z30" s="729" t="str">
        <f t="shared" si="15"/>
        <v>项目建筑规模</v>
      </c>
      <c r="AA30" s="718" t="e">
        <f t="shared" si="3"/>
        <v>#N/A</v>
      </c>
      <c r="AB30" s="718" t="e">
        <f t="shared" si="4"/>
        <v>#N/A</v>
      </c>
      <c r="AC30" s="718" t="e">
        <f t="shared" si="5"/>
        <v>#N/A</v>
      </c>
    </row>
    <row r="31" spans="1:29" ht="15">
      <c r="A31" s="557"/>
      <c r="B31" s="553" t="s">
        <v>2168</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73"/>
      <c r="Q31" s="647" t="str">
        <f t="shared" si="11"/>
        <v>建筑结构</v>
      </c>
      <c r="R31" s="712" t="s">
        <v>942</v>
      </c>
      <c r="S31" s="713">
        <f t="shared" si="12"/>
        <v>100</v>
      </c>
      <c r="T31" s="712" t="s">
        <v>942</v>
      </c>
      <c r="U31" s="713">
        <f t="shared" si="13"/>
        <v>100</v>
      </c>
      <c r="V31" s="712" t="s">
        <v>942</v>
      </c>
      <c r="W31" s="713">
        <f t="shared" si="14"/>
        <v>100</v>
      </c>
      <c r="X31" s="707"/>
      <c r="Y31" s="3373"/>
      <c r="Z31" s="706" t="str">
        <f t="shared" si="15"/>
        <v>建筑结构</v>
      </c>
      <c r="AA31" s="718">
        <f t="shared" si="3"/>
        <v>1</v>
      </c>
      <c r="AB31" s="718">
        <f t="shared" si="4"/>
        <v>1</v>
      </c>
      <c r="AC31" s="718">
        <f t="shared" si="5"/>
        <v>1</v>
      </c>
    </row>
    <row r="32" spans="1:29" ht="15">
      <c r="A32" s="557"/>
      <c r="B32" s="553" t="s">
        <v>2170</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73"/>
      <c r="Q32" s="647" t="str">
        <f t="shared" si="11"/>
        <v>公共部分装修</v>
      </c>
      <c r="R32" s="712" t="s">
        <v>942</v>
      </c>
      <c r="S32" s="713">
        <f t="shared" si="12"/>
        <v>100</v>
      </c>
      <c r="T32" s="712" t="s">
        <v>942</v>
      </c>
      <c r="U32" s="713">
        <f t="shared" si="13"/>
        <v>100</v>
      </c>
      <c r="V32" s="712" t="s">
        <v>942</v>
      </c>
      <c r="W32" s="713">
        <f t="shared" si="14"/>
        <v>100</v>
      </c>
      <c r="X32" s="707"/>
      <c r="Y32" s="3373"/>
      <c r="Z32" s="706" t="str">
        <f t="shared" si="15"/>
        <v>公共部分装修</v>
      </c>
      <c r="AA32" s="718">
        <f t="shared" si="3"/>
        <v>1</v>
      </c>
      <c r="AB32" s="718">
        <f t="shared" si="4"/>
        <v>1</v>
      </c>
      <c r="AC32" s="718">
        <f t="shared" si="5"/>
        <v>1</v>
      </c>
    </row>
    <row r="33" spans="1:29" ht="15">
      <c r="A33" s="557"/>
      <c r="B33" s="553" t="s">
        <v>2172</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73"/>
      <c r="Q33" s="647" t="str">
        <f t="shared" si="11"/>
        <v>成新度</v>
      </c>
      <c r="R33" s="712" t="s">
        <v>942</v>
      </c>
      <c r="S33" s="713" t="e">
        <f t="shared" si="12"/>
        <v>#N/A</v>
      </c>
      <c r="T33" s="712" t="s">
        <v>942</v>
      </c>
      <c r="U33" s="713" t="e">
        <f t="shared" si="13"/>
        <v>#N/A</v>
      </c>
      <c r="V33" s="712" t="s">
        <v>942</v>
      </c>
      <c r="W33" s="713" t="e">
        <f t="shared" si="14"/>
        <v>#N/A</v>
      </c>
      <c r="X33" s="707"/>
      <c r="Y33" s="3373"/>
      <c r="Z33" s="706" t="str">
        <f t="shared" si="15"/>
        <v>成新度</v>
      </c>
      <c r="AA33" s="718" t="e">
        <f t="shared" si="3"/>
        <v>#N/A</v>
      </c>
      <c r="AB33" s="718" t="e">
        <f t="shared" si="4"/>
        <v>#N/A</v>
      </c>
      <c r="AC33" s="718" t="e">
        <f t="shared" si="5"/>
        <v>#N/A</v>
      </c>
    </row>
    <row r="34" spans="1:29" s="455" customFormat="1" ht="15">
      <c r="A34" s="560"/>
      <c r="B34" s="553" t="s">
        <v>2173</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73"/>
      <c r="Q34" s="711" t="str">
        <f t="shared" si="11"/>
        <v>物业管理</v>
      </c>
      <c r="R34" s="708" t="s">
        <v>942</v>
      </c>
      <c r="S34" s="709">
        <f t="shared" si="12"/>
        <v>100</v>
      </c>
      <c r="T34" s="708" t="s">
        <v>942</v>
      </c>
      <c r="U34" s="709">
        <f t="shared" si="13"/>
        <v>100</v>
      </c>
      <c r="V34" s="708" t="s">
        <v>942</v>
      </c>
      <c r="W34" s="709">
        <f t="shared" si="14"/>
        <v>100</v>
      </c>
      <c r="X34" s="710"/>
      <c r="Y34" s="3373"/>
      <c r="Z34" s="728" t="str">
        <f t="shared" si="15"/>
        <v>物业管理</v>
      </c>
      <c r="AA34" s="727">
        <f t="shared" si="3"/>
        <v>1</v>
      </c>
      <c r="AB34" s="727">
        <f t="shared" si="4"/>
        <v>1</v>
      </c>
      <c r="AC34" s="727">
        <f t="shared" si="5"/>
        <v>1</v>
      </c>
    </row>
    <row r="35" spans="1:29" ht="15">
      <c r="A35" s="557"/>
      <c r="B35" s="808" t="s">
        <v>2174</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73" t="s">
        <v>960</v>
      </c>
      <c r="Q35" s="647" t="str">
        <f t="shared" si="11"/>
        <v>市政基础设施</v>
      </c>
      <c r="R35" s="712" t="s">
        <v>942</v>
      </c>
      <c r="S35" s="713">
        <f t="shared" si="12"/>
        <v>100</v>
      </c>
      <c r="T35" s="712" t="s">
        <v>942</v>
      </c>
      <c r="U35" s="713">
        <f t="shared" si="13"/>
        <v>100</v>
      </c>
      <c r="V35" s="712" t="s">
        <v>942</v>
      </c>
      <c r="W35" s="713">
        <f t="shared" si="14"/>
        <v>100</v>
      </c>
      <c r="X35" s="707"/>
      <c r="Y35" s="3373" t="s">
        <v>960</v>
      </c>
      <c r="Z35" s="706" t="str">
        <f t="shared" si="15"/>
        <v>市政基础设施</v>
      </c>
      <c r="AA35" s="718">
        <f t="shared" si="3"/>
        <v>1</v>
      </c>
      <c r="AB35" s="718">
        <f t="shared" si="4"/>
        <v>1</v>
      </c>
      <c r="AC35" s="718">
        <f t="shared" si="5"/>
        <v>1</v>
      </c>
    </row>
    <row r="36" spans="1:29" ht="15">
      <c r="A36" s="557"/>
      <c r="B36" s="553" t="s">
        <v>2178</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73"/>
      <c r="Q36" s="647" t="str">
        <f t="shared" si="11"/>
        <v>内部装修</v>
      </c>
      <c r="R36" s="712" t="s">
        <v>942</v>
      </c>
      <c r="S36" s="713">
        <f t="shared" si="12"/>
        <v>100</v>
      </c>
      <c r="T36" s="712" t="s">
        <v>942</v>
      </c>
      <c r="U36" s="713">
        <f t="shared" si="13"/>
        <v>100</v>
      </c>
      <c r="V36" s="712" t="s">
        <v>942</v>
      </c>
      <c r="W36" s="713">
        <f t="shared" si="14"/>
        <v>100</v>
      </c>
      <c r="X36" s="707"/>
      <c r="Y36" s="3373"/>
      <c r="Z36" s="706" t="str">
        <f t="shared" si="15"/>
        <v>内部装修</v>
      </c>
      <c r="AA36" s="718">
        <f t="shared" si="3"/>
        <v>1</v>
      </c>
      <c r="AB36" s="718">
        <f t="shared" si="4"/>
        <v>1</v>
      </c>
      <c r="AC36" s="718">
        <f t="shared" si="5"/>
        <v>1</v>
      </c>
    </row>
    <row r="37" spans="1:29" ht="15">
      <c r="A37" s="557"/>
      <c r="B37" s="553" t="s">
        <v>2372</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73"/>
      <c r="Q37" s="647" t="str">
        <f t="shared" si="11"/>
        <v>内部装修状况</v>
      </c>
      <c r="R37" s="712" t="s">
        <v>942</v>
      </c>
      <c r="S37" s="713">
        <f t="shared" si="12"/>
        <v>100</v>
      </c>
      <c r="T37" s="712" t="s">
        <v>942</v>
      </c>
      <c r="U37" s="713">
        <f t="shared" si="13"/>
        <v>100</v>
      </c>
      <c r="V37" s="712" t="s">
        <v>942</v>
      </c>
      <c r="W37" s="713">
        <f t="shared" si="14"/>
        <v>100</v>
      </c>
      <c r="X37" s="707"/>
      <c r="Y37" s="3373"/>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73"/>
      <c r="Q38" s="714">
        <f t="shared" si="11"/>
        <v>111</v>
      </c>
      <c r="R38" s="715" t="s">
        <v>942</v>
      </c>
      <c r="S38" s="716">
        <f t="shared" si="12"/>
        <v>100</v>
      </c>
      <c r="T38" s="715" t="s">
        <v>942</v>
      </c>
      <c r="U38" s="716">
        <f t="shared" si="13"/>
        <v>100</v>
      </c>
      <c r="V38" s="715" t="s">
        <v>942</v>
      </c>
      <c r="W38" s="716">
        <f t="shared" si="14"/>
        <v>100</v>
      </c>
      <c r="X38" s="717"/>
      <c r="Y38" s="3373"/>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73"/>
      <c r="Q39" s="647">
        <f t="shared" si="11"/>
        <v>111</v>
      </c>
      <c r="R39" s="712" t="s">
        <v>942</v>
      </c>
      <c r="S39" s="713">
        <f t="shared" si="12"/>
        <v>100</v>
      </c>
      <c r="T39" s="712" t="s">
        <v>942</v>
      </c>
      <c r="U39" s="713">
        <f t="shared" si="13"/>
        <v>100</v>
      </c>
      <c r="V39" s="712" t="s">
        <v>942</v>
      </c>
      <c r="W39" s="713">
        <f t="shared" si="14"/>
        <v>100</v>
      </c>
      <c r="X39" s="707"/>
      <c r="Y39" s="3373"/>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57"/>
      <c r="Q40" s="647">
        <f t="shared" si="11"/>
        <v>111</v>
      </c>
      <c r="R40" s="712" t="s">
        <v>942</v>
      </c>
      <c r="S40" s="713">
        <f t="shared" si="12"/>
        <v>100</v>
      </c>
      <c r="T40" s="712" t="s">
        <v>942</v>
      </c>
      <c r="U40" s="713">
        <f t="shared" si="13"/>
        <v>100</v>
      </c>
      <c r="V40" s="712" t="s">
        <v>942</v>
      </c>
      <c r="W40" s="713">
        <f t="shared" si="14"/>
        <v>100</v>
      </c>
      <c r="X40" s="707"/>
      <c r="Y40" s="3457"/>
      <c r="Z40" s="706">
        <f t="shared" si="15"/>
        <v>111</v>
      </c>
      <c r="AA40" s="718">
        <f t="shared" si="3"/>
        <v>1</v>
      </c>
      <c r="AB40" s="718">
        <f t="shared" si="4"/>
        <v>1</v>
      </c>
      <c r="AC40" s="718">
        <f t="shared" si="5"/>
        <v>1</v>
      </c>
    </row>
    <row r="41" spans="1:29" ht="15">
      <c r="A41" s="567" t="s">
        <v>2180</v>
      </c>
      <c r="B41" s="568"/>
      <c r="C41" s="569" t="s">
        <v>138</v>
      </c>
      <c r="D41" s="570"/>
      <c r="E41" s="571"/>
      <c r="F41" s="572"/>
      <c r="G41" s="573"/>
      <c r="H41" s="574"/>
      <c r="I41" s="571"/>
      <c r="J41" s="574"/>
      <c r="K41" s="661"/>
      <c r="L41" s="662"/>
      <c r="M41" s="583"/>
      <c r="N41" s="642"/>
      <c r="O41" s="583"/>
      <c r="P41" s="3369" t="str">
        <f>A41</f>
        <v>成交单价（元/平方米）</v>
      </c>
      <c r="Q41" s="3369"/>
      <c r="R41" s="3456">
        <f>E41</f>
        <v>0</v>
      </c>
      <c r="S41" s="3456"/>
      <c r="T41" s="3456">
        <f>G41</f>
        <v>0</v>
      </c>
      <c r="U41" s="3456"/>
      <c r="V41" s="3456">
        <f>I41</f>
        <v>0</v>
      </c>
      <c r="W41" s="3456"/>
      <c r="X41" s="594"/>
      <c r="Y41" s="730"/>
      <c r="Z41" s="594"/>
      <c r="AA41" s="594"/>
      <c r="AB41" s="594"/>
      <c r="AC41" s="594"/>
    </row>
    <row r="42" spans="1:29" ht="15">
      <c r="A42" s="575" t="s">
        <v>971</v>
      </c>
      <c r="B42" s="576"/>
      <c r="C42" s="577" t="e">
        <f>R43</f>
        <v>#DIV/0!</v>
      </c>
      <c r="D42" s="578"/>
      <c r="E42" s="579" t="e">
        <f>R42</f>
        <v>#DIV/0!</v>
      </c>
      <c r="F42" s="579"/>
      <c r="G42" s="577" t="e">
        <f>T42</f>
        <v>#DIV/0!</v>
      </c>
      <c r="H42" s="578"/>
      <c r="I42" s="579" t="e">
        <f>V42</f>
        <v>#DIV/0!</v>
      </c>
      <c r="J42" s="578"/>
      <c r="K42" s="663"/>
      <c r="L42" s="662"/>
      <c r="M42" s="583"/>
      <c r="N42" s="642"/>
      <c r="O42" s="583"/>
      <c r="P42" s="3369" t="str">
        <f>A42</f>
        <v>比较价格（元/平方米）</v>
      </c>
      <c r="Q42" s="3369"/>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594"/>
      <c r="Y42" s="594"/>
      <c r="Z42" s="594"/>
      <c r="AA42" s="594"/>
      <c r="AB42" s="594"/>
      <c r="AC42" s="594"/>
    </row>
    <row r="43" spans="1:29" ht="15">
      <c r="A43" s="580" t="s">
        <v>972</v>
      </c>
      <c r="B43" s="581"/>
      <c r="C43" s="582" t="e">
        <f>R43</f>
        <v>#DIV/0!</v>
      </c>
      <c r="D43" s="582"/>
      <c r="E43" s="582"/>
      <c r="F43" s="582"/>
      <c r="G43" s="582"/>
      <c r="H43" s="582"/>
      <c r="I43" s="582"/>
      <c r="J43" s="582"/>
      <c r="K43" s="664"/>
      <c r="L43" s="662"/>
      <c r="M43" s="583"/>
      <c r="N43" s="583"/>
      <c r="O43" s="583"/>
      <c r="P43" s="3375" t="str">
        <f>A43</f>
        <v>估价对象XX用房的比较价格（楼面单价，元/平方米）</v>
      </c>
      <c r="Q43" s="3376"/>
      <c r="R43" s="3458" t="e">
        <f>IF(F1="售价",ROUND(AVERAGE(R42:V42),0),ROUND(AVERAGE(R42:V42),1))</f>
        <v>#DIV/0!</v>
      </c>
      <c r="S43" s="3458"/>
      <c r="T43" s="3458"/>
      <c r="U43" s="3458"/>
      <c r="V43" s="3458"/>
      <c r="W43" s="3458"/>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5">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ht="15">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5">
      <c r="A54" s="605" t="s">
        <v>1177</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5">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ht="15">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ht="15">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7">
      <c r="A59" s="616"/>
      <c r="B59" s="619" t="s">
        <v>1003</v>
      </c>
      <c r="C59" s="620" t="s">
        <v>2181</v>
      </c>
      <c r="D59" s="620" t="s">
        <v>2182</v>
      </c>
      <c r="E59" s="620" t="s">
        <v>2183</v>
      </c>
      <c r="F59" s="620" t="s">
        <v>2184</v>
      </c>
      <c r="G59" s="620" t="s">
        <v>2185</v>
      </c>
      <c r="H59" s="620" t="s">
        <v>2186</v>
      </c>
      <c r="I59" s="620" t="s">
        <v>2187</v>
      </c>
      <c r="J59" s="620"/>
      <c r="K59" s="690"/>
      <c r="L59" s="691"/>
      <c r="M59" s="692"/>
      <c r="N59" s="686"/>
      <c r="O59" s="686"/>
      <c r="P59" s="687"/>
      <c r="Q59" s="676"/>
      <c r="R59" s="583"/>
      <c r="S59" s="583"/>
      <c r="T59" s="583"/>
      <c r="U59" s="583"/>
      <c r="V59" s="583"/>
      <c r="W59" s="583"/>
      <c r="X59" s="583"/>
      <c r="Y59" s="583"/>
      <c r="Z59" s="583"/>
      <c r="AA59" s="583"/>
      <c r="AB59" s="583"/>
      <c r="AC59" s="583"/>
    </row>
    <row r="60" spans="1:29" ht="15">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5">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ht="15">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ht="15">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ht="15">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ht="15">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ht="15">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ht="15">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ht="15">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ht="15">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ht="15">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5">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ht="15">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5">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ht="15">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5">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ht="15">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5">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ht="15">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ht="15">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ht="15">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ht="15">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ht="15">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ht="15">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ht="15">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ht="15">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ht="15">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c r="A88" s="612" t="s">
        <v>1010</v>
      </c>
      <c r="B88" s="613" t="s">
        <v>2166</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5">
      <c r="A90" s="616"/>
      <c r="B90" s="619" t="s">
        <v>2167</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c r="A93" s="738"/>
      <c r="B93" s="619" t="s">
        <v>2168</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c r="A95" s="738"/>
      <c r="B95" s="619" t="s">
        <v>2170</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ht="15">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c r="A97" s="738"/>
      <c r="B97" s="619" t="s">
        <v>2172</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ht="15">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c r="A100" s="740"/>
      <c r="B100" s="619" t="s">
        <v>2173</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ht="15">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c r="A102" s="738"/>
      <c r="B102" s="631" t="s">
        <v>2174</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ht="15">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c r="A104" s="738"/>
      <c r="B104" s="619" t="s">
        <v>2178</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ht="15">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7">
      <c r="A106" s="738"/>
      <c r="B106" s="741" t="s">
        <v>2373</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ht="15">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ht="15">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ht="15">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ht="15">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460" customWidth="1"/>
    <col min="2" max="2" width="15.75" style="460" customWidth="1"/>
    <col min="3" max="3" width="14.37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464"/>
      <c r="C1" s="465" t="s">
        <v>2155</v>
      </c>
      <c r="D1" s="466"/>
      <c r="E1" s="467"/>
      <c r="F1" s="468"/>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t="e">
        <f>C37</f>
        <v>#DIV/0!</v>
      </c>
      <c r="C3" s="476" t="s">
        <v>2159</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58" t="s">
        <v>931</v>
      </c>
      <c r="D4" s="3359"/>
      <c r="E4" s="3399" t="s">
        <v>932</v>
      </c>
      <c r="F4" s="3400"/>
      <c r="G4" s="3358" t="s">
        <v>933</v>
      </c>
      <c r="H4" s="3359"/>
      <c r="I4" s="3358" t="s">
        <v>934</v>
      </c>
      <c r="J4" s="3359"/>
      <c r="K4" s="640" t="s">
        <v>935</v>
      </c>
      <c r="L4" s="641"/>
      <c r="M4" s="642"/>
      <c r="N4" s="642"/>
      <c r="O4" s="642"/>
      <c r="P4" s="3386" t="s">
        <v>936</v>
      </c>
      <c r="Q4" s="3387"/>
      <c r="R4" s="3392" t="s">
        <v>932</v>
      </c>
      <c r="S4" s="3393"/>
      <c r="T4" s="3392" t="s">
        <v>933</v>
      </c>
      <c r="U4" s="3393"/>
      <c r="V4" s="3378" t="s">
        <v>934</v>
      </c>
      <c r="W4" s="3378"/>
      <c r="X4" s="707"/>
      <c r="Y4" s="3392" t="s">
        <v>936</v>
      </c>
      <c r="Z4" s="3393"/>
      <c r="AA4" s="3379" t="s">
        <v>932</v>
      </c>
      <c r="AB4" s="3380" t="s">
        <v>933</v>
      </c>
      <c r="AC4" s="3379" t="s">
        <v>934</v>
      </c>
    </row>
    <row r="5" spans="1:29" ht="15">
      <c r="A5" s="480"/>
      <c r="B5" s="481"/>
      <c r="C5" s="3360" t="s">
        <v>937</v>
      </c>
      <c r="D5" s="3361"/>
      <c r="E5" s="3401" t="s">
        <v>1171</v>
      </c>
      <c r="F5" s="3402"/>
      <c r="G5" s="3360" t="s">
        <v>1172</v>
      </c>
      <c r="H5" s="3361"/>
      <c r="I5" s="3360" t="s">
        <v>1173</v>
      </c>
      <c r="J5" s="3361"/>
      <c r="K5" s="640"/>
      <c r="L5" s="641"/>
      <c r="M5" s="642"/>
      <c r="N5" s="642"/>
      <c r="O5" s="642"/>
      <c r="P5" s="3388"/>
      <c r="Q5" s="3389"/>
      <c r="R5" s="3394"/>
      <c r="S5" s="3395"/>
      <c r="T5" s="3394"/>
      <c r="U5" s="3395"/>
      <c r="V5" s="3378"/>
      <c r="W5" s="3378"/>
      <c r="X5" s="707"/>
      <c r="Y5" s="3394"/>
      <c r="Z5" s="3395"/>
      <c r="AA5" s="3380"/>
      <c r="AB5" s="3380"/>
      <c r="AC5" s="3380"/>
    </row>
    <row r="6" spans="1:29" ht="15">
      <c r="A6" s="482"/>
      <c r="B6" s="483"/>
      <c r="C6" s="3364" t="s">
        <v>938</v>
      </c>
      <c r="D6" s="3365"/>
      <c r="E6" s="3403" t="s">
        <v>938</v>
      </c>
      <c r="F6" s="3404"/>
      <c r="G6" s="3364" t="s">
        <v>938</v>
      </c>
      <c r="H6" s="3365"/>
      <c r="I6" s="3364" t="s">
        <v>938</v>
      </c>
      <c r="J6" s="3365"/>
      <c r="K6" s="640" t="s">
        <v>939</v>
      </c>
      <c r="L6" s="641"/>
      <c r="M6" s="642"/>
      <c r="N6" s="642"/>
      <c r="O6" s="642"/>
      <c r="P6" s="3390"/>
      <c r="Q6" s="3391"/>
      <c r="R6" s="3394"/>
      <c r="S6" s="3395"/>
      <c r="T6" s="3396"/>
      <c r="U6" s="3397"/>
      <c r="V6" s="3378"/>
      <c r="W6" s="3378"/>
      <c r="X6" s="707"/>
      <c r="Y6" s="3396"/>
      <c r="Z6" s="3397"/>
      <c r="AA6" s="3381"/>
      <c r="AB6" s="3381"/>
      <c r="AC6" s="3381"/>
    </row>
    <row r="7" spans="1:29" s="455" customFormat="1" ht="15">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66" t="s">
        <v>941</v>
      </c>
      <c r="Q7" s="3367"/>
      <c r="R7" s="708" t="s">
        <v>942</v>
      </c>
      <c r="S7" s="709">
        <f t="shared" ref="S7:S14" si="0">F7</f>
        <v>0</v>
      </c>
      <c r="T7" s="708" t="s">
        <v>942</v>
      </c>
      <c r="U7" s="709">
        <f t="shared" ref="U7:U14" si="1">H7</f>
        <v>0</v>
      </c>
      <c r="V7" s="708" t="s">
        <v>942</v>
      </c>
      <c r="W7" s="709">
        <f t="shared" ref="W7:W14" si="2">J7</f>
        <v>0</v>
      </c>
      <c r="X7" s="710"/>
      <c r="Y7" s="3366" t="s">
        <v>941</v>
      </c>
      <c r="Z7" s="3398"/>
      <c r="AA7" s="727" t="e">
        <f>D7/F7</f>
        <v>#DIV/0!</v>
      </c>
      <c r="AB7" s="727" t="e">
        <f>D7/H7</f>
        <v>#DIV/0!</v>
      </c>
      <c r="AC7" s="727" t="e">
        <f>D7/J7</f>
        <v>#DIV/0!</v>
      </c>
    </row>
    <row r="8" spans="1:29" s="455" customFormat="1" ht="15">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66" t="s">
        <v>945</v>
      </c>
      <c r="Q8" s="3398"/>
      <c r="R8" s="708" t="s">
        <v>942</v>
      </c>
      <c r="S8" s="709">
        <f t="shared" si="0"/>
        <v>0</v>
      </c>
      <c r="T8" s="708" t="s">
        <v>942</v>
      </c>
      <c r="U8" s="709">
        <f t="shared" si="1"/>
        <v>0</v>
      </c>
      <c r="V8" s="708" t="s">
        <v>942</v>
      </c>
      <c r="W8" s="709">
        <f t="shared" si="2"/>
        <v>0</v>
      </c>
      <c r="X8" s="710"/>
      <c r="Y8" s="3366" t="s">
        <v>945</v>
      </c>
      <c r="Z8" s="3398"/>
      <c r="AA8" s="727" t="e">
        <f t="shared" ref="AA8:AA34" si="3">D8/F8</f>
        <v>#DIV/0!</v>
      </c>
      <c r="AB8" s="727" t="e">
        <f t="shared" ref="AB8:AB34" si="4">D8/H8</f>
        <v>#DIV/0!</v>
      </c>
      <c r="AC8" s="727" t="e">
        <f t="shared" ref="AC8:AC34" si="5">D8/J8</f>
        <v>#DIV/0!</v>
      </c>
    </row>
    <row r="9" spans="1:29" s="455" customFormat="1" ht="15">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69" t="s">
        <v>948</v>
      </c>
      <c r="Q9" s="711" t="str">
        <f t="shared" ref="Q9:Q14" si="6">B9</f>
        <v>用途</v>
      </c>
      <c r="R9" s="708" t="s">
        <v>942</v>
      </c>
      <c r="S9" s="709">
        <f t="shared" si="0"/>
        <v>100</v>
      </c>
      <c r="T9" s="708" t="s">
        <v>942</v>
      </c>
      <c r="U9" s="709">
        <f t="shared" si="1"/>
        <v>100</v>
      </c>
      <c r="V9" s="708" t="s">
        <v>942</v>
      </c>
      <c r="W9" s="709">
        <f t="shared" si="2"/>
        <v>100</v>
      </c>
      <c r="X9" s="710"/>
      <c r="Y9" s="3357" t="s">
        <v>949</v>
      </c>
      <c r="Z9" s="728" t="str">
        <f t="shared" ref="Z9:Z14" si="7">Q9</f>
        <v>用途</v>
      </c>
      <c r="AA9" s="727">
        <f t="shared" si="3"/>
        <v>1</v>
      </c>
      <c r="AB9" s="727">
        <f t="shared" si="4"/>
        <v>1</v>
      </c>
      <c r="AC9" s="727">
        <f t="shared" si="5"/>
        <v>1</v>
      </c>
    </row>
    <row r="10" spans="1:29" s="456" customFormat="1" ht="27">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69"/>
      <c r="Q10" s="711" t="str">
        <f t="shared" si="6"/>
        <v>土地使用年限（年）</v>
      </c>
      <c r="R10" s="708" t="s">
        <v>942</v>
      </c>
      <c r="S10" s="709">
        <f t="shared" si="0"/>
        <v>100</v>
      </c>
      <c r="T10" s="708" t="s">
        <v>942</v>
      </c>
      <c r="U10" s="709">
        <f t="shared" si="1"/>
        <v>100</v>
      </c>
      <c r="V10" s="708" t="s">
        <v>942</v>
      </c>
      <c r="W10" s="709">
        <f t="shared" si="2"/>
        <v>100</v>
      </c>
      <c r="X10" s="710"/>
      <c r="Y10" s="3357"/>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69"/>
      <c r="Q11" s="711">
        <f t="shared" si="6"/>
        <v>111</v>
      </c>
      <c r="R11" s="708" t="s">
        <v>942</v>
      </c>
      <c r="S11" s="709">
        <f t="shared" si="0"/>
        <v>100</v>
      </c>
      <c r="T11" s="708" t="s">
        <v>942</v>
      </c>
      <c r="U11" s="709">
        <f t="shared" si="1"/>
        <v>100</v>
      </c>
      <c r="V11" s="708" t="s">
        <v>942</v>
      </c>
      <c r="W11" s="709">
        <f t="shared" si="2"/>
        <v>100</v>
      </c>
      <c r="X11" s="710"/>
      <c r="Y11" s="3357"/>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85.5">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70" t="s">
        <v>955</v>
      </c>
      <c r="Q14" s="647" t="str">
        <f t="shared" si="6"/>
        <v>交通便捷度</v>
      </c>
      <c r="R14" s="712" t="s">
        <v>942</v>
      </c>
      <c r="S14" s="713">
        <f t="shared" si="0"/>
        <v>100</v>
      </c>
      <c r="T14" s="712" t="s">
        <v>942</v>
      </c>
      <c r="U14" s="713">
        <f t="shared" si="1"/>
        <v>100</v>
      </c>
      <c r="V14" s="712" t="s">
        <v>942</v>
      </c>
      <c r="W14" s="713">
        <f t="shared" si="2"/>
        <v>100</v>
      </c>
      <c r="X14" s="707"/>
      <c r="Y14" s="3370"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71"/>
      <c r="Q15" s="647"/>
      <c r="R15" s="712"/>
      <c r="S15" s="713"/>
      <c r="T15" s="712"/>
      <c r="U15" s="713"/>
      <c r="V15" s="712"/>
      <c r="W15" s="713"/>
      <c r="X15" s="707"/>
      <c r="Y15" s="3371"/>
      <c r="Z15" s="706"/>
      <c r="AA15" s="718">
        <v>1</v>
      </c>
      <c r="AB15" s="718">
        <v>1</v>
      </c>
      <c r="AC15" s="718">
        <v>1</v>
      </c>
    </row>
    <row r="16" spans="1:29" ht="42.75">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71"/>
      <c r="Q16" s="647" t="str">
        <f>B16</f>
        <v>公共配套设施</v>
      </c>
      <c r="R16" s="712" t="s">
        <v>942</v>
      </c>
      <c r="S16" s="713">
        <f>F16</f>
        <v>100</v>
      </c>
      <c r="T16" s="712" t="s">
        <v>942</v>
      </c>
      <c r="U16" s="713">
        <f>H16</f>
        <v>100</v>
      </c>
      <c r="V16" s="712" t="s">
        <v>942</v>
      </c>
      <c r="W16" s="713">
        <f>J16</f>
        <v>100</v>
      </c>
      <c r="X16" s="707"/>
      <c r="Y16" s="3371"/>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71"/>
      <c r="Q17" s="647"/>
      <c r="R17" s="712"/>
      <c r="S17" s="713"/>
      <c r="T17" s="712"/>
      <c r="U17" s="713"/>
      <c r="V17" s="712"/>
      <c r="W17" s="713"/>
      <c r="X17" s="707"/>
      <c r="Y17" s="3371"/>
      <c r="Z17" s="706"/>
      <c r="AA17" s="718">
        <v>1</v>
      </c>
      <c r="AB17" s="718">
        <v>1</v>
      </c>
      <c r="AC17" s="718">
        <v>1</v>
      </c>
    </row>
    <row r="18" spans="1:29" ht="28.5">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71"/>
      <c r="Q18" s="647" t="str">
        <f>B18</f>
        <v>基础设施水平</v>
      </c>
      <c r="R18" s="712" t="s">
        <v>942</v>
      </c>
      <c r="S18" s="713">
        <f>F18</f>
        <v>100</v>
      </c>
      <c r="T18" s="712" t="s">
        <v>942</v>
      </c>
      <c r="U18" s="713">
        <f>H18</f>
        <v>100</v>
      </c>
      <c r="V18" s="712" t="s">
        <v>942</v>
      </c>
      <c r="W18" s="713">
        <f>J18</f>
        <v>100</v>
      </c>
      <c r="X18" s="707"/>
      <c r="Y18" s="3371"/>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71"/>
      <c r="Q19" s="647"/>
      <c r="R19" s="712"/>
      <c r="S19" s="713"/>
      <c r="T19" s="712"/>
      <c r="U19" s="713"/>
      <c r="V19" s="712"/>
      <c r="W19" s="713"/>
      <c r="X19" s="707"/>
      <c r="Y19" s="3371"/>
      <c r="Z19" s="706"/>
      <c r="AA19" s="718">
        <v>1</v>
      </c>
      <c r="AB19" s="718">
        <v>1</v>
      </c>
      <c r="AC19" s="718">
        <v>1</v>
      </c>
    </row>
    <row r="20" spans="1:29" ht="57">
      <c r="A20" s="519"/>
      <c r="B20" s="538" t="s">
        <v>2162</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71"/>
      <c r="Q20" s="647" t="str">
        <f>B20</f>
        <v>自然及人文环境</v>
      </c>
      <c r="R20" s="712" t="s">
        <v>942</v>
      </c>
      <c r="S20" s="713">
        <f>F20</f>
        <v>100</v>
      </c>
      <c r="T20" s="712" t="s">
        <v>942</v>
      </c>
      <c r="U20" s="713">
        <f>H20</f>
        <v>100</v>
      </c>
      <c r="V20" s="712" t="s">
        <v>942</v>
      </c>
      <c r="W20" s="713">
        <f>J20</f>
        <v>100</v>
      </c>
      <c r="X20" s="707"/>
      <c r="Y20" s="3371"/>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71"/>
      <c r="Q21" s="647"/>
      <c r="R21" s="712"/>
      <c r="S21" s="713"/>
      <c r="T21" s="712"/>
      <c r="U21" s="713"/>
      <c r="V21" s="712"/>
      <c r="W21" s="713"/>
      <c r="X21" s="707"/>
      <c r="Y21" s="3371"/>
      <c r="Z21" s="706"/>
      <c r="AA21" s="718">
        <v>1</v>
      </c>
      <c r="AB21" s="718">
        <v>1</v>
      </c>
      <c r="AC21" s="718">
        <v>1</v>
      </c>
    </row>
    <row r="22" spans="1:29" ht="15">
      <c r="A22" s="519"/>
      <c r="B22" s="538" t="s">
        <v>2226</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71"/>
      <c r="Q22" s="647" t="str">
        <f>B22</f>
        <v>楼层</v>
      </c>
      <c r="R22" s="712" t="s">
        <v>942</v>
      </c>
      <c r="S22" s="713">
        <f>F22</f>
        <v>100</v>
      </c>
      <c r="T22" s="712" t="s">
        <v>942</v>
      </c>
      <c r="U22" s="713">
        <f>H22</f>
        <v>100</v>
      </c>
      <c r="V22" s="712" t="s">
        <v>942</v>
      </c>
      <c r="W22" s="713">
        <f>J22</f>
        <v>100</v>
      </c>
      <c r="X22" s="707"/>
      <c r="Y22" s="3371"/>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71"/>
      <c r="Q23" s="647">
        <f>B23</f>
        <v>111</v>
      </c>
      <c r="R23" s="712" t="s">
        <v>942</v>
      </c>
      <c r="S23" s="713">
        <f>F23</f>
        <v>100</v>
      </c>
      <c r="T23" s="712" t="s">
        <v>942</v>
      </c>
      <c r="U23" s="713">
        <f>H23</f>
        <v>100</v>
      </c>
      <c r="V23" s="712" t="s">
        <v>942</v>
      </c>
      <c r="W23" s="713">
        <f>J23</f>
        <v>100</v>
      </c>
      <c r="X23" s="707"/>
      <c r="Y23" s="3371"/>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71"/>
      <c r="Q24" s="647">
        <f t="shared" ref="Q24:Q34" si="11">B24</f>
        <v>111</v>
      </c>
      <c r="R24" s="712" t="s">
        <v>942</v>
      </c>
      <c r="S24" s="713">
        <f>F24</f>
        <v>100</v>
      </c>
      <c r="T24" s="712" t="s">
        <v>942</v>
      </c>
      <c r="U24" s="713">
        <f>H24</f>
        <v>100</v>
      </c>
      <c r="V24" s="712" t="s">
        <v>942</v>
      </c>
      <c r="W24" s="713">
        <f>J24</f>
        <v>100</v>
      </c>
      <c r="X24" s="707"/>
      <c r="Y24" s="3371"/>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71"/>
      <c r="Q25" s="711">
        <f t="shared" si="11"/>
        <v>111</v>
      </c>
      <c r="R25" s="708" t="s">
        <v>942</v>
      </c>
      <c r="S25" s="709">
        <f>F25</f>
        <v>100</v>
      </c>
      <c r="T25" s="708" t="s">
        <v>942</v>
      </c>
      <c r="U25" s="709">
        <f>H25</f>
        <v>100</v>
      </c>
      <c r="V25" s="708" t="s">
        <v>942</v>
      </c>
      <c r="W25" s="709">
        <f>J25</f>
        <v>100</v>
      </c>
      <c r="X25" s="710"/>
      <c r="Y25" s="3371"/>
      <c r="Z25" s="728">
        <f>Q25</f>
        <v>111</v>
      </c>
      <c r="AA25" s="718">
        <f t="shared" si="3"/>
        <v>1</v>
      </c>
      <c r="AB25" s="718">
        <f t="shared" si="4"/>
        <v>1</v>
      </c>
      <c r="AC25" s="718">
        <f t="shared" si="5"/>
        <v>1</v>
      </c>
    </row>
    <row r="26" spans="1:29" ht="15">
      <c r="A26" s="547" t="s">
        <v>961</v>
      </c>
      <c r="B26" s="548" t="s">
        <v>2170</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72"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73" t="s">
        <v>960</v>
      </c>
      <c r="Z26" s="706" t="str">
        <f t="shared" ref="Z26:Z34" si="15">Q26</f>
        <v>公共部分装修</v>
      </c>
      <c r="AA26" s="718">
        <f t="shared" si="3"/>
        <v>1</v>
      </c>
      <c r="AB26" s="718">
        <f t="shared" si="4"/>
        <v>1</v>
      </c>
      <c r="AC26" s="718">
        <f t="shared" si="5"/>
        <v>1</v>
      </c>
    </row>
    <row r="27" spans="1:29" s="457" customFormat="1" ht="15">
      <c r="A27" s="552"/>
      <c r="B27" s="553" t="s">
        <v>2377</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73"/>
      <c r="Q27" s="714" t="str">
        <f t="shared" si="11"/>
        <v>成新率</v>
      </c>
      <c r="R27" s="715" t="s">
        <v>942</v>
      </c>
      <c r="S27" s="716" t="e">
        <f t="shared" si="12"/>
        <v>#N/A</v>
      </c>
      <c r="T27" s="715" t="s">
        <v>942</v>
      </c>
      <c r="U27" s="716" t="e">
        <f t="shared" si="13"/>
        <v>#N/A</v>
      </c>
      <c r="V27" s="715" t="s">
        <v>942</v>
      </c>
      <c r="W27" s="716" t="e">
        <f t="shared" si="14"/>
        <v>#N/A</v>
      </c>
      <c r="X27" s="717"/>
      <c r="Y27" s="3373"/>
      <c r="Z27" s="729" t="str">
        <f t="shared" si="15"/>
        <v>成新率</v>
      </c>
      <c r="AA27" s="718" t="e">
        <f t="shared" si="3"/>
        <v>#N/A</v>
      </c>
      <c r="AB27" s="718" t="e">
        <f t="shared" si="4"/>
        <v>#N/A</v>
      </c>
      <c r="AC27" s="718" t="e">
        <f t="shared" si="5"/>
        <v>#N/A</v>
      </c>
    </row>
    <row r="28" spans="1:29" ht="15">
      <c r="A28" s="557"/>
      <c r="B28" s="553" t="s">
        <v>2378</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73"/>
      <c r="Q28" s="647" t="str">
        <f t="shared" si="11"/>
        <v>物业等级</v>
      </c>
      <c r="R28" s="712" t="s">
        <v>942</v>
      </c>
      <c r="S28" s="713">
        <f t="shared" si="12"/>
        <v>100</v>
      </c>
      <c r="T28" s="712" t="s">
        <v>942</v>
      </c>
      <c r="U28" s="713">
        <f t="shared" si="13"/>
        <v>100</v>
      </c>
      <c r="V28" s="712" t="s">
        <v>942</v>
      </c>
      <c r="W28" s="713">
        <f t="shared" si="14"/>
        <v>100</v>
      </c>
      <c r="X28" s="707"/>
      <c r="Y28" s="3373"/>
      <c r="Z28" s="706" t="str">
        <f t="shared" si="15"/>
        <v>物业等级</v>
      </c>
      <c r="AA28" s="718">
        <f t="shared" si="3"/>
        <v>1</v>
      </c>
      <c r="AB28" s="718">
        <f t="shared" si="4"/>
        <v>1</v>
      </c>
      <c r="AC28" s="718">
        <f t="shared" si="5"/>
        <v>1</v>
      </c>
    </row>
    <row r="29" spans="1:29" ht="15">
      <c r="A29" s="557"/>
      <c r="B29" s="553" t="s">
        <v>2384</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73"/>
      <c r="Q29" s="647" t="str">
        <f t="shared" si="11"/>
        <v>有无电梯</v>
      </c>
      <c r="R29" s="712" t="s">
        <v>942</v>
      </c>
      <c r="S29" s="713">
        <f t="shared" si="12"/>
        <v>100</v>
      </c>
      <c r="T29" s="712" t="s">
        <v>942</v>
      </c>
      <c r="U29" s="713">
        <f t="shared" si="13"/>
        <v>100</v>
      </c>
      <c r="V29" s="712" t="s">
        <v>942</v>
      </c>
      <c r="W29" s="713">
        <f t="shared" si="14"/>
        <v>100</v>
      </c>
      <c r="X29" s="707"/>
      <c r="Y29" s="3373"/>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73"/>
      <c r="Q30" s="647" t="str">
        <f t="shared" si="11"/>
        <v>建筑面积</v>
      </c>
      <c r="R30" s="712" t="s">
        <v>942</v>
      </c>
      <c r="S30" s="713" t="e">
        <f t="shared" si="12"/>
        <v>#N/A</v>
      </c>
      <c r="T30" s="712" t="s">
        <v>942</v>
      </c>
      <c r="U30" s="713" t="e">
        <f t="shared" si="13"/>
        <v>#N/A</v>
      </c>
      <c r="V30" s="712" t="s">
        <v>942</v>
      </c>
      <c r="W30" s="713" t="e">
        <f t="shared" si="14"/>
        <v>#N/A</v>
      </c>
      <c r="X30" s="707"/>
      <c r="Y30" s="3373"/>
      <c r="Z30" s="706" t="str">
        <f t="shared" si="15"/>
        <v>建筑面积</v>
      </c>
      <c r="AA30" s="718" t="e">
        <f t="shared" si="3"/>
        <v>#N/A</v>
      </c>
      <c r="AB30" s="718" t="e">
        <f t="shared" si="4"/>
        <v>#N/A</v>
      </c>
      <c r="AC30" s="718" t="e">
        <f t="shared" si="5"/>
        <v>#N/A</v>
      </c>
    </row>
    <row r="31" spans="1:29" s="455" customFormat="1" ht="15">
      <c r="A31" s="560"/>
      <c r="B31" s="553" t="s">
        <v>2385</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73"/>
      <c r="Q31" s="711" t="str">
        <f t="shared" si="11"/>
        <v>是否封闭</v>
      </c>
      <c r="R31" s="708" t="s">
        <v>942</v>
      </c>
      <c r="S31" s="709">
        <f t="shared" si="12"/>
        <v>100</v>
      </c>
      <c r="T31" s="708" t="s">
        <v>942</v>
      </c>
      <c r="U31" s="709">
        <f t="shared" si="13"/>
        <v>100</v>
      </c>
      <c r="V31" s="708" t="s">
        <v>942</v>
      </c>
      <c r="W31" s="709">
        <f t="shared" si="14"/>
        <v>100</v>
      </c>
      <c r="X31" s="710"/>
      <c r="Y31" s="3373"/>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73" t="s">
        <v>960</v>
      </c>
      <c r="Q32" s="647">
        <f t="shared" si="11"/>
        <v>111</v>
      </c>
      <c r="R32" s="712" t="s">
        <v>942</v>
      </c>
      <c r="S32" s="713">
        <f t="shared" si="12"/>
        <v>100</v>
      </c>
      <c r="T32" s="712" t="s">
        <v>942</v>
      </c>
      <c r="U32" s="713">
        <f t="shared" si="13"/>
        <v>100</v>
      </c>
      <c r="V32" s="712" t="s">
        <v>942</v>
      </c>
      <c r="W32" s="713">
        <f t="shared" si="14"/>
        <v>100</v>
      </c>
      <c r="X32" s="707"/>
      <c r="Y32" s="3373"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73"/>
      <c r="Q33" s="647">
        <f t="shared" si="11"/>
        <v>111</v>
      </c>
      <c r="R33" s="712" t="s">
        <v>942</v>
      </c>
      <c r="S33" s="713">
        <f t="shared" si="12"/>
        <v>100</v>
      </c>
      <c r="T33" s="712" t="s">
        <v>942</v>
      </c>
      <c r="U33" s="713">
        <f t="shared" si="13"/>
        <v>100</v>
      </c>
      <c r="V33" s="712" t="s">
        <v>942</v>
      </c>
      <c r="W33" s="713">
        <f t="shared" si="14"/>
        <v>100</v>
      </c>
      <c r="X33" s="707"/>
      <c r="Y33" s="3373"/>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73"/>
      <c r="Q34" s="647">
        <f t="shared" si="11"/>
        <v>111</v>
      </c>
      <c r="R34" s="712" t="s">
        <v>942</v>
      </c>
      <c r="S34" s="713">
        <f t="shared" si="12"/>
        <v>100</v>
      </c>
      <c r="T34" s="712" t="s">
        <v>942</v>
      </c>
      <c r="U34" s="713">
        <f t="shared" si="13"/>
        <v>100</v>
      </c>
      <c r="V34" s="712" t="s">
        <v>942</v>
      </c>
      <c r="W34" s="713">
        <f t="shared" si="14"/>
        <v>100</v>
      </c>
      <c r="X34" s="707"/>
      <c r="Y34" s="3373"/>
      <c r="Z34" s="706">
        <f t="shared" si="15"/>
        <v>111</v>
      </c>
      <c r="AA34" s="718">
        <f t="shared" si="3"/>
        <v>1</v>
      </c>
      <c r="AB34" s="718">
        <f t="shared" si="4"/>
        <v>1</v>
      </c>
      <c r="AC34" s="718">
        <f t="shared" si="5"/>
        <v>1</v>
      </c>
    </row>
    <row r="35" spans="1:29" ht="15">
      <c r="A35" s="567" t="s">
        <v>2180</v>
      </c>
      <c r="B35" s="568"/>
      <c r="C35" s="569" t="s">
        <v>138</v>
      </c>
      <c r="D35" s="570"/>
      <c r="E35" s="571"/>
      <c r="F35" s="572"/>
      <c r="G35" s="573"/>
      <c r="H35" s="574"/>
      <c r="I35" s="571"/>
      <c r="J35" s="574"/>
      <c r="K35" s="661"/>
      <c r="L35" s="662"/>
      <c r="M35" s="583"/>
      <c r="N35" s="642"/>
      <c r="O35" s="583"/>
      <c r="P35" s="3369" t="str">
        <f>A35</f>
        <v>成交单价（元/平方米）</v>
      </c>
      <c r="Q35" s="3369"/>
      <c r="R35" s="3456">
        <f>E35</f>
        <v>0</v>
      </c>
      <c r="S35" s="3456"/>
      <c r="T35" s="3456">
        <f>G35</f>
        <v>0</v>
      </c>
      <c r="U35" s="3456"/>
      <c r="V35" s="3456">
        <f>I35</f>
        <v>0</v>
      </c>
      <c r="W35" s="3456"/>
      <c r="X35" s="594"/>
      <c r="Y35" s="730"/>
      <c r="Z35" s="594"/>
      <c r="AA35" s="594"/>
      <c r="AB35" s="594"/>
      <c r="AC35" s="594"/>
    </row>
    <row r="36" spans="1:29" ht="15">
      <c r="A36" s="575" t="s">
        <v>971</v>
      </c>
      <c r="B36" s="576"/>
      <c r="C36" s="577" t="e">
        <f>R37</f>
        <v>#DIV/0!</v>
      </c>
      <c r="D36" s="578"/>
      <c r="E36" s="579" t="e">
        <f>R36</f>
        <v>#DIV/0!</v>
      </c>
      <c r="F36" s="579"/>
      <c r="G36" s="577" t="e">
        <f>T36</f>
        <v>#DIV/0!</v>
      </c>
      <c r="H36" s="578"/>
      <c r="I36" s="579" t="e">
        <f>V36</f>
        <v>#DIV/0!</v>
      </c>
      <c r="J36" s="578"/>
      <c r="K36" s="663"/>
      <c r="L36" s="662"/>
      <c r="M36" s="583"/>
      <c r="N36" s="642"/>
      <c r="O36" s="583"/>
      <c r="P36" s="3369" t="str">
        <f>A36</f>
        <v>比较价格（元/平方米）</v>
      </c>
      <c r="Q36" s="3369"/>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594"/>
      <c r="Y36" s="594"/>
      <c r="Z36" s="594"/>
      <c r="AA36" s="594"/>
      <c r="AB36" s="594"/>
      <c r="AC36" s="594"/>
    </row>
    <row r="37" spans="1:29" ht="15">
      <c r="A37" s="580" t="s">
        <v>972</v>
      </c>
      <c r="B37" s="581"/>
      <c r="C37" s="582" t="e">
        <f>R37</f>
        <v>#DIV/0!</v>
      </c>
      <c r="D37" s="582"/>
      <c r="E37" s="582"/>
      <c r="F37" s="582"/>
      <c r="G37" s="582"/>
      <c r="H37" s="582"/>
      <c r="I37" s="582"/>
      <c r="J37" s="582"/>
      <c r="K37" s="664"/>
      <c r="L37" s="662"/>
      <c r="M37" s="583"/>
      <c r="N37" s="583"/>
      <c r="O37" s="583"/>
      <c r="P37" s="3375" t="str">
        <f>A37</f>
        <v>估价对象XX用房的比较价格（楼面单价，元/平方米）</v>
      </c>
      <c r="Q37" s="3376"/>
      <c r="R37" s="3458" t="e">
        <f>IF(F1="售价",ROUND(AVERAGE(R36:V36),0),ROUND(AVERAGE(R36:V36),1))</f>
        <v>#DIV/0!</v>
      </c>
      <c r="S37" s="3458"/>
      <c r="T37" s="3458"/>
      <c r="U37" s="3458"/>
      <c r="V37" s="3458"/>
      <c r="W37" s="3458"/>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5">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ht="15">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5">
      <c r="A48" s="605" t="s">
        <v>1177</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5">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ht="15">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ht="15">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7">
      <c r="A53" s="616"/>
      <c r="B53" s="619" t="s">
        <v>1003</v>
      </c>
      <c r="C53" s="620" t="s">
        <v>2181</v>
      </c>
      <c r="D53" s="620" t="s">
        <v>2182</v>
      </c>
      <c r="E53" s="620" t="s">
        <v>2183</v>
      </c>
      <c r="F53" s="620" t="s">
        <v>2184</v>
      </c>
      <c r="G53" s="620" t="s">
        <v>2185</v>
      </c>
      <c r="H53" s="620" t="s">
        <v>2186</v>
      </c>
      <c r="I53" s="620" t="s">
        <v>2187</v>
      </c>
      <c r="J53" s="620"/>
      <c r="K53" s="690"/>
      <c r="L53" s="691"/>
      <c r="M53" s="692"/>
      <c r="N53" s="686"/>
      <c r="O53" s="686"/>
      <c r="P53" s="687"/>
      <c r="Q53" s="676"/>
      <c r="R53" s="583"/>
      <c r="S53" s="583"/>
      <c r="T53" s="583"/>
      <c r="U53" s="583"/>
      <c r="V53" s="583"/>
      <c r="W53" s="583"/>
      <c r="X53" s="583"/>
      <c r="Y53" s="583"/>
      <c r="Z53" s="583"/>
      <c r="AA53" s="583"/>
      <c r="AB53" s="583"/>
      <c r="AC53" s="583"/>
    </row>
    <row r="54" spans="1:29" ht="15">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ht="15">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ht="15">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ht="15">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ht="15">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ht="15">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ht="15">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ht="15">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5">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ht="15">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ht="15">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5">
      <c r="A67" s="616"/>
      <c r="B67" s="619" t="s">
        <v>2162</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ht="15">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5">
      <c r="A69" s="616"/>
      <c r="B69" s="619" t="s">
        <v>2226</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ht="15">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ht="15">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ht="15">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ht="15">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ht="15">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c r="A77" s="612" t="s">
        <v>1010</v>
      </c>
      <c r="B77" s="613" t="s">
        <v>2170</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ht="15">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5">
      <c r="A79" s="616"/>
      <c r="B79" s="619" t="s">
        <v>2377</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ht="15">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ht="15">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c r="A82" s="738"/>
      <c r="B82" s="733" t="s">
        <v>2378</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ht="15">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c r="A84" s="738"/>
      <c r="B84" s="619" t="s">
        <v>2384</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ht="15">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ht="15">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c r="A89" s="740"/>
      <c r="B89" s="619" t="s">
        <v>2385</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ht="15">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ht="15">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ht="15">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ht="15">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34" priority="9" stopIfTrue="1">
      <formula>$F$40="超过30%"</formula>
    </cfRule>
  </conditionalFormatting>
  <conditionalFormatting sqref="G40">
    <cfRule type="expression" dxfId="33" priority="5" stopIfTrue="1">
      <formula>$H$52+$H$40="超过30%"</formula>
    </cfRule>
  </conditionalFormatting>
  <conditionalFormatting sqref="I40">
    <cfRule type="expression" dxfId="32" priority="3" stopIfTrue="1">
      <formula>$J$40="超过30%"</formula>
    </cfRule>
  </conditionalFormatting>
  <conditionalFormatting sqref="E41">
    <cfRule type="expression" dxfId="31" priority="7" stopIfTrue="1">
      <formula>$F$41="超过20%"</formula>
    </cfRule>
  </conditionalFormatting>
  <conditionalFormatting sqref="G41">
    <cfRule type="expression" dxfId="30" priority="4" stopIfTrue="1">
      <formula>$H$53+$H$41="超过20%"</formula>
    </cfRule>
  </conditionalFormatting>
  <conditionalFormatting sqref="I41">
    <cfRule type="expression" dxfId="29" priority="2" stopIfTrue="1">
      <formula>$J$41="超过20%"</formula>
    </cfRule>
  </conditionalFormatting>
  <conditionalFormatting sqref="E42">
    <cfRule type="expression" dxfId="28" priority="6" stopIfTrue="1">
      <formula>$F$42="超过30%"</formula>
    </cfRule>
  </conditionalFormatting>
  <conditionalFormatting sqref="F42">
    <cfRule type="containsText" dxfId="27" priority="11" stopIfTrue="1" operator="containsText" text="超过">
      <formula>NOT(ISERROR(SEARCH("超过",F42)))</formula>
    </cfRule>
  </conditionalFormatting>
  <conditionalFormatting sqref="G42">
    <cfRule type="expression" dxfId="26" priority="8" stopIfTrue="1">
      <formula>$H$54+$H$42="超过30%"</formula>
    </cfRule>
  </conditionalFormatting>
  <conditionalFormatting sqref="H42">
    <cfRule type="containsText" dxfId="25" priority="12" stopIfTrue="1" operator="containsText" text="超过">
      <formula>NOT(ISERROR(SEARCH("超过",H42)))</formula>
    </cfRule>
  </conditionalFormatting>
  <conditionalFormatting sqref="I42">
    <cfRule type="expression" dxfId="24" priority="1" stopIfTrue="1">
      <formula>$J$42="超过30%"</formula>
    </cfRule>
  </conditionalFormatting>
  <conditionalFormatting sqref="J42">
    <cfRule type="containsText" dxfId="23" priority="13" stopIfTrue="1" operator="containsText" text="超过">
      <formula>NOT(ISERROR(SEARCH("超过",J42)))</formula>
    </cfRule>
  </conditionalFormatting>
  <conditionalFormatting sqref="F40 H40 J40">
    <cfRule type="containsText" dxfId="22" priority="14" stopIfTrue="1" operator="containsText" text="超过">
      <formula>NOT(ISERROR(SEARCH("超过",F40)))</formula>
    </cfRule>
  </conditionalFormatting>
  <conditionalFormatting sqref="F41 H41 J41">
    <cfRule type="containsText" dxfId="21" priority="10" stopIfTrue="1" operator="containsText" text="超过">
      <formula>NOT(ISERROR(SEARCH("超过",F41)))</formula>
    </cfRule>
  </conditionalFormatting>
  <dataValidations count="15">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88" customWidth="1"/>
    <col min="2" max="2" width="13.25" style="389" customWidth="1"/>
    <col min="3" max="3" width="15.625" style="389" customWidth="1"/>
    <col min="4" max="4" width="9.375" style="389" customWidth="1"/>
    <col min="5" max="5" width="13.5" style="389" customWidth="1"/>
    <col min="6" max="6" width="9" style="389"/>
    <col min="7" max="7" width="9.375" style="389" customWidth="1"/>
    <col min="8" max="9" width="9" style="389"/>
    <col min="10" max="10" width="9.375" style="389" customWidth="1"/>
    <col min="11" max="11" width="4" style="388" customWidth="1"/>
    <col min="12" max="12" width="5.125" style="389" customWidth="1"/>
    <col min="13" max="13" width="13.75" style="389" customWidth="1"/>
    <col min="14" max="256" width="9" style="389"/>
    <col min="257" max="257" width="4.875" style="390" customWidth="1"/>
    <col min="258" max="258" width="13.25" style="390" customWidth="1"/>
    <col min="259" max="259" width="15.625" style="390" customWidth="1"/>
    <col min="260" max="260" width="9.375" style="390" customWidth="1"/>
    <col min="261" max="261" width="13.5" style="390" customWidth="1"/>
    <col min="262" max="262" width="9" style="390"/>
    <col min="263" max="263" width="9.375" style="390" customWidth="1"/>
    <col min="264" max="265" width="9" style="390"/>
    <col min="266" max="266" width="9.375" style="390" customWidth="1"/>
    <col min="267" max="267" width="4" style="390" customWidth="1"/>
    <col min="268" max="268" width="5.125" style="390" customWidth="1"/>
    <col min="269" max="269" width="13.75" style="390" customWidth="1"/>
    <col min="270" max="512" width="9" style="390"/>
    <col min="513" max="513" width="4.875" style="390" customWidth="1"/>
    <col min="514" max="514" width="13.25" style="390" customWidth="1"/>
    <col min="515" max="515" width="15.625" style="390" customWidth="1"/>
    <col min="516" max="516" width="9.375" style="390" customWidth="1"/>
    <col min="517" max="517" width="13.5" style="390" customWidth="1"/>
    <col min="518" max="518" width="9" style="390"/>
    <col min="519" max="519" width="9.375" style="390" customWidth="1"/>
    <col min="520" max="521" width="9" style="390"/>
    <col min="522" max="522" width="9.375" style="390" customWidth="1"/>
    <col min="523" max="523" width="4" style="390" customWidth="1"/>
    <col min="524" max="524" width="5.125" style="390" customWidth="1"/>
    <col min="525" max="525" width="13.75" style="390" customWidth="1"/>
    <col min="526" max="768" width="9" style="390"/>
    <col min="769" max="769" width="4.875" style="390" customWidth="1"/>
    <col min="770" max="770" width="13.25" style="390" customWidth="1"/>
    <col min="771" max="771" width="15.625" style="390" customWidth="1"/>
    <col min="772" max="772" width="9.375" style="390" customWidth="1"/>
    <col min="773" max="773" width="13.5" style="390" customWidth="1"/>
    <col min="774" max="774" width="9" style="390"/>
    <col min="775" max="775" width="9.375" style="390" customWidth="1"/>
    <col min="776" max="777" width="9" style="390"/>
    <col min="778" max="778" width="9.375" style="390" customWidth="1"/>
    <col min="779" max="779" width="4" style="390" customWidth="1"/>
    <col min="780" max="780" width="5.125" style="390" customWidth="1"/>
    <col min="781" max="781" width="13.75" style="390" customWidth="1"/>
    <col min="782" max="1024" width="9" style="390"/>
    <col min="1025" max="1025" width="4.875" style="390" customWidth="1"/>
    <col min="1026" max="1026" width="13.25" style="390" customWidth="1"/>
    <col min="1027" max="1027" width="15.625" style="390" customWidth="1"/>
    <col min="1028" max="1028" width="9.375" style="390" customWidth="1"/>
    <col min="1029" max="1029" width="13.5" style="390" customWidth="1"/>
    <col min="1030" max="1030" width="9" style="390"/>
    <col min="1031" max="1031" width="9.375" style="390" customWidth="1"/>
    <col min="1032" max="1033" width="9" style="390"/>
    <col min="1034" max="1034" width="9.375" style="390" customWidth="1"/>
    <col min="1035" max="1035" width="4" style="390" customWidth="1"/>
    <col min="1036" max="1036" width="5.125" style="390" customWidth="1"/>
    <col min="1037" max="1037" width="13.75" style="390" customWidth="1"/>
    <col min="1038" max="1280" width="9" style="390"/>
    <col min="1281" max="1281" width="4.875" style="390" customWidth="1"/>
    <col min="1282" max="1282" width="13.25" style="390" customWidth="1"/>
    <col min="1283" max="1283" width="15.625" style="390" customWidth="1"/>
    <col min="1284" max="1284" width="9.375" style="390" customWidth="1"/>
    <col min="1285" max="1285" width="13.5" style="390" customWidth="1"/>
    <col min="1286" max="1286" width="9" style="390"/>
    <col min="1287" max="1287" width="9.375" style="390" customWidth="1"/>
    <col min="1288" max="1289" width="9" style="390"/>
    <col min="1290" max="1290" width="9.375" style="390" customWidth="1"/>
    <col min="1291" max="1291" width="4" style="390" customWidth="1"/>
    <col min="1292" max="1292" width="5.125" style="390" customWidth="1"/>
    <col min="1293" max="1293" width="13.75" style="390" customWidth="1"/>
    <col min="1294" max="1536" width="9" style="390"/>
    <col min="1537" max="1537" width="4.875" style="390" customWidth="1"/>
    <col min="1538" max="1538" width="13.25" style="390" customWidth="1"/>
    <col min="1539" max="1539" width="15.625" style="390" customWidth="1"/>
    <col min="1540" max="1540" width="9.375" style="390" customWidth="1"/>
    <col min="1541" max="1541" width="13.5" style="390" customWidth="1"/>
    <col min="1542" max="1542" width="9" style="390"/>
    <col min="1543" max="1543" width="9.375" style="390" customWidth="1"/>
    <col min="1544" max="1545" width="9" style="390"/>
    <col min="1546" max="1546" width="9.375" style="390" customWidth="1"/>
    <col min="1547" max="1547" width="4" style="390" customWidth="1"/>
    <col min="1548" max="1548" width="5.125" style="390" customWidth="1"/>
    <col min="1549" max="1549" width="13.75" style="390" customWidth="1"/>
    <col min="1550" max="1792" width="9" style="390"/>
    <col min="1793" max="1793" width="4.875" style="390" customWidth="1"/>
    <col min="1794" max="1794" width="13.25" style="390" customWidth="1"/>
    <col min="1795" max="1795" width="15.625" style="390" customWidth="1"/>
    <col min="1796" max="1796" width="9.375" style="390" customWidth="1"/>
    <col min="1797" max="1797" width="13.5" style="390" customWidth="1"/>
    <col min="1798" max="1798" width="9" style="390"/>
    <col min="1799" max="1799" width="9.375" style="390" customWidth="1"/>
    <col min="1800" max="1801" width="9" style="390"/>
    <col min="1802" max="1802" width="9.375" style="390" customWidth="1"/>
    <col min="1803" max="1803" width="4" style="390" customWidth="1"/>
    <col min="1804" max="1804" width="5.125" style="390" customWidth="1"/>
    <col min="1805" max="1805" width="13.75" style="390" customWidth="1"/>
    <col min="1806" max="2048" width="9" style="390"/>
    <col min="2049" max="2049" width="4.875" style="390" customWidth="1"/>
    <col min="2050" max="2050" width="13.25" style="390" customWidth="1"/>
    <col min="2051" max="2051" width="15.625" style="390" customWidth="1"/>
    <col min="2052" max="2052" width="9.375" style="390" customWidth="1"/>
    <col min="2053" max="2053" width="13.5" style="390" customWidth="1"/>
    <col min="2054" max="2054" width="9" style="390"/>
    <col min="2055" max="2055" width="9.375" style="390" customWidth="1"/>
    <col min="2056" max="2057" width="9" style="390"/>
    <col min="2058" max="2058" width="9.375" style="390" customWidth="1"/>
    <col min="2059" max="2059" width="4" style="390" customWidth="1"/>
    <col min="2060" max="2060" width="5.125" style="390" customWidth="1"/>
    <col min="2061" max="2061" width="13.75" style="390" customWidth="1"/>
    <col min="2062" max="2304" width="9" style="390"/>
    <col min="2305" max="2305" width="4.875" style="390" customWidth="1"/>
    <col min="2306" max="2306" width="13.25" style="390" customWidth="1"/>
    <col min="2307" max="2307" width="15.625" style="390" customWidth="1"/>
    <col min="2308" max="2308" width="9.375" style="390" customWidth="1"/>
    <col min="2309" max="2309" width="13.5" style="390" customWidth="1"/>
    <col min="2310" max="2310" width="9" style="390"/>
    <col min="2311" max="2311" width="9.375" style="390" customWidth="1"/>
    <col min="2312" max="2313" width="9" style="390"/>
    <col min="2314" max="2314" width="9.375" style="390" customWidth="1"/>
    <col min="2315" max="2315" width="4" style="390" customWidth="1"/>
    <col min="2316" max="2316" width="5.125" style="390" customWidth="1"/>
    <col min="2317" max="2317" width="13.75" style="390" customWidth="1"/>
    <col min="2318" max="2560" width="9" style="390"/>
    <col min="2561" max="2561" width="4.875" style="390" customWidth="1"/>
    <col min="2562" max="2562" width="13.25" style="390" customWidth="1"/>
    <col min="2563" max="2563" width="15.625" style="390" customWidth="1"/>
    <col min="2564" max="2564" width="9.375" style="390" customWidth="1"/>
    <col min="2565" max="2565" width="13.5" style="390" customWidth="1"/>
    <col min="2566" max="2566" width="9" style="390"/>
    <col min="2567" max="2567" width="9.375" style="390" customWidth="1"/>
    <col min="2568" max="2569" width="9" style="390"/>
    <col min="2570" max="2570" width="9.375" style="390" customWidth="1"/>
    <col min="2571" max="2571" width="4" style="390" customWidth="1"/>
    <col min="2572" max="2572" width="5.125" style="390" customWidth="1"/>
    <col min="2573" max="2573" width="13.75" style="390" customWidth="1"/>
    <col min="2574" max="2816" width="9" style="390"/>
    <col min="2817" max="2817" width="4.875" style="390" customWidth="1"/>
    <col min="2818" max="2818" width="13.25" style="390" customWidth="1"/>
    <col min="2819" max="2819" width="15.625" style="390" customWidth="1"/>
    <col min="2820" max="2820" width="9.375" style="390" customWidth="1"/>
    <col min="2821" max="2821" width="13.5" style="390" customWidth="1"/>
    <col min="2822" max="2822" width="9" style="390"/>
    <col min="2823" max="2823" width="9.375" style="390" customWidth="1"/>
    <col min="2824" max="2825" width="9" style="390"/>
    <col min="2826" max="2826" width="9.375" style="390" customWidth="1"/>
    <col min="2827" max="2827" width="4" style="390" customWidth="1"/>
    <col min="2828" max="2828" width="5.125" style="390" customWidth="1"/>
    <col min="2829" max="2829" width="13.75" style="390" customWidth="1"/>
    <col min="2830" max="3072" width="9" style="390"/>
    <col min="3073" max="3073" width="4.875" style="390" customWidth="1"/>
    <col min="3074" max="3074" width="13.25" style="390" customWidth="1"/>
    <col min="3075" max="3075" width="15.625" style="390" customWidth="1"/>
    <col min="3076" max="3076" width="9.375" style="390" customWidth="1"/>
    <col min="3077" max="3077" width="13.5" style="390" customWidth="1"/>
    <col min="3078" max="3078" width="9" style="390"/>
    <col min="3079" max="3079" width="9.375" style="390" customWidth="1"/>
    <col min="3080" max="3081" width="9" style="390"/>
    <col min="3082" max="3082" width="9.375" style="390" customWidth="1"/>
    <col min="3083" max="3083" width="4" style="390" customWidth="1"/>
    <col min="3084" max="3084" width="5.125" style="390" customWidth="1"/>
    <col min="3085" max="3085" width="13.75" style="390" customWidth="1"/>
    <col min="3086" max="3328" width="9" style="390"/>
    <col min="3329" max="3329" width="4.875" style="390" customWidth="1"/>
    <col min="3330" max="3330" width="13.25" style="390" customWidth="1"/>
    <col min="3331" max="3331" width="15.625" style="390" customWidth="1"/>
    <col min="3332" max="3332" width="9.375" style="390" customWidth="1"/>
    <col min="3333" max="3333" width="13.5" style="390" customWidth="1"/>
    <col min="3334" max="3334" width="9" style="390"/>
    <col min="3335" max="3335" width="9.375" style="390" customWidth="1"/>
    <col min="3336" max="3337" width="9" style="390"/>
    <col min="3338" max="3338" width="9.375" style="390" customWidth="1"/>
    <col min="3339" max="3339" width="4" style="390" customWidth="1"/>
    <col min="3340" max="3340" width="5.125" style="390" customWidth="1"/>
    <col min="3341" max="3341" width="13.75" style="390" customWidth="1"/>
    <col min="3342" max="3584" width="9" style="390"/>
    <col min="3585" max="3585" width="4.875" style="390" customWidth="1"/>
    <col min="3586" max="3586" width="13.25" style="390" customWidth="1"/>
    <col min="3587" max="3587" width="15.625" style="390" customWidth="1"/>
    <col min="3588" max="3588" width="9.375" style="390" customWidth="1"/>
    <col min="3589" max="3589" width="13.5" style="390" customWidth="1"/>
    <col min="3590" max="3590" width="9" style="390"/>
    <col min="3591" max="3591" width="9.375" style="390" customWidth="1"/>
    <col min="3592" max="3593" width="9" style="390"/>
    <col min="3594" max="3594" width="9.375" style="390" customWidth="1"/>
    <col min="3595" max="3595" width="4" style="390" customWidth="1"/>
    <col min="3596" max="3596" width="5.125" style="390" customWidth="1"/>
    <col min="3597" max="3597" width="13.75" style="390" customWidth="1"/>
    <col min="3598" max="3840" width="9" style="390"/>
    <col min="3841" max="3841" width="4.875" style="390" customWidth="1"/>
    <col min="3842" max="3842" width="13.25" style="390" customWidth="1"/>
    <col min="3843" max="3843" width="15.625" style="390" customWidth="1"/>
    <col min="3844" max="3844" width="9.375" style="390" customWidth="1"/>
    <col min="3845" max="3845" width="13.5" style="390" customWidth="1"/>
    <col min="3846" max="3846" width="9" style="390"/>
    <col min="3847" max="3847" width="9.375" style="390" customWidth="1"/>
    <col min="3848" max="3849" width="9" style="390"/>
    <col min="3850" max="3850" width="9.375" style="390" customWidth="1"/>
    <col min="3851" max="3851" width="4" style="390" customWidth="1"/>
    <col min="3852" max="3852" width="5.125" style="390" customWidth="1"/>
    <col min="3853" max="3853" width="13.75" style="390" customWidth="1"/>
    <col min="3854" max="4096" width="9" style="390"/>
    <col min="4097" max="4097" width="4.875" style="390" customWidth="1"/>
    <col min="4098" max="4098" width="13.25" style="390" customWidth="1"/>
    <col min="4099" max="4099" width="15.625" style="390" customWidth="1"/>
    <col min="4100" max="4100" width="9.375" style="390" customWidth="1"/>
    <col min="4101" max="4101" width="13.5" style="390" customWidth="1"/>
    <col min="4102" max="4102" width="9" style="390"/>
    <col min="4103" max="4103" width="9.375" style="390" customWidth="1"/>
    <col min="4104" max="4105" width="9" style="390"/>
    <col min="4106" max="4106" width="9.375" style="390" customWidth="1"/>
    <col min="4107" max="4107" width="4" style="390" customWidth="1"/>
    <col min="4108" max="4108" width="5.125" style="390" customWidth="1"/>
    <col min="4109" max="4109" width="13.75" style="390" customWidth="1"/>
    <col min="4110" max="4352" width="9" style="390"/>
    <col min="4353" max="4353" width="4.875" style="390" customWidth="1"/>
    <col min="4354" max="4354" width="13.25" style="390" customWidth="1"/>
    <col min="4355" max="4355" width="15.625" style="390" customWidth="1"/>
    <col min="4356" max="4356" width="9.375" style="390" customWidth="1"/>
    <col min="4357" max="4357" width="13.5" style="390" customWidth="1"/>
    <col min="4358" max="4358" width="9" style="390"/>
    <col min="4359" max="4359" width="9.375" style="390" customWidth="1"/>
    <col min="4360" max="4361" width="9" style="390"/>
    <col min="4362" max="4362" width="9.375" style="390" customWidth="1"/>
    <col min="4363" max="4363" width="4" style="390" customWidth="1"/>
    <col min="4364" max="4364" width="5.125" style="390" customWidth="1"/>
    <col min="4365" max="4365" width="13.75" style="390" customWidth="1"/>
    <col min="4366" max="4608" width="9" style="390"/>
    <col min="4609" max="4609" width="4.875" style="390" customWidth="1"/>
    <col min="4610" max="4610" width="13.25" style="390" customWidth="1"/>
    <col min="4611" max="4611" width="15.625" style="390" customWidth="1"/>
    <col min="4612" max="4612" width="9.375" style="390" customWidth="1"/>
    <col min="4613" max="4613" width="13.5" style="390" customWidth="1"/>
    <col min="4614" max="4614" width="9" style="390"/>
    <col min="4615" max="4615" width="9.375" style="390" customWidth="1"/>
    <col min="4616" max="4617" width="9" style="390"/>
    <col min="4618" max="4618" width="9.375" style="390" customWidth="1"/>
    <col min="4619" max="4619" width="4" style="390" customWidth="1"/>
    <col min="4620" max="4620" width="5.125" style="390" customWidth="1"/>
    <col min="4621" max="4621" width="13.75" style="390" customWidth="1"/>
    <col min="4622" max="4864" width="9" style="390"/>
    <col min="4865" max="4865" width="4.875" style="390" customWidth="1"/>
    <col min="4866" max="4866" width="13.25" style="390" customWidth="1"/>
    <col min="4867" max="4867" width="15.625" style="390" customWidth="1"/>
    <col min="4868" max="4868" width="9.375" style="390" customWidth="1"/>
    <col min="4869" max="4869" width="13.5" style="390" customWidth="1"/>
    <col min="4870" max="4870" width="9" style="390"/>
    <col min="4871" max="4871" width="9.375" style="390" customWidth="1"/>
    <col min="4872" max="4873" width="9" style="390"/>
    <col min="4874" max="4874" width="9.375" style="390" customWidth="1"/>
    <col min="4875" max="4875" width="4" style="390" customWidth="1"/>
    <col min="4876" max="4876" width="5.125" style="390" customWidth="1"/>
    <col min="4877" max="4877" width="13.75" style="390" customWidth="1"/>
    <col min="4878" max="5120" width="9" style="390"/>
    <col min="5121" max="5121" width="4.875" style="390" customWidth="1"/>
    <col min="5122" max="5122" width="13.25" style="390" customWidth="1"/>
    <col min="5123" max="5123" width="15.625" style="390" customWidth="1"/>
    <col min="5124" max="5124" width="9.375" style="390" customWidth="1"/>
    <col min="5125" max="5125" width="13.5" style="390" customWidth="1"/>
    <col min="5126" max="5126" width="9" style="390"/>
    <col min="5127" max="5127" width="9.375" style="390" customWidth="1"/>
    <col min="5128" max="5129" width="9" style="390"/>
    <col min="5130" max="5130" width="9.375" style="390" customWidth="1"/>
    <col min="5131" max="5131" width="4" style="390" customWidth="1"/>
    <col min="5132" max="5132" width="5.125" style="390" customWidth="1"/>
    <col min="5133" max="5133" width="13.75" style="390" customWidth="1"/>
    <col min="5134" max="5376" width="9" style="390"/>
    <col min="5377" max="5377" width="4.875" style="390" customWidth="1"/>
    <col min="5378" max="5378" width="13.25" style="390" customWidth="1"/>
    <col min="5379" max="5379" width="15.625" style="390" customWidth="1"/>
    <col min="5380" max="5380" width="9.375" style="390" customWidth="1"/>
    <col min="5381" max="5381" width="13.5" style="390" customWidth="1"/>
    <col min="5382" max="5382" width="9" style="390"/>
    <col min="5383" max="5383" width="9.375" style="390" customWidth="1"/>
    <col min="5384" max="5385" width="9" style="390"/>
    <col min="5386" max="5386" width="9.375" style="390" customWidth="1"/>
    <col min="5387" max="5387" width="4" style="390" customWidth="1"/>
    <col min="5388" max="5388" width="5.125" style="390" customWidth="1"/>
    <col min="5389" max="5389" width="13.75" style="390" customWidth="1"/>
    <col min="5390" max="5632" width="9" style="390"/>
    <col min="5633" max="5633" width="4.875" style="390" customWidth="1"/>
    <col min="5634" max="5634" width="13.25" style="390" customWidth="1"/>
    <col min="5635" max="5635" width="15.625" style="390" customWidth="1"/>
    <col min="5636" max="5636" width="9.375" style="390" customWidth="1"/>
    <col min="5637" max="5637" width="13.5" style="390" customWidth="1"/>
    <col min="5638" max="5638" width="9" style="390"/>
    <col min="5639" max="5639" width="9.375" style="390" customWidth="1"/>
    <col min="5640" max="5641" width="9" style="390"/>
    <col min="5642" max="5642" width="9.375" style="390" customWidth="1"/>
    <col min="5643" max="5643" width="4" style="390" customWidth="1"/>
    <col min="5644" max="5644" width="5.125" style="390" customWidth="1"/>
    <col min="5645" max="5645" width="13.75" style="390" customWidth="1"/>
    <col min="5646" max="5888" width="9" style="390"/>
    <col min="5889" max="5889" width="4.875" style="390" customWidth="1"/>
    <col min="5890" max="5890" width="13.25" style="390" customWidth="1"/>
    <col min="5891" max="5891" width="15.625" style="390" customWidth="1"/>
    <col min="5892" max="5892" width="9.375" style="390" customWidth="1"/>
    <col min="5893" max="5893" width="13.5" style="390" customWidth="1"/>
    <col min="5894" max="5894" width="9" style="390"/>
    <col min="5895" max="5895" width="9.375" style="390" customWidth="1"/>
    <col min="5896" max="5897" width="9" style="390"/>
    <col min="5898" max="5898" width="9.375" style="390" customWidth="1"/>
    <col min="5899" max="5899" width="4" style="390" customWidth="1"/>
    <col min="5900" max="5900" width="5.125" style="390" customWidth="1"/>
    <col min="5901" max="5901" width="13.75" style="390" customWidth="1"/>
    <col min="5902" max="6144" width="9" style="390"/>
    <col min="6145" max="6145" width="4.875" style="390" customWidth="1"/>
    <col min="6146" max="6146" width="13.25" style="390" customWidth="1"/>
    <col min="6147" max="6147" width="15.625" style="390" customWidth="1"/>
    <col min="6148" max="6148" width="9.375" style="390" customWidth="1"/>
    <col min="6149" max="6149" width="13.5" style="390" customWidth="1"/>
    <col min="6150" max="6150" width="9" style="390"/>
    <col min="6151" max="6151" width="9.375" style="390" customWidth="1"/>
    <col min="6152" max="6153" width="9" style="390"/>
    <col min="6154" max="6154" width="9.375" style="390" customWidth="1"/>
    <col min="6155" max="6155" width="4" style="390" customWidth="1"/>
    <col min="6156" max="6156" width="5.125" style="390" customWidth="1"/>
    <col min="6157" max="6157" width="13.75" style="390" customWidth="1"/>
    <col min="6158" max="6400" width="9" style="390"/>
    <col min="6401" max="6401" width="4.875" style="390" customWidth="1"/>
    <col min="6402" max="6402" width="13.25" style="390" customWidth="1"/>
    <col min="6403" max="6403" width="15.625" style="390" customWidth="1"/>
    <col min="6404" max="6404" width="9.375" style="390" customWidth="1"/>
    <col min="6405" max="6405" width="13.5" style="390" customWidth="1"/>
    <col min="6406" max="6406" width="9" style="390"/>
    <col min="6407" max="6407" width="9.375" style="390" customWidth="1"/>
    <col min="6408" max="6409" width="9" style="390"/>
    <col min="6410" max="6410" width="9.375" style="390" customWidth="1"/>
    <col min="6411" max="6411" width="4" style="390" customWidth="1"/>
    <col min="6412" max="6412" width="5.125" style="390" customWidth="1"/>
    <col min="6413" max="6413" width="13.75" style="390" customWidth="1"/>
    <col min="6414" max="6656" width="9" style="390"/>
    <col min="6657" max="6657" width="4.875" style="390" customWidth="1"/>
    <col min="6658" max="6658" width="13.25" style="390" customWidth="1"/>
    <col min="6659" max="6659" width="15.625" style="390" customWidth="1"/>
    <col min="6660" max="6660" width="9.375" style="390" customWidth="1"/>
    <col min="6661" max="6661" width="13.5" style="390" customWidth="1"/>
    <col min="6662" max="6662" width="9" style="390"/>
    <col min="6663" max="6663" width="9.375" style="390" customWidth="1"/>
    <col min="6664" max="6665" width="9" style="390"/>
    <col min="6666" max="6666" width="9.375" style="390" customWidth="1"/>
    <col min="6667" max="6667" width="4" style="390" customWidth="1"/>
    <col min="6668" max="6668" width="5.125" style="390" customWidth="1"/>
    <col min="6669" max="6669" width="13.75" style="390" customWidth="1"/>
    <col min="6670" max="6912" width="9" style="390"/>
    <col min="6913" max="6913" width="4.875" style="390" customWidth="1"/>
    <col min="6914" max="6914" width="13.25" style="390" customWidth="1"/>
    <col min="6915" max="6915" width="15.625" style="390" customWidth="1"/>
    <col min="6916" max="6916" width="9.375" style="390" customWidth="1"/>
    <col min="6917" max="6917" width="13.5" style="390" customWidth="1"/>
    <col min="6918" max="6918" width="9" style="390"/>
    <col min="6919" max="6919" width="9.375" style="390" customWidth="1"/>
    <col min="6920" max="6921" width="9" style="390"/>
    <col min="6922" max="6922" width="9.375" style="390" customWidth="1"/>
    <col min="6923" max="6923" width="4" style="390" customWidth="1"/>
    <col min="6924" max="6924" width="5.125" style="390" customWidth="1"/>
    <col min="6925" max="6925" width="13.75" style="390" customWidth="1"/>
    <col min="6926" max="7168" width="9" style="390"/>
    <col min="7169" max="7169" width="4.875" style="390" customWidth="1"/>
    <col min="7170" max="7170" width="13.25" style="390" customWidth="1"/>
    <col min="7171" max="7171" width="15.625" style="390" customWidth="1"/>
    <col min="7172" max="7172" width="9.375" style="390" customWidth="1"/>
    <col min="7173" max="7173" width="13.5" style="390" customWidth="1"/>
    <col min="7174" max="7174" width="9" style="390"/>
    <col min="7175" max="7175" width="9.375" style="390" customWidth="1"/>
    <col min="7176" max="7177" width="9" style="390"/>
    <col min="7178" max="7178" width="9.375" style="390" customWidth="1"/>
    <col min="7179" max="7179" width="4" style="390" customWidth="1"/>
    <col min="7180" max="7180" width="5.125" style="390" customWidth="1"/>
    <col min="7181" max="7181" width="13.75" style="390" customWidth="1"/>
    <col min="7182" max="7424" width="9" style="390"/>
    <col min="7425" max="7425" width="4.875" style="390" customWidth="1"/>
    <col min="7426" max="7426" width="13.25" style="390" customWidth="1"/>
    <col min="7427" max="7427" width="15.625" style="390" customWidth="1"/>
    <col min="7428" max="7428" width="9.375" style="390" customWidth="1"/>
    <col min="7429" max="7429" width="13.5" style="390" customWidth="1"/>
    <col min="7430" max="7430" width="9" style="390"/>
    <col min="7431" max="7431" width="9.375" style="390" customWidth="1"/>
    <col min="7432" max="7433" width="9" style="390"/>
    <col min="7434" max="7434" width="9.375" style="390" customWidth="1"/>
    <col min="7435" max="7435" width="4" style="390" customWidth="1"/>
    <col min="7436" max="7436" width="5.125" style="390" customWidth="1"/>
    <col min="7437" max="7437" width="13.75" style="390" customWidth="1"/>
    <col min="7438" max="7680" width="9" style="390"/>
    <col min="7681" max="7681" width="4.875" style="390" customWidth="1"/>
    <col min="7682" max="7682" width="13.25" style="390" customWidth="1"/>
    <col min="7683" max="7683" width="15.625" style="390" customWidth="1"/>
    <col min="7684" max="7684" width="9.375" style="390" customWidth="1"/>
    <col min="7685" max="7685" width="13.5" style="390" customWidth="1"/>
    <col min="7686" max="7686" width="9" style="390"/>
    <col min="7687" max="7687" width="9.375" style="390" customWidth="1"/>
    <col min="7688" max="7689" width="9" style="390"/>
    <col min="7690" max="7690" width="9.375" style="390" customWidth="1"/>
    <col min="7691" max="7691" width="4" style="390" customWidth="1"/>
    <col min="7692" max="7692" width="5.125" style="390" customWidth="1"/>
    <col min="7693" max="7693" width="13.75" style="390" customWidth="1"/>
    <col min="7694" max="7936" width="9" style="390"/>
    <col min="7937" max="7937" width="4.875" style="390" customWidth="1"/>
    <col min="7938" max="7938" width="13.25" style="390" customWidth="1"/>
    <col min="7939" max="7939" width="15.625" style="390" customWidth="1"/>
    <col min="7940" max="7940" width="9.375" style="390" customWidth="1"/>
    <col min="7941" max="7941" width="13.5" style="390" customWidth="1"/>
    <col min="7942" max="7942" width="9" style="390"/>
    <col min="7943" max="7943" width="9.375" style="390" customWidth="1"/>
    <col min="7944" max="7945" width="9" style="390"/>
    <col min="7946" max="7946" width="9.375" style="390" customWidth="1"/>
    <col min="7947" max="7947" width="4" style="390" customWidth="1"/>
    <col min="7948" max="7948" width="5.125" style="390" customWidth="1"/>
    <col min="7949" max="7949" width="13.75" style="390" customWidth="1"/>
    <col min="7950" max="8192" width="9" style="390"/>
    <col min="8193" max="8193" width="4.875" style="390" customWidth="1"/>
    <col min="8194" max="8194" width="13.25" style="390" customWidth="1"/>
    <col min="8195" max="8195" width="15.625" style="390" customWidth="1"/>
    <col min="8196" max="8196" width="9.375" style="390" customWidth="1"/>
    <col min="8197" max="8197" width="13.5" style="390" customWidth="1"/>
    <col min="8198" max="8198" width="9" style="390"/>
    <col min="8199" max="8199" width="9.375" style="390" customWidth="1"/>
    <col min="8200" max="8201" width="9" style="390"/>
    <col min="8202" max="8202" width="9.375" style="390" customWidth="1"/>
    <col min="8203" max="8203" width="4" style="390" customWidth="1"/>
    <col min="8204" max="8204" width="5.125" style="390" customWidth="1"/>
    <col min="8205" max="8205" width="13.75" style="390" customWidth="1"/>
    <col min="8206" max="8448" width="9" style="390"/>
    <col min="8449" max="8449" width="4.875" style="390" customWidth="1"/>
    <col min="8450" max="8450" width="13.25" style="390" customWidth="1"/>
    <col min="8451" max="8451" width="15.625" style="390" customWidth="1"/>
    <col min="8452" max="8452" width="9.375" style="390" customWidth="1"/>
    <col min="8453" max="8453" width="13.5" style="390" customWidth="1"/>
    <col min="8454" max="8454" width="9" style="390"/>
    <col min="8455" max="8455" width="9.375" style="390" customWidth="1"/>
    <col min="8456" max="8457" width="9" style="390"/>
    <col min="8458" max="8458" width="9.375" style="390" customWidth="1"/>
    <col min="8459" max="8459" width="4" style="390" customWidth="1"/>
    <col min="8460" max="8460" width="5.125" style="390" customWidth="1"/>
    <col min="8461" max="8461" width="13.75" style="390" customWidth="1"/>
    <col min="8462" max="8704" width="9" style="390"/>
    <col min="8705" max="8705" width="4.875" style="390" customWidth="1"/>
    <col min="8706" max="8706" width="13.25" style="390" customWidth="1"/>
    <col min="8707" max="8707" width="15.625" style="390" customWidth="1"/>
    <col min="8708" max="8708" width="9.375" style="390" customWidth="1"/>
    <col min="8709" max="8709" width="13.5" style="390" customWidth="1"/>
    <col min="8710" max="8710" width="9" style="390"/>
    <col min="8711" max="8711" width="9.375" style="390" customWidth="1"/>
    <col min="8712" max="8713" width="9" style="390"/>
    <col min="8714" max="8714" width="9.375" style="390" customWidth="1"/>
    <col min="8715" max="8715" width="4" style="390" customWidth="1"/>
    <col min="8716" max="8716" width="5.125" style="390" customWidth="1"/>
    <col min="8717" max="8717" width="13.75" style="390" customWidth="1"/>
    <col min="8718" max="8960" width="9" style="390"/>
    <col min="8961" max="8961" width="4.875" style="390" customWidth="1"/>
    <col min="8962" max="8962" width="13.25" style="390" customWidth="1"/>
    <col min="8963" max="8963" width="15.625" style="390" customWidth="1"/>
    <col min="8964" max="8964" width="9.375" style="390" customWidth="1"/>
    <col min="8965" max="8965" width="13.5" style="390" customWidth="1"/>
    <col min="8966" max="8966" width="9" style="390"/>
    <col min="8967" max="8967" width="9.375" style="390" customWidth="1"/>
    <col min="8968" max="8969" width="9" style="390"/>
    <col min="8970" max="8970" width="9.375" style="390" customWidth="1"/>
    <col min="8971" max="8971" width="4" style="390" customWidth="1"/>
    <col min="8972" max="8972" width="5.125" style="390" customWidth="1"/>
    <col min="8973" max="8973" width="13.75" style="390" customWidth="1"/>
    <col min="8974" max="9216" width="9" style="390"/>
    <col min="9217" max="9217" width="4.875" style="390" customWidth="1"/>
    <col min="9218" max="9218" width="13.25" style="390" customWidth="1"/>
    <col min="9219" max="9219" width="15.625" style="390" customWidth="1"/>
    <col min="9220" max="9220" width="9.375" style="390" customWidth="1"/>
    <col min="9221" max="9221" width="13.5" style="390" customWidth="1"/>
    <col min="9222" max="9222" width="9" style="390"/>
    <col min="9223" max="9223" width="9.375" style="390" customWidth="1"/>
    <col min="9224" max="9225" width="9" style="390"/>
    <col min="9226" max="9226" width="9.375" style="390" customWidth="1"/>
    <col min="9227" max="9227" width="4" style="390" customWidth="1"/>
    <col min="9228" max="9228" width="5.125" style="390" customWidth="1"/>
    <col min="9229" max="9229" width="13.75" style="390" customWidth="1"/>
    <col min="9230" max="9472" width="9" style="390"/>
    <col min="9473" max="9473" width="4.875" style="390" customWidth="1"/>
    <col min="9474" max="9474" width="13.25" style="390" customWidth="1"/>
    <col min="9475" max="9475" width="15.625" style="390" customWidth="1"/>
    <col min="9476" max="9476" width="9.375" style="390" customWidth="1"/>
    <col min="9477" max="9477" width="13.5" style="390" customWidth="1"/>
    <col min="9478" max="9478" width="9" style="390"/>
    <col min="9479" max="9479" width="9.375" style="390" customWidth="1"/>
    <col min="9480" max="9481" width="9" style="390"/>
    <col min="9482" max="9482" width="9.375" style="390" customWidth="1"/>
    <col min="9483" max="9483" width="4" style="390" customWidth="1"/>
    <col min="9484" max="9484" width="5.125" style="390" customWidth="1"/>
    <col min="9485" max="9485" width="13.75" style="390" customWidth="1"/>
    <col min="9486" max="9728" width="9" style="390"/>
    <col min="9729" max="9729" width="4.875" style="390" customWidth="1"/>
    <col min="9730" max="9730" width="13.25" style="390" customWidth="1"/>
    <col min="9731" max="9731" width="15.625" style="390" customWidth="1"/>
    <col min="9732" max="9732" width="9.375" style="390" customWidth="1"/>
    <col min="9733" max="9733" width="13.5" style="390" customWidth="1"/>
    <col min="9734" max="9734" width="9" style="390"/>
    <col min="9735" max="9735" width="9.375" style="390" customWidth="1"/>
    <col min="9736" max="9737" width="9" style="390"/>
    <col min="9738" max="9738" width="9.375" style="390" customWidth="1"/>
    <col min="9739" max="9739" width="4" style="390" customWidth="1"/>
    <col min="9740" max="9740" width="5.125" style="390" customWidth="1"/>
    <col min="9741" max="9741" width="13.75" style="390" customWidth="1"/>
    <col min="9742" max="9984" width="9" style="390"/>
    <col min="9985" max="9985" width="4.875" style="390" customWidth="1"/>
    <col min="9986" max="9986" width="13.25" style="390" customWidth="1"/>
    <col min="9987" max="9987" width="15.625" style="390" customWidth="1"/>
    <col min="9988" max="9988" width="9.375" style="390" customWidth="1"/>
    <col min="9989" max="9989" width="13.5" style="390" customWidth="1"/>
    <col min="9990" max="9990" width="9" style="390"/>
    <col min="9991" max="9991" width="9.375" style="390" customWidth="1"/>
    <col min="9992" max="9993" width="9" style="390"/>
    <col min="9994" max="9994" width="9.375" style="390" customWidth="1"/>
    <col min="9995" max="9995" width="4" style="390" customWidth="1"/>
    <col min="9996" max="9996" width="5.125" style="390" customWidth="1"/>
    <col min="9997" max="9997" width="13.75" style="390" customWidth="1"/>
    <col min="9998" max="10240" width="9" style="390"/>
    <col min="10241" max="10241" width="4.875" style="390" customWidth="1"/>
    <col min="10242" max="10242" width="13.25" style="390" customWidth="1"/>
    <col min="10243" max="10243" width="15.625" style="390" customWidth="1"/>
    <col min="10244" max="10244" width="9.375" style="390" customWidth="1"/>
    <col min="10245" max="10245" width="13.5" style="390" customWidth="1"/>
    <col min="10246" max="10246" width="9" style="390"/>
    <col min="10247" max="10247" width="9.375" style="390" customWidth="1"/>
    <col min="10248" max="10249" width="9" style="390"/>
    <col min="10250" max="10250" width="9.375" style="390" customWidth="1"/>
    <col min="10251" max="10251" width="4" style="390" customWidth="1"/>
    <col min="10252" max="10252" width="5.125" style="390" customWidth="1"/>
    <col min="10253" max="10253" width="13.75" style="390" customWidth="1"/>
    <col min="10254" max="10496" width="9" style="390"/>
    <col min="10497" max="10497" width="4.875" style="390" customWidth="1"/>
    <col min="10498" max="10498" width="13.25" style="390" customWidth="1"/>
    <col min="10499" max="10499" width="15.625" style="390" customWidth="1"/>
    <col min="10500" max="10500" width="9.375" style="390" customWidth="1"/>
    <col min="10501" max="10501" width="13.5" style="390" customWidth="1"/>
    <col min="10502" max="10502" width="9" style="390"/>
    <col min="10503" max="10503" width="9.375" style="390" customWidth="1"/>
    <col min="10504" max="10505" width="9" style="390"/>
    <col min="10506" max="10506" width="9.375" style="390" customWidth="1"/>
    <col min="10507" max="10507" width="4" style="390" customWidth="1"/>
    <col min="10508" max="10508" width="5.125" style="390" customWidth="1"/>
    <col min="10509" max="10509" width="13.75" style="390" customWidth="1"/>
    <col min="10510" max="10752" width="9" style="390"/>
    <col min="10753" max="10753" width="4.875" style="390" customWidth="1"/>
    <col min="10754" max="10754" width="13.25" style="390" customWidth="1"/>
    <col min="10755" max="10755" width="15.625" style="390" customWidth="1"/>
    <col min="10756" max="10756" width="9.375" style="390" customWidth="1"/>
    <col min="10757" max="10757" width="13.5" style="390" customWidth="1"/>
    <col min="10758" max="10758" width="9" style="390"/>
    <col min="10759" max="10759" width="9.375" style="390" customWidth="1"/>
    <col min="10760" max="10761" width="9" style="390"/>
    <col min="10762" max="10762" width="9.375" style="390" customWidth="1"/>
    <col min="10763" max="10763" width="4" style="390" customWidth="1"/>
    <col min="10764" max="10764" width="5.125" style="390" customWidth="1"/>
    <col min="10765" max="10765" width="13.75" style="390" customWidth="1"/>
    <col min="10766" max="11008" width="9" style="390"/>
    <col min="11009" max="11009" width="4.875" style="390" customWidth="1"/>
    <col min="11010" max="11010" width="13.25" style="390" customWidth="1"/>
    <col min="11011" max="11011" width="15.625" style="390" customWidth="1"/>
    <col min="11012" max="11012" width="9.375" style="390" customWidth="1"/>
    <col min="11013" max="11013" width="13.5" style="390" customWidth="1"/>
    <col min="11014" max="11014" width="9" style="390"/>
    <col min="11015" max="11015" width="9.375" style="390" customWidth="1"/>
    <col min="11016" max="11017" width="9" style="390"/>
    <col min="11018" max="11018" width="9.375" style="390" customWidth="1"/>
    <col min="11019" max="11019" width="4" style="390" customWidth="1"/>
    <col min="11020" max="11020" width="5.125" style="390" customWidth="1"/>
    <col min="11021" max="11021" width="13.75" style="390" customWidth="1"/>
    <col min="11022" max="11264" width="9" style="390"/>
    <col min="11265" max="11265" width="4.875" style="390" customWidth="1"/>
    <col min="11266" max="11266" width="13.25" style="390" customWidth="1"/>
    <col min="11267" max="11267" width="15.625" style="390" customWidth="1"/>
    <col min="11268" max="11268" width="9.375" style="390" customWidth="1"/>
    <col min="11269" max="11269" width="13.5" style="390" customWidth="1"/>
    <col min="11270" max="11270" width="9" style="390"/>
    <col min="11271" max="11271" width="9.375" style="390" customWidth="1"/>
    <col min="11272" max="11273" width="9" style="390"/>
    <col min="11274" max="11274" width="9.375" style="390" customWidth="1"/>
    <col min="11275" max="11275" width="4" style="390" customWidth="1"/>
    <col min="11276" max="11276" width="5.125" style="390" customWidth="1"/>
    <col min="11277" max="11277" width="13.75" style="390" customWidth="1"/>
    <col min="11278" max="11520" width="9" style="390"/>
    <col min="11521" max="11521" width="4.875" style="390" customWidth="1"/>
    <col min="11522" max="11522" width="13.25" style="390" customWidth="1"/>
    <col min="11523" max="11523" width="15.625" style="390" customWidth="1"/>
    <col min="11524" max="11524" width="9.375" style="390" customWidth="1"/>
    <col min="11525" max="11525" width="13.5" style="390" customWidth="1"/>
    <col min="11526" max="11526" width="9" style="390"/>
    <col min="11527" max="11527" width="9.375" style="390" customWidth="1"/>
    <col min="11528" max="11529" width="9" style="390"/>
    <col min="11530" max="11530" width="9.375" style="390" customWidth="1"/>
    <col min="11531" max="11531" width="4" style="390" customWidth="1"/>
    <col min="11532" max="11532" width="5.125" style="390" customWidth="1"/>
    <col min="11533" max="11533" width="13.75" style="390" customWidth="1"/>
    <col min="11534" max="11776" width="9" style="390"/>
    <col min="11777" max="11777" width="4.875" style="390" customWidth="1"/>
    <col min="11778" max="11778" width="13.25" style="390" customWidth="1"/>
    <col min="11779" max="11779" width="15.625" style="390" customWidth="1"/>
    <col min="11780" max="11780" width="9.375" style="390" customWidth="1"/>
    <col min="11781" max="11781" width="13.5" style="390" customWidth="1"/>
    <col min="11782" max="11782" width="9" style="390"/>
    <col min="11783" max="11783" width="9.375" style="390" customWidth="1"/>
    <col min="11784" max="11785" width="9" style="390"/>
    <col min="11786" max="11786" width="9.375" style="390" customWidth="1"/>
    <col min="11787" max="11787" width="4" style="390" customWidth="1"/>
    <col min="11788" max="11788" width="5.125" style="390" customWidth="1"/>
    <col min="11789" max="11789" width="13.75" style="390" customWidth="1"/>
    <col min="11790" max="12032" width="9" style="390"/>
    <col min="12033" max="12033" width="4.875" style="390" customWidth="1"/>
    <col min="12034" max="12034" width="13.25" style="390" customWidth="1"/>
    <col min="12035" max="12035" width="15.625" style="390" customWidth="1"/>
    <col min="12036" max="12036" width="9.375" style="390" customWidth="1"/>
    <col min="12037" max="12037" width="13.5" style="390" customWidth="1"/>
    <col min="12038" max="12038" width="9" style="390"/>
    <col min="12039" max="12039" width="9.375" style="390" customWidth="1"/>
    <col min="12040" max="12041" width="9" style="390"/>
    <col min="12042" max="12042" width="9.375" style="390" customWidth="1"/>
    <col min="12043" max="12043" width="4" style="390" customWidth="1"/>
    <col min="12044" max="12044" width="5.125" style="390" customWidth="1"/>
    <col min="12045" max="12045" width="13.75" style="390" customWidth="1"/>
    <col min="12046" max="12288" width="9" style="390"/>
    <col min="12289" max="12289" width="4.875" style="390" customWidth="1"/>
    <col min="12290" max="12290" width="13.25" style="390" customWidth="1"/>
    <col min="12291" max="12291" width="15.625" style="390" customWidth="1"/>
    <col min="12292" max="12292" width="9.375" style="390" customWidth="1"/>
    <col min="12293" max="12293" width="13.5" style="390" customWidth="1"/>
    <col min="12294" max="12294" width="9" style="390"/>
    <col min="12295" max="12295" width="9.375" style="390" customWidth="1"/>
    <col min="12296" max="12297" width="9" style="390"/>
    <col min="12298" max="12298" width="9.375" style="390" customWidth="1"/>
    <col min="12299" max="12299" width="4" style="390" customWidth="1"/>
    <col min="12300" max="12300" width="5.125" style="390" customWidth="1"/>
    <col min="12301" max="12301" width="13.75" style="390" customWidth="1"/>
    <col min="12302" max="12544" width="9" style="390"/>
    <col min="12545" max="12545" width="4.875" style="390" customWidth="1"/>
    <col min="12546" max="12546" width="13.25" style="390" customWidth="1"/>
    <col min="12547" max="12547" width="15.625" style="390" customWidth="1"/>
    <col min="12548" max="12548" width="9.375" style="390" customWidth="1"/>
    <col min="12549" max="12549" width="13.5" style="390" customWidth="1"/>
    <col min="12550" max="12550" width="9" style="390"/>
    <col min="12551" max="12551" width="9.375" style="390" customWidth="1"/>
    <col min="12552" max="12553" width="9" style="390"/>
    <col min="12554" max="12554" width="9.375" style="390" customWidth="1"/>
    <col min="12555" max="12555" width="4" style="390" customWidth="1"/>
    <col min="12556" max="12556" width="5.125" style="390" customWidth="1"/>
    <col min="12557" max="12557" width="13.75" style="390" customWidth="1"/>
    <col min="12558" max="12800" width="9" style="390"/>
    <col min="12801" max="12801" width="4.875" style="390" customWidth="1"/>
    <col min="12802" max="12802" width="13.25" style="390" customWidth="1"/>
    <col min="12803" max="12803" width="15.625" style="390" customWidth="1"/>
    <col min="12804" max="12804" width="9.375" style="390" customWidth="1"/>
    <col min="12805" max="12805" width="13.5" style="390" customWidth="1"/>
    <col min="12806" max="12806" width="9" style="390"/>
    <col min="12807" max="12807" width="9.375" style="390" customWidth="1"/>
    <col min="12808" max="12809" width="9" style="390"/>
    <col min="12810" max="12810" width="9.375" style="390" customWidth="1"/>
    <col min="12811" max="12811" width="4" style="390" customWidth="1"/>
    <col min="12812" max="12812" width="5.125" style="390" customWidth="1"/>
    <col min="12813" max="12813" width="13.75" style="390" customWidth="1"/>
    <col min="12814" max="13056" width="9" style="390"/>
    <col min="13057" max="13057" width="4.875" style="390" customWidth="1"/>
    <col min="13058" max="13058" width="13.25" style="390" customWidth="1"/>
    <col min="13059" max="13059" width="15.625" style="390" customWidth="1"/>
    <col min="13060" max="13060" width="9.375" style="390" customWidth="1"/>
    <col min="13061" max="13061" width="13.5" style="390" customWidth="1"/>
    <col min="13062" max="13062" width="9" style="390"/>
    <col min="13063" max="13063" width="9.375" style="390" customWidth="1"/>
    <col min="13064" max="13065" width="9" style="390"/>
    <col min="13066" max="13066" width="9.375" style="390" customWidth="1"/>
    <col min="13067" max="13067" width="4" style="390" customWidth="1"/>
    <col min="13068" max="13068" width="5.125" style="390" customWidth="1"/>
    <col min="13069" max="13069" width="13.75" style="390" customWidth="1"/>
    <col min="13070" max="13312" width="9" style="390"/>
    <col min="13313" max="13313" width="4.875" style="390" customWidth="1"/>
    <col min="13314" max="13314" width="13.25" style="390" customWidth="1"/>
    <col min="13315" max="13315" width="15.625" style="390" customWidth="1"/>
    <col min="13316" max="13316" width="9.375" style="390" customWidth="1"/>
    <col min="13317" max="13317" width="13.5" style="390" customWidth="1"/>
    <col min="13318" max="13318" width="9" style="390"/>
    <col min="13319" max="13319" width="9.375" style="390" customWidth="1"/>
    <col min="13320" max="13321" width="9" style="390"/>
    <col min="13322" max="13322" width="9.375" style="390" customWidth="1"/>
    <col min="13323" max="13323" width="4" style="390" customWidth="1"/>
    <col min="13324" max="13324" width="5.125" style="390" customWidth="1"/>
    <col min="13325" max="13325" width="13.75" style="390" customWidth="1"/>
    <col min="13326" max="13568" width="9" style="390"/>
    <col min="13569" max="13569" width="4.875" style="390" customWidth="1"/>
    <col min="13570" max="13570" width="13.25" style="390" customWidth="1"/>
    <col min="13571" max="13571" width="15.625" style="390" customWidth="1"/>
    <col min="13572" max="13572" width="9.375" style="390" customWidth="1"/>
    <col min="13573" max="13573" width="13.5" style="390" customWidth="1"/>
    <col min="13574" max="13574" width="9" style="390"/>
    <col min="13575" max="13575" width="9.375" style="390" customWidth="1"/>
    <col min="13576" max="13577" width="9" style="390"/>
    <col min="13578" max="13578" width="9.375" style="390" customWidth="1"/>
    <col min="13579" max="13579" width="4" style="390" customWidth="1"/>
    <col min="13580" max="13580" width="5.125" style="390" customWidth="1"/>
    <col min="13581" max="13581" width="13.75" style="390" customWidth="1"/>
    <col min="13582" max="13824" width="9" style="390"/>
    <col min="13825" max="13825" width="4.875" style="390" customWidth="1"/>
    <col min="13826" max="13826" width="13.25" style="390" customWidth="1"/>
    <col min="13827" max="13827" width="15.625" style="390" customWidth="1"/>
    <col min="13828" max="13828" width="9.375" style="390" customWidth="1"/>
    <col min="13829" max="13829" width="13.5" style="390" customWidth="1"/>
    <col min="13830" max="13830" width="9" style="390"/>
    <col min="13831" max="13831" width="9.375" style="390" customWidth="1"/>
    <col min="13832" max="13833" width="9" style="390"/>
    <col min="13834" max="13834" width="9.375" style="390" customWidth="1"/>
    <col min="13835" max="13835" width="4" style="390" customWidth="1"/>
    <col min="13836" max="13836" width="5.125" style="390" customWidth="1"/>
    <col min="13837" max="13837" width="13.75" style="390" customWidth="1"/>
    <col min="13838" max="14080" width="9" style="390"/>
    <col min="14081" max="14081" width="4.875" style="390" customWidth="1"/>
    <col min="14082" max="14082" width="13.25" style="390" customWidth="1"/>
    <col min="14083" max="14083" width="15.625" style="390" customWidth="1"/>
    <col min="14084" max="14084" width="9.375" style="390" customWidth="1"/>
    <col min="14085" max="14085" width="13.5" style="390" customWidth="1"/>
    <col min="14086" max="14086" width="9" style="390"/>
    <col min="14087" max="14087" width="9.375" style="390" customWidth="1"/>
    <col min="14088" max="14089" width="9" style="390"/>
    <col min="14090" max="14090" width="9.375" style="390" customWidth="1"/>
    <col min="14091" max="14091" width="4" style="390" customWidth="1"/>
    <col min="14092" max="14092" width="5.125" style="390" customWidth="1"/>
    <col min="14093" max="14093" width="13.75" style="390" customWidth="1"/>
    <col min="14094" max="14336" width="9" style="390"/>
    <col min="14337" max="14337" width="4.875" style="390" customWidth="1"/>
    <col min="14338" max="14338" width="13.25" style="390" customWidth="1"/>
    <col min="14339" max="14339" width="15.625" style="390" customWidth="1"/>
    <col min="14340" max="14340" width="9.375" style="390" customWidth="1"/>
    <col min="14341" max="14341" width="13.5" style="390" customWidth="1"/>
    <col min="14342" max="14342" width="9" style="390"/>
    <col min="14343" max="14343" width="9.375" style="390" customWidth="1"/>
    <col min="14344" max="14345" width="9" style="390"/>
    <col min="14346" max="14346" width="9.375" style="390" customWidth="1"/>
    <col min="14347" max="14347" width="4" style="390" customWidth="1"/>
    <col min="14348" max="14348" width="5.125" style="390" customWidth="1"/>
    <col min="14349" max="14349" width="13.75" style="390" customWidth="1"/>
    <col min="14350" max="14592" width="9" style="390"/>
    <col min="14593" max="14593" width="4.875" style="390" customWidth="1"/>
    <col min="14594" max="14594" width="13.25" style="390" customWidth="1"/>
    <col min="14595" max="14595" width="15.625" style="390" customWidth="1"/>
    <col min="14596" max="14596" width="9.375" style="390" customWidth="1"/>
    <col min="14597" max="14597" width="13.5" style="390" customWidth="1"/>
    <col min="14598" max="14598" width="9" style="390"/>
    <col min="14599" max="14599" width="9.375" style="390" customWidth="1"/>
    <col min="14600" max="14601" width="9" style="390"/>
    <col min="14602" max="14602" width="9.375" style="390" customWidth="1"/>
    <col min="14603" max="14603" width="4" style="390" customWidth="1"/>
    <col min="14604" max="14604" width="5.125" style="390" customWidth="1"/>
    <col min="14605" max="14605" width="13.75" style="390" customWidth="1"/>
    <col min="14606" max="14848" width="9" style="390"/>
    <col min="14849" max="14849" width="4.875" style="390" customWidth="1"/>
    <col min="14850" max="14850" width="13.25" style="390" customWidth="1"/>
    <col min="14851" max="14851" width="15.625" style="390" customWidth="1"/>
    <col min="14852" max="14852" width="9.375" style="390" customWidth="1"/>
    <col min="14853" max="14853" width="13.5" style="390" customWidth="1"/>
    <col min="14854" max="14854" width="9" style="390"/>
    <col min="14855" max="14855" width="9.375" style="390" customWidth="1"/>
    <col min="14856" max="14857" width="9" style="390"/>
    <col min="14858" max="14858" width="9.375" style="390" customWidth="1"/>
    <col min="14859" max="14859" width="4" style="390" customWidth="1"/>
    <col min="14860" max="14860" width="5.125" style="390" customWidth="1"/>
    <col min="14861" max="14861" width="13.75" style="390" customWidth="1"/>
    <col min="14862" max="15104" width="9" style="390"/>
    <col min="15105" max="15105" width="4.875" style="390" customWidth="1"/>
    <col min="15106" max="15106" width="13.25" style="390" customWidth="1"/>
    <col min="15107" max="15107" width="15.625" style="390" customWidth="1"/>
    <col min="15108" max="15108" width="9.375" style="390" customWidth="1"/>
    <col min="15109" max="15109" width="13.5" style="390" customWidth="1"/>
    <col min="15110" max="15110" width="9" style="390"/>
    <col min="15111" max="15111" width="9.375" style="390" customWidth="1"/>
    <col min="15112" max="15113" width="9" style="390"/>
    <col min="15114" max="15114" width="9.375" style="390" customWidth="1"/>
    <col min="15115" max="15115" width="4" style="390" customWidth="1"/>
    <col min="15116" max="15116" width="5.125" style="390" customWidth="1"/>
    <col min="15117" max="15117" width="13.75" style="390" customWidth="1"/>
    <col min="15118" max="15360" width="9" style="390"/>
    <col min="15361" max="15361" width="4.875" style="390" customWidth="1"/>
    <col min="15362" max="15362" width="13.25" style="390" customWidth="1"/>
    <col min="15363" max="15363" width="15.625" style="390" customWidth="1"/>
    <col min="15364" max="15364" width="9.375" style="390" customWidth="1"/>
    <col min="15365" max="15365" width="13.5" style="390" customWidth="1"/>
    <col min="15366" max="15366" width="9" style="390"/>
    <col min="15367" max="15367" width="9.375" style="390" customWidth="1"/>
    <col min="15368" max="15369" width="9" style="390"/>
    <col min="15370" max="15370" width="9.375" style="390" customWidth="1"/>
    <col min="15371" max="15371" width="4" style="390" customWidth="1"/>
    <col min="15372" max="15372" width="5.125" style="390" customWidth="1"/>
    <col min="15373" max="15373" width="13.75" style="390" customWidth="1"/>
    <col min="15374" max="15616" width="9" style="390"/>
    <col min="15617" max="15617" width="4.875" style="390" customWidth="1"/>
    <col min="15618" max="15618" width="13.25" style="390" customWidth="1"/>
    <col min="15619" max="15619" width="15.625" style="390" customWidth="1"/>
    <col min="15620" max="15620" width="9.375" style="390" customWidth="1"/>
    <col min="15621" max="15621" width="13.5" style="390" customWidth="1"/>
    <col min="15622" max="15622" width="9" style="390"/>
    <col min="15623" max="15623" width="9.375" style="390" customWidth="1"/>
    <col min="15624" max="15625" width="9" style="390"/>
    <col min="15626" max="15626" width="9.375" style="390" customWidth="1"/>
    <col min="15627" max="15627" width="4" style="390" customWidth="1"/>
    <col min="15628" max="15628" width="5.125" style="390" customWidth="1"/>
    <col min="15629" max="15629" width="13.75" style="390" customWidth="1"/>
    <col min="15630" max="15872" width="9" style="390"/>
    <col min="15873" max="15873" width="4.875" style="390" customWidth="1"/>
    <col min="15874" max="15874" width="13.25" style="390" customWidth="1"/>
    <col min="15875" max="15875" width="15.625" style="390" customWidth="1"/>
    <col min="15876" max="15876" width="9.375" style="390" customWidth="1"/>
    <col min="15877" max="15877" width="13.5" style="390" customWidth="1"/>
    <col min="15878" max="15878" width="9" style="390"/>
    <col min="15879" max="15879" width="9.375" style="390" customWidth="1"/>
    <col min="15880" max="15881" width="9" style="390"/>
    <col min="15882" max="15882" width="9.375" style="390" customWidth="1"/>
    <col min="15883" max="15883" width="4" style="390" customWidth="1"/>
    <col min="15884" max="15884" width="5.125" style="390" customWidth="1"/>
    <col min="15885" max="15885" width="13.75" style="390" customWidth="1"/>
    <col min="15886" max="16128" width="9" style="390"/>
    <col min="16129" max="16129" width="4.875" style="390" customWidth="1"/>
    <col min="16130" max="16130" width="13.25" style="390" customWidth="1"/>
    <col min="16131" max="16131" width="15.625" style="390" customWidth="1"/>
    <col min="16132" max="16132" width="9.375" style="390" customWidth="1"/>
    <col min="16133" max="16133" width="13.5" style="390" customWidth="1"/>
    <col min="16134" max="16134" width="9" style="390"/>
    <col min="16135" max="16135" width="9.375" style="390" customWidth="1"/>
    <col min="16136" max="16137" width="9" style="390"/>
    <col min="16138" max="16138" width="9.375" style="390" customWidth="1"/>
    <col min="16139" max="16139" width="4" style="390" customWidth="1"/>
    <col min="16140" max="16140" width="5.125" style="390" customWidth="1"/>
    <col min="16141" max="16141" width="13.75" style="390" customWidth="1"/>
    <col min="16142" max="16384" width="9" style="390"/>
  </cols>
  <sheetData>
    <row r="1" spans="1:257" s="386" customFormat="1">
      <c r="A1" s="391"/>
      <c r="B1" s="392" t="s">
        <v>2386</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2387</v>
      </c>
      <c r="C2" s="397">
        <f>'数据-取费表'!B22</f>
        <v>3</v>
      </c>
      <c r="D2" s="392" t="s">
        <v>2388</v>
      </c>
      <c r="E2" s="398">
        <f ca="1">INDIRECT("I"&amp;$I$1)/100</f>
        <v>4.7500000000000001E-2</v>
      </c>
      <c r="G2" s="395"/>
      <c r="H2" s="395"/>
      <c r="I2" s="395" t="s">
        <v>2388</v>
      </c>
      <c r="K2" s="395"/>
      <c r="L2" s="395"/>
      <c r="M2" s="395"/>
      <c r="N2" s="395" t="s">
        <v>2389</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2390</v>
      </c>
      <c r="C3" s="399">
        <f>'数据-取费表'!B19</f>
        <v>0</v>
      </c>
      <c r="D3" s="392" t="s">
        <v>2388</v>
      </c>
      <c r="E3" s="398">
        <f ca="1">INDIRECT("J"&amp;$J$1)/100</f>
        <v>0</v>
      </c>
      <c r="G3" s="400" t="s">
        <v>2391</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2392</v>
      </c>
      <c r="C4" s="398">
        <f ca="1">N4/100</f>
        <v>1.4999999999999999E-2</v>
      </c>
      <c r="G4" s="402" t="s">
        <v>2393</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2394</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2395</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2396</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25">
      <c r="A9" s="409"/>
      <c r="B9" s="410" t="s">
        <v>2397</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5">
      <c r="A10" s="413"/>
      <c r="B10" s="414" t="s">
        <v>2398</v>
      </c>
      <c r="C10" s="413"/>
      <c r="D10" s="413"/>
      <c r="E10" s="413"/>
      <c r="F10" s="413"/>
      <c r="G10" s="413"/>
      <c r="H10" s="413"/>
      <c r="I10" s="388"/>
      <c r="J10" s="388"/>
      <c r="K10" s="413"/>
      <c r="L10" s="414" t="s">
        <v>2399</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2400</v>
      </c>
      <c r="C11" s="417" t="s">
        <v>2401</v>
      </c>
      <c r="D11" s="418" t="s">
        <v>2402</v>
      </c>
      <c r="E11" s="419"/>
      <c r="F11" s="418" t="s">
        <v>2403</v>
      </c>
      <c r="G11" s="420"/>
      <c r="H11" s="419"/>
      <c r="I11" s="418" t="s">
        <v>2404</v>
      </c>
      <c r="J11" s="419"/>
      <c r="K11" s="415"/>
      <c r="L11" s="416" t="s">
        <v>2400</v>
      </c>
      <c r="M11" s="417" t="s">
        <v>2401</v>
      </c>
      <c r="N11" s="416" t="s">
        <v>2405</v>
      </c>
      <c r="O11" s="418" t="s">
        <v>2406</v>
      </c>
      <c r="P11" s="420"/>
      <c r="Q11" s="420"/>
      <c r="R11" s="420"/>
      <c r="S11" s="420"/>
      <c r="T11" s="419"/>
      <c r="U11" s="418" t="s">
        <v>2407</v>
      </c>
      <c r="V11" s="420"/>
      <c r="W11" s="419"/>
      <c r="X11" s="416" t="s">
        <v>2408</v>
      </c>
      <c r="Y11" s="416" t="s">
        <v>2409</v>
      </c>
      <c r="Z11" s="416" t="s">
        <v>2410</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2411</v>
      </c>
      <c r="E12" s="424" t="s">
        <v>2393</v>
      </c>
      <c r="F12" s="424" t="s">
        <v>2394</v>
      </c>
      <c r="G12" s="424" t="s">
        <v>2395</v>
      </c>
      <c r="H12" s="424" t="s">
        <v>2396</v>
      </c>
      <c r="I12" s="444" t="s">
        <v>2412</v>
      </c>
      <c r="J12" s="444" t="s">
        <v>2412</v>
      </c>
      <c r="K12" s="421"/>
      <c r="L12" s="422"/>
      <c r="M12" s="423"/>
      <c r="N12" s="422"/>
      <c r="O12" s="444" t="s">
        <v>2413</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14.25">
      <c r="A13" s="425"/>
      <c r="B13" s="426" t="s">
        <v>2414</v>
      </c>
      <c r="C13" s="427">
        <v>42301</v>
      </c>
      <c r="D13" s="428">
        <v>4.3499999999999996</v>
      </c>
      <c r="E13" s="428">
        <v>4.3499999999999996</v>
      </c>
      <c r="F13" s="428">
        <v>4.75</v>
      </c>
      <c r="G13" s="428">
        <v>4.75</v>
      </c>
      <c r="H13" s="428">
        <v>4.9000000000000004</v>
      </c>
      <c r="I13" s="428">
        <v>2.75</v>
      </c>
      <c r="J13" s="428">
        <v>3.25</v>
      </c>
      <c r="K13" s="425"/>
      <c r="L13" s="426" t="s">
        <v>2414</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5">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34" sqref="B34"/>
    </sheetView>
  </sheetViews>
  <sheetFormatPr defaultColWidth="9" defaultRowHeight="12.75"/>
  <cols>
    <col min="1" max="1" width="11.5" style="275" customWidth="1"/>
    <col min="2" max="2" width="9.2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2208</v>
      </c>
      <c r="C1" s="3459" t="s">
        <v>2209</v>
      </c>
      <c r="D1" s="3460"/>
      <c r="E1" s="3460"/>
      <c r="F1" s="3460"/>
      <c r="G1" s="3460"/>
      <c r="H1" s="3460"/>
      <c r="I1" s="3460"/>
      <c r="J1" s="3460"/>
      <c r="K1" s="3460"/>
      <c r="L1" s="3460"/>
      <c r="M1" s="3460"/>
      <c r="N1" s="3460"/>
      <c r="O1" s="3460"/>
      <c r="P1" s="3460"/>
      <c r="Q1" s="3460"/>
      <c r="R1" s="3460"/>
      <c r="S1" s="3461"/>
      <c r="T1" s="279" t="s">
        <v>2210</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38.25">
      <c r="A2" s="280"/>
      <c r="B2" s="281" t="s">
        <v>2211</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2415</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2212</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2213</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2214</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2215</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2216</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2217</v>
      </c>
      <c r="B17" s="308" t="s">
        <v>1188</v>
      </c>
      <c r="C17" s="309">
        <v>1</v>
      </c>
      <c r="D17" s="310">
        <v>2</v>
      </c>
      <c r="E17" s="311" t="s">
        <v>2416</v>
      </c>
      <c r="F17" s="311" t="s">
        <v>2417</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75">
      <c r="A20" s="319" t="s">
        <v>2218</v>
      </c>
      <c r="B20" s="17">
        <f>S22</f>
        <v>55876</v>
      </c>
      <c r="C20" s="318"/>
      <c r="D20" s="318"/>
      <c r="E20" s="318"/>
      <c r="F20" s="318"/>
      <c r="G20" s="318"/>
      <c r="H20" s="318"/>
      <c r="I20" s="318"/>
      <c r="J20" s="318"/>
      <c r="K20" s="318"/>
      <c r="L20" s="318"/>
      <c r="M20" s="318"/>
      <c r="N20" s="318"/>
      <c r="O20" s="318"/>
      <c r="P20" s="318"/>
      <c r="Q20" s="318"/>
      <c r="R20" s="376"/>
      <c r="S20" s="377"/>
    </row>
    <row r="21" spans="1:45" ht="15.75">
      <c r="A21" s="319" t="s">
        <v>2219</v>
      </c>
      <c r="B21" s="17">
        <f>R22</f>
        <v>18216</v>
      </c>
      <c r="C21" s="318"/>
      <c r="D21" s="318"/>
      <c r="E21" s="318"/>
      <c r="F21" s="318"/>
      <c r="G21" s="318"/>
      <c r="H21" s="318"/>
      <c r="I21" s="318"/>
      <c r="J21" s="318"/>
      <c r="K21" s="318"/>
      <c r="L21" s="318"/>
      <c r="M21" s="318"/>
      <c r="N21" s="318"/>
      <c r="O21" s="318"/>
      <c r="P21" s="318"/>
      <c r="Q21" s="318"/>
      <c r="R21" s="376"/>
      <c r="S21" s="377"/>
    </row>
    <row r="22" spans="1:45">
      <c r="A22" s="51" t="s">
        <v>2220</v>
      </c>
      <c r="B22" s="79">
        <f>SUM(B24:B10000)</f>
        <v>30674.77</v>
      </c>
      <c r="C22" s="3462" t="s">
        <v>138</v>
      </c>
      <c r="D22" s="3463"/>
      <c r="E22" s="3463"/>
      <c r="F22" s="3463"/>
      <c r="G22" s="3463"/>
      <c r="H22" s="3463"/>
      <c r="I22" s="3463"/>
      <c r="J22" s="3463"/>
      <c r="K22" s="3463"/>
      <c r="L22" s="3463"/>
      <c r="M22" s="3463"/>
      <c r="N22" s="3463"/>
      <c r="O22" s="3463"/>
      <c r="P22" s="3463"/>
      <c r="Q22" s="3464"/>
      <c r="R22" s="379">
        <f>ROUND(S22*10000/B22,0)</f>
        <v>18216</v>
      </c>
      <c r="S22" s="79">
        <f>SUM(S24:S10000)</f>
        <v>55876</v>
      </c>
    </row>
    <row r="23" spans="1:45" s="273" customFormat="1" ht="24">
      <c r="A23" s="321" t="s">
        <v>2221</v>
      </c>
      <c r="B23" s="321" t="s">
        <v>443</v>
      </c>
      <c r="C23" s="321" t="s">
        <v>1248</v>
      </c>
      <c r="D23" s="321" t="str">
        <f>B5</f>
        <v>修正项2</v>
      </c>
      <c r="E23" s="321" t="s">
        <v>1248</v>
      </c>
      <c r="F23" s="321" t="str">
        <f>B7</f>
        <v>修正项3</v>
      </c>
      <c r="G23" s="321" t="s">
        <v>1248</v>
      </c>
      <c r="H23" s="321" t="str">
        <f>B9</f>
        <v>修正项4</v>
      </c>
      <c r="I23" s="321" t="s">
        <v>1248</v>
      </c>
      <c r="J23" s="321" t="str">
        <f>B11</f>
        <v>修正项5</v>
      </c>
      <c r="K23" s="321" t="s">
        <v>1248</v>
      </c>
      <c r="L23" s="321" t="str">
        <f>B13</f>
        <v>修正项6</v>
      </c>
      <c r="M23" s="321" t="s">
        <v>1248</v>
      </c>
      <c r="N23" s="321" t="str">
        <f>B15</f>
        <v>修正项7</v>
      </c>
      <c r="O23" s="321" t="s">
        <v>1248</v>
      </c>
      <c r="P23" s="321" t="str">
        <f>B17</f>
        <v>楼层</v>
      </c>
      <c r="Q23" s="321" t="s">
        <v>1248</v>
      </c>
      <c r="R23" s="380" t="s">
        <v>2222</v>
      </c>
      <c r="S23" s="321" t="s">
        <v>2223</v>
      </c>
      <c r="T23" s="381"/>
      <c r="U23" s="381"/>
      <c r="V23" s="381"/>
      <c r="W23" s="381"/>
      <c r="X23" s="381"/>
      <c r="Y23" s="381"/>
      <c r="Z23" s="381"/>
      <c r="AA23" s="381"/>
      <c r="AB23" s="381"/>
      <c r="AC23" s="381"/>
      <c r="AD23" s="381"/>
      <c r="AE23" s="381"/>
      <c r="AF23" s="381"/>
      <c r="AG23" s="381"/>
      <c r="AH23" s="381"/>
      <c r="AI23" s="381"/>
    </row>
    <row r="24" spans="1:45" s="274" customFormat="1">
      <c r="A24" s="3173" t="s">
        <v>2424</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2425</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2426</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2416</v>
      </c>
      <c r="Q26" s="79">
        <f t="shared" ref="Q26:Q89" si="13">(SUMIF($17:$17,P26,$18:$18)-SUMIF($17:$17,$P$24,$18:$18)+100)/100</f>
        <v>0.5</v>
      </c>
      <c r="R26" s="379">
        <f t="shared" ref="R26:R89" si="14">IF(B26="",0,ROUND($R$24*C26*E26*G26*I26*K26*M26*O26*Q26,0))</f>
        <v>13110</v>
      </c>
      <c r="S26" s="51">
        <f t="shared" si="5"/>
        <v>8209</v>
      </c>
    </row>
    <row r="27" spans="1:45">
      <c r="A27" s="325" t="s">
        <v>2427</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2417</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zoomScale="50" zoomScaleNormal="50" workbookViewId="0">
      <selection activeCell="AB40" sqref="AB40"/>
    </sheetView>
  </sheetViews>
  <sheetFormatPr defaultColWidth="9"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6" sqref="M36"/>
    </sheetView>
  </sheetViews>
  <sheetFormatPr defaultColWidth="9" defaultRowHeight="14.25"/>
  <cols>
    <col min="1" max="1" width="10.5" style="460" customWidth="1"/>
    <col min="2" max="2" width="15.75" style="460" customWidth="1"/>
    <col min="3" max="3" width="16.5" style="460" customWidth="1"/>
    <col min="4" max="4" width="12.25" style="460" customWidth="1"/>
    <col min="5" max="5" width="14.375" style="460" customWidth="1"/>
    <col min="6" max="6" width="12.25" style="460" customWidth="1"/>
    <col min="7" max="7" width="14.5" style="460" customWidth="1"/>
    <col min="8" max="8" width="12.25" style="460" customWidth="1"/>
    <col min="9" max="9" width="14.5" style="460" customWidth="1"/>
    <col min="10" max="10" width="12.25" style="460" customWidth="1"/>
    <col min="11" max="11" width="12.25" style="461" customWidth="1"/>
    <col min="12" max="12" width="12.25" style="462" customWidth="1"/>
    <col min="13" max="15" width="12.25" style="460" customWidth="1"/>
    <col min="16" max="16" width="4.75" style="460" customWidth="1"/>
    <col min="17" max="17" width="19.5" style="460" customWidth="1"/>
    <col min="18" max="22" width="6.125" style="460" customWidth="1"/>
    <col min="23" max="23" width="5.75" style="460" customWidth="1"/>
    <col min="24" max="24" width="4.25" style="460" customWidth="1"/>
    <col min="25" max="25" width="3.5" style="460" customWidth="1"/>
    <col min="26" max="26" width="19.75" style="460" customWidth="1"/>
    <col min="27" max="28" width="9.375" style="460" customWidth="1"/>
    <col min="29" max="16384" width="9" style="460"/>
  </cols>
  <sheetData>
    <row r="1" spans="1:29" s="454" customFormat="1" ht="28.5" customHeight="1">
      <c r="A1" s="463" t="s">
        <v>2153</v>
      </c>
      <c r="B1" s="464" t="s">
        <v>372</v>
      </c>
      <c r="C1" s="465" t="s">
        <v>2155</v>
      </c>
      <c r="D1" s="466" t="s">
        <v>373</v>
      </c>
      <c r="E1" s="467"/>
      <c r="F1" s="468" t="s">
        <v>2156</v>
      </c>
      <c r="G1" s="469" t="s">
        <v>2157</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2158</v>
      </c>
      <c r="B3" s="475">
        <f>IF(B37="元/平方米",C39,ROUND(B2*10000/D3,0))</f>
        <v>2485</v>
      </c>
      <c r="C3" s="476" t="s">
        <v>2159</v>
      </c>
      <c r="D3" s="477">
        <f>SUMIF('数据-汇总表'!$C19:$C33,D1,'数据-汇总表'!$E19:$E33)</f>
        <v>125369.60000000001</v>
      </c>
      <c r="E3" s="760" t="s">
        <v>2374</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5">
      <c r="A4" s="478" t="s">
        <v>930</v>
      </c>
      <c r="B4" s="479"/>
      <c r="C4" s="3358" t="s">
        <v>931</v>
      </c>
      <c r="D4" s="3359"/>
      <c r="E4" s="3358" t="s">
        <v>932</v>
      </c>
      <c r="F4" s="3359"/>
      <c r="G4" s="3358" t="s">
        <v>933</v>
      </c>
      <c r="H4" s="3359"/>
      <c r="I4" s="3358" t="s">
        <v>934</v>
      </c>
      <c r="J4" s="3359"/>
      <c r="K4" s="640" t="s">
        <v>935</v>
      </c>
      <c r="L4" s="641"/>
      <c r="M4" s="642"/>
      <c r="N4" s="642"/>
      <c r="O4" s="642"/>
      <c r="P4" s="3386" t="s">
        <v>936</v>
      </c>
      <c r="Q4" s="3387"/>
      <c r="R4" s="3392" t="s">
        <v>932</v>
      </c>
      <c r="S4" s="3393"/>
      <c r="T4" s="3392" t="s">
        <v>933</v>
      </c>
      <c r="U4" s="3393"/>
      <c r="V4" s="3378" t="s">
        <v>934</v>
      </c>
      <c r="W4" s="3378"/>
      <c r="X4" s="707"/>
      <c r="Y4" s="3392" t="s">
        <v>936</v>
      </c>
      <c r="Z4" s="3393"/>
      <c r="AA4" s="3379" t="s">
        <v>932</v>
      </c>
      <c r="AB4" s="3380" t="s">
        <v>933</v>
      </c>
      <c r="AC4" s="3379" t="s">
        <v>934</v>
      </c>
    </row>
    <row r="5" spans="1:29" ht="15">
      <c r="A5" s="480"/>
      <c r="B5" s="481"/>
      <c r="C5" s="3360" t="s">
        <v>937</v>
      </c>
      <c r="D5" s="3361"/>
      <c r="E5" s="3455" t="s">
        <v>2434</v>
      </c>
      <c r="F5" s="3361"/>
      <c r="G5" s="3455" t="s">
        <v>2435</v>
      </c>
      <c r="H5" s="3361"/>
      <c r="I5" s="3455" t="s">
        <v>2436</v>
      </c>
      <c r="J5" s="3361"/>
      <c r="K5" s="640"/>
      <c r="L5" s="641"/>
      <c r="M5" s="642"/>
      <c r="N5" s="642"/>
      <c r="O5" s="642"/>
      <c r="P5" s="3388"/>
      <c r="Q5" s="3389"/>
      <c r="R5" s="3394"/>
      <c r="S5" s="3395"/>
      <c r="T5" s="3394"/>
      <c r="U5" s="3395"/>
      <c r="V5" s="3378"/>
      <c r="W5" s="3378"/>
      <c r="X5" s="707"/>
      <c r="Y5" s="3394"/>
      <c r="Z5" s="3395"/>
      <c r="AA5" s="3380"/>
      <c r="AB5" s="3380"/>
      <c r="AC5" s="3380"/>
    </row>
    <row r="6" spans="1:29" ht="15">
      <c r="A6" s="482"/>
      <c r="B6" s="483"/>
      <c r="C6" s="3364" t="s">
        <v>938</v>
      </c>
      <c r="D6" s="3365"/>
      <c r="E6" s="3362" t="s">
        <v>938</v>
      </c>
      <c r="F6" s="3363"/>
      <c r="G6" s="3364" t="s">
        <v>938</v>
      </c>
      <c r="H6" s="3365"/>
      <c r="I6" s="3364" t="s">
        <v>938</v>
      </c>
      <c r="J6" s="3365"/>
      <c r="K6" s="640" t="s">
        <v>939</v>
      </c>
      <c r="L6" s="641"/>
      <c r="M6" s="642"/>
      <c r="N6" s="642"/>
      <c r="O6" s="642"/>
      <c r="P6" s="3390"/>
      <c r="Q6" s="3391"/>
      <c r="R6" s="3394"/>
      <c r="S6" s="3395"/>
      <c r="T6" s="3396"/>
      <c r="U6" s="3397"/>
      <c r="V6" s="3378"/>
      <c r="W6" s="3378"/>
      <c r="X6" s="707"/>
      <c r="Y6" s="3396"/>
      <c r="Z6" s="3397"/>
      <c r="AA6" s="3381"/>
      <c r="AB6" s="3381"/>
      <c r="AC6" s="3381"/>
    </row>
    <row r="7" spans="1:29" s="455" customFormat="1" ht="15">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66" t="s">
        <v>941</v>
      </c>
      <c r="Q7" s="3367"/>
      <c r="R7" s="708" t="s">
        <v>942</v>
      </c>
      <c r="S7" s="709">
        <f t="shared" ref="S7:S14" si="0">F7</f>
        <v>100</v>
      </c>
      <c r="T7" s="708" t="s">
        <v>942</v>
      </c>
      <c r="U7" s="709">
        <f t="shared" ref="U7:U14" si="1">H7</f>
        <v>100</v>
      </c>
      <c r="V7" s="708" t="s">
        <v>942</v>
      </c>
      <c r="W7" s="709">
        <f t="shared" ref="W7:W14" si="2">J7</f>
        <v>100</v>
      </c>
      <c r="X7" s="710"/>
      <c r="Y7" s="3366" t="s">
        <v>941</v>
      </c>
      <c r="Z7" s="3398"/>
      <c r="AA7" s="727">
        <f>D7/F7</f>
        <v>1</v>
      </c>
      <c r="AB7" s="727">
        <f>D7/H7</f>
        <v>1</v>
      </c>
      <c r="AC7" s="727">
        <f>D7/J7</f>
        <v>1</v>
      </c>
    </row>
    <row r="8" spans="1:29" s="455" customFormat="1" ht="15">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66" t="s">
        <v>945</v>
      </c>
      <c r="Q8" s="3398"/>
      <c r="R8" s="708" t="s">
        <v>942</v>
      </c>
      <c r="S8" s="709">
        <f t="shared" si="0"/>
        <v>100</v>
      </c>
      <c r="T8" s="708" t="s">
        <v>942</v>
      </c>
      <c r="U8" s="709">
        <f t="shared" si="1"/>
        <v>100</v>
      </c>
      <c r="V8" s="708" t="s">
        <v>942</v>
      </c>
      <c r="W8" s="709">
        <f t="shared" si="2"/>
        <v>100</v>
      </c>
      <c r="X8" s="710"/>
      <c r="Y8" s="3366" t="s">
        <v>945</v>
      </c>
      <c r="Z8" s="3398"/>
      <c r="AA8" s="727">
        <f t="shared" ref="AA8:AA36" si="3">D8/F8</f>
        <v>1</v>
      </c>
      <c r="AB8" s="727">
        <f t="shared" ref="AB8:AB36" si="4">D8/H8</f>
        <v>1</v>
      </c>
      <c r="AC8" s="727">
        <f t="shared" ref="AC8:AC36" si="5">D8/J8</f>
        <v>1</v>
      </c>
    </row>
    <row r="9" spans="1:29" s="455" customFormat="1" ht="15">
      <c r="A9" s="494"/>
      <c r="B9" s="495" t="s">
        <v>946</v>
      </c>
      <c r="C9" s="920" t="s">
        <v>2437</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69" t="s">
        <v>948</v>
      </c>
      <c r="Q9" s="711" t="str">
        <f t="shared" ref="Q9:Q14" si="6">B9</f>
        <v>用途</v>
      </c>
      <c r="R9" s="708" t="s">
        <v>942</v>
      </c>
      <c r="S9" s="709">
        <f t="shared" si="0"/>
        <v>100</v>
      </c>
      <c r="T9" s="708" t="s">
        <v>942</v>
      </c>
      <c r="U9" s="709">
        <f t="shared" si="1"/>
        <v>100</v>
      </c>
      <c r="V9" s="708" t="s">
        <v>942</v>
      </c>
      <c r="W9" s="709">
        <f t="shared" si="2"/>
        <v>100</v>
      </c>
      <c r="X9" s="710"/>
      <c r="Y9" s="3357" t="s">
        <v>949</v>
      </c>
      <c r="Z9" s="728" t="str">
        <f t="shared" ref="Z9:Z14" si="7">Q9</f>
        <v>用途</v>
      </c>
      <c r="AA9" s="727">
        <f t="shared" si="3"/>
        <v>1</v>
      </c>
      <c r="AB9" s="727">
        <f t="shared" si="4"/>
        <v>1</v>
      </c>
      <c r="AC9" s="727">
        <f t="shared" si="5"/>
        <v>1</v>
      </c>
    </row>
    <row r="10" spans="1:29" s="456" customFormat="1" ht="27">
      <c r="A10" s="499"/>
      <c r="B10" s="492" t="s">
        <v>950</v>
      </c>
      <c r="C10" s="500" t="s">
        <v>2428</v>
      </c>
      <c r="D10" s="501">
        <v>100</v>
      </c>
      <c r="E10" s="500" t="s">
        <v>2428</v>
      </c>
      <c r="F10" s="501">
        <f>SUMIF(55:55,E10,56:56)-SUMIF(55:55,C10,56:56)+100</f>
        <v>100</v>
      </c>
      <c r="G10" s="502" t="s">
        <v>2428</v>
      </c>
      <c r="H10" s="501">
        <f>SUMIF(55:55,G10,56:56)-SUMIF(55:55,C10,56:56)+100</f>
        <v>100</v>
      </c>
      <c r="I10" s="500" t="s">
        <v>2160</v>
      </c>
      <c r="J10" s="501">
        <f>SUMIF(55:55,I10,56:56)-SUMIF(55:55,C10,56:56)+100</f>
        <v>105</v>
      </c>
      <c r="K10" s="648">
        <v>5</v>
      </c>
      <c r="L10" s="649"/>
      <c r="M10" s="650"/>
      <c r="N10" s="650"/>
      <c r="O10" s="651"/>
      <c r="P10" s="3369"/>
      <c r="Q10" s="711" t="str">
        <f t="shared" si="6"/>
        <v>土地使用年限（年）</v>
      </c>
      <c r="R10" s="708" t="s">
        <v>942</v>
      </c>
      <c r="S10" s="709">
        <f t="shared" si="0"/>
        <v>100</v>
      </c>
      <c r="T10" s="708" t="s">
        <v>942</v>
      </c>
      <c r="U10" s="709">
        <f t="shared" si="1"/>
        <v>100</v>
      </c>
      <c r="V10" s="708" t="s">
        <v>942</v>
      </c>
      <c r="W10" s="709">
        <f t="shared" si="2"/>
        <v>105</v>
      </c>
      <c r="X10" s="710"/>
      <c r="Y10" s="3357"/>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69"/>
      <c r="Q11" s="711">
        <f t="shared" si="6"/>
        <v>111</v>
      </c>
      <c r="R11" s="708" t="s">
        <v>942</v>
      </c>
      <c r="S11" s="709">
        <f t="shared" si="0"/>
        <v>100</v>
      </c>
      <c r="T11" s="708" t="s">
        <v>942</v>
      </c>
      <c r="U11" s="709">
        <f t="shared" si="1"/>
        <v>100</v>
      </c>
      <c r="V11" s="708" t="s">
        <v>942</v>
      </c>
      <c r="W11" s="709">
        <f t="shared" si="2"/>
        <v>100</v>
      </c>
      <c r="X11" s="710"/>
      <c r="Y11" s="3357"/>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69"/>
      <c r="Q12" s="711">
        <f t="shared" si="6"/>
        <v>111</v>
      </c>
      <c r="R12" s="708" t="s">
        <v>942</v>
      </c>
      <c r="S12" s="709">
        <f t="shared" si="0"/>
        <v>100</v>
      </c>
      <c r="T12" s="708" t="s">
        <v>942</v>
      </c>
      <c r="U12" s="709">
        <f t="shared" si="1"/>
        <v>100</v>
      </c>
      <c r="V12" s="708" t="s">
        <v>942</v>
      </c>
      <c r="W12" s="709">
        <f t="shared" si="2"/>
        <v>100</v>
      </c>
      <c r="X12" s="710"/>
      <c r="Y12" s="3357"/>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69"/>
      <c r="Q13" s="711">
        <f t="shared" si="6"/>
        <v>111</v>
      </c>
      <c r="R13" s="708" t="s">
        <v>942</v>
      </c>
      <c r="S13" s="709">
        <f t="shared" si="0"/>
        <v>100</v>
      </c>
      <c r="T13" s="708" t="s">
        <v>942</v>
      </c>
      <c r="U13" s="709">
        <f t="shared" si="1"/>
        <v>100</v>
      </c>
      <c r="V13" s="708" t="s">
        <v>942</v>
      </c>
      <c r="W13" s="709">
        <f t="shared" si="2"/>
        <v>100</v>
      </c>
      <c r="X13" s="710"/>
      <c r="Y13" s="3357"/>
      <c r="Z13" s="728">
        <f t="shared" si="7"/>
        <v>111</v>
      </c>
      <c r="AA13" s="727">
        <f t="shared" si="3"/>
        <v>1</v>
      </c>
      <c r="AB13" s="727">
        <f t="shared" si="4"/>
        <v>1</v>
      </c>
      <c r="AC13" s="727">
        <f t="shared" si="5"/>
        <v>1</v>
      </c>
    </row>
    <row r="14" spans="1:29" ht="71.25">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70" t="s">
        <v>955</v>
      </c>
      <c r="Q14" s="647" t="str">
        <f t="shared" si="6"/>
        <v>交通便捷度</v>
      </c>
      <c r="R14" s="712" t="s">
        <v>942</v>
      </c>
      <c r="S14" s="713">
        <f t="shared" si="0"/>
        <v>100</v>
      </c>
      <c r="T14" s="712" t="s">
        <v>942</v>
      </c>
      <c r="U14" s="713">
        <f t="shared" si="1"/>
        <v>100</v>
      </c>
      <c r="V14" s="712" t="s">
        <v>942</v>
      </c>
      <c r="W14" s="713">
        <f t="shared" si="2"/>
        <v>102</v>
      </c>
      <c r="X14" s="707"/>
      <c r="Y14" s="3370"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2233</v>
      </c>
      <c r="J15" s="522"/>
      <c r="K15" s="657"/>
      <c r="L15" s="655"/>
      <c r="M15" s="642"/>
      <c r="N15" s="642"/>
      <c r="O15" s="654"/>
      <c r="P15" s="3371"/>
      <c r="Q15" s="647"/>
      <c r="R15" s="712"/>
      <c r="S15" s="713"/>
      <c r="T15" s="712"/>
      <c r="U15" s="713"/>
      <c r="V15" s="712"/>
      <c r="W15" s="713"/>
      <c r="X15" s="707"/>
      <c r="Y15" s="3371"/>
      <c r="Z15" s="706"/>
      <c r="AA15" s="718">
        <v>1</v>
      </c>
      <c r="AB15" s="718">
        <v>1</v>
      </c>
      <c r="AC15" s="718">
        <v>1</v>
      </c>
    </row>
    <row r="16" spans="1:29" ht="42.75">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71"/>
      <c r="Q16" s="647" t="str">
        <f>B16</f>
        <v>公共配套设施</v>
      </c>
      <c r="R16" s="712" t="s">
        <v>942</v>
      </c>
      <c r="S16" s="713">
        <f>F16</f>
        <v>100</v>
      </c>
      <c r="T16" s="712" t="s">
        <v>942</v>
      </c>
      <c r="U16" s="713">
        <f>H16</f>
        <v>100</v>
      </c>
      <c r="V16" s="712" t="s">
        <v>942</v>
      </c>
      <c r="W16" s="713">
        <f>J16</f>
        <v>100</v>
      </c>
      <c r="X16" s="707"/>
      <c r="Y16" s="3371"/>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71"/>
      <c r="Q17" s="647"/>
      <c r="R17" s="712"/>
      <c r="S17" s="713"/>
      <c r="T17" s="712"/>
      <c r="U17" s="713"/>
      <c r="V17" s="712"/>
      <c r="W17" s="713"/>
      <c r="X17" s="707"/>
      <c r="Y17" s="3371"/>
      <c r="Z17" s="706"/>
      <c r="AA17" s="718">
        <v>1</v>
      </c>
      <c r="AB17" s="718">
        <v>1</v>
      </c>
      <c r="AC17" s="718">
        <v>1</v>
      </c>
    </row>
    <row r="18" spans="1:29" ht="28.5">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71"/>
      <c r="Q18" s="647" t="str">
        <f>B18</f>
        <v>基础设施水平</v>
      </c>
      <c r="R18" s="712" t="s">
        <v>942</v>
      </c>
      <c r="S18" s="713">
        <f>F18</f>
        <v>100</v>
      </c>
      <c r="T18" s="712" t="s">
        <v>942</v>
      </c>
      <c r="U18" s="713">
        <f>H18</f>
        <v>100</v>
      </c>
      <c r="V18" s="712" t="s">
        <v>942</v>
      </c>
      <c r="W18" s="713">
        <f>J18</f>
        <v>100</v>
      </c>
      <c r="X18" s="707"/>
      <c r="Y18" s="3371"/>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71"/>
      <c r="Q19" s="647"/>
      <c r="R19" s="712"/>
      <c r="S19" s="713"/>
      <c r="T19" s="712"/>
      <c r="U19" s="713"/>
      <c r="V19" s="712"/>
      <c r="W19" s="713"/>
      <c r="X19" s="707"/>
      <c r="Y19" s="3371"/>
      <c r="Z19" s="706"/>
      <c r="AA19" s="718">
        <v>1</v>
      </c>
      <c r="AB19" s="718">
        <v>1</v>
      </c>
      <c r="AC19" s="718">
        <v>1</v>
      </c>
    </row>
    <row r="20" spans="1:29" ht="42.75">
      <c r="A20" s="480"/>
      <c r="B20" s="764" t="s">
        <v>2162</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71"/>
      <c r="Q20" s="647" t="str">
        <f>B20</f>
        <v>自然及人文环境</v>
      </c>
      <c r="R20" s="712" t="s">
        <v>942</v>
      </c>
      <c r="S20" s="713">
        <f>F20</f>
        <v>100</v>
      </c>
      <c r="T20" s="712" t="s">
        <v>942</v>
      </c>
      <c r="U20" s="713">
        <f>H20</f>
        <v>98</v>
      </c>
      <c r="V20" s="712" t="s">
        <v>942</v>
      </c>
      <c r="W20" s="713">
        <f>J20</f>
        <v>100</v>
      </c>
      <c r="X20" s="707"/>
      <c r="Y20" s="3371"/>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2161</v>
      </c>
      <c r="H21" s="522"/>
      <c r="I21" s="521" t="s">
        <v>956</v>
      </c>
      <c r="J21" s="522"/>
      <c r="K21" s="657"/>
      <c r="L21" s="655"/>
      <c r="M21" s="642"/>
      <c r="N21" s="642"/>
      <c r="O21" s="654"/>
      <c r="P21" s="3371"/>
      <c r="Q21" s="647"/>
      <c r="R21" s="712"/>
      <c r="S21" s="713"/>
      <c r="T21" s="712"/>
      <c r="U21" s="713"/>
      <c r="V21" s="712"/>
      <c r="W21" s="713"/>
      <c r="X21" s="707"/>
      <c r="Y21" s="3371"/>
      <c r="Z21" s="706"/>
      <c r="AA21" s="718">
        <v>1</v>
      </c>
      <c r="AB21" s="718">
        <v>1</v>
      </c>
      <c r="AC21" s="718">
        <v>1</v>
      </c>
    </row>
    <row r="22" spans="1:29" ht="15">
      <c r="A22" s="480"/>
      <c r="B22" s="764" t="s">
        <v>2226</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71"/>
      <c r="Q22" s="647" t="str">
        <f>B22</f>
        <v>楼层</v>
      </c>
      <c r="R22" s="712" t="s">
        <v>942</v>
      </c>
      <c r="S22" s="713">
        <f>F22</f>
        <v>100</v>
      </c>
      <c r="T22" s="712" t="s">
        <v>942</v>
      </c>
      <c r="U22" s="713">
        <f>H22</f>
        <v>100</v>
      </c>
      <c r="V22" s="712" t="s">
        <v>942</v>
      </c>
      <c r="W22" s="713">
        <f>J22</f>
        <v>100</v>
      </c>
      <c r="X22" s="707"/>
      <c r="Y22" s="3371"/>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71"/>
      <c r="Q23" s="647">
        <f>B23</f>
        <v>111</v>
      </c>
      <c r="R23" s="712" t="s">
        <v>942</v>
      </c>
      <c r="S23" s="713">
        <f>F23</f>
        <v>100</v>
      </c>
      <c r="T23" s="712" t="s">
        <v>942</v>
      </c>
      <c r="U23" s="713">
        <f>H23</f>
        <v>100</v>
      </c>
      <c r="V23" s="712" t="s">
        <v>942</v>
      </c>
      <c r="W23" s="713">
        <f>J23</f>
        <v>100</v>
      </c>
      <c r="X23" s="707"/>
      <c r="Y23" s="3371"/>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71"/>
      <c r="Q24" s="647">
        <f t="shared" ref="Q24:Q36" si="11">B24</f>
        <v>111</v>
      </c>
      <c r="R24" s="712" t="s">
        <v>942</v>
      </c>
      <c r="S24" s="713">
        <f>F24</f>
        <v>100</v>
      </c>
      <c r="T24" s="712" t="s">
        <v>942</v>
      </c>
      <c r="U24" s="713">
        <f>H24</f>
        <v>100</v>
      </c>
      <c r="V24" s="712" t="s">
        <v>942</v>
      </c>
      <c r="W24" s="713">
        <f>J24</f>
        <v>100</v>
      </c>
      <c r="X24" s="707"/>
      <c r="Y24" s="3371"/>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71"/>
      <c r="Q25" s="711">
        <f t="shared" si="11"/>
        <v>111</v>
      </c>
      <c r="R25" s="708" t="s">
        <v>942</v>
      </c>
      <c r="S25" s="709">
        <f>F25</f>
        <v>100</v>
      </c>
      <c r="T25" s="708" t="s">
        <v>942</v>
      </c>
      <c r="U25" s="709">
        <f>H25</f>
        <v>100</v>
      </c>
      <c r="V25" s="708" t="s">
        <v>942</v>
      </c>
      <c r="W25" s="709">
        <f>J25</f>
        <v>100</v>
      </c>
      <c r="X25" s="710"/>
      <c r="Y25" s="3371"/>
      <c r="Z25" s="728">
        <f>Q25</f>
        <v>111</v>
      </c>
      <c r="AA25" s="718">
        <f t="shared" si="3"/>
        <v>1</v>
      </c>
      <c r="AB25" s="718">
        <f t="shared" si="4"/>
        <v>1</v>
      </c>
      <c r="AC25" s="718">
        <f t="shared" si="5"/>
        <v>1</v>
      </c>
    </row>
    <row r="26" spans="1:29" ht="15">
      <c r="A26" s="547" t="s">
        <v>961</v>
      </c>
      <c r="B26" s="771" t="s">
        <v>2375</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72"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73"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2376</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73"/>
      <c r="Q27" s="714" t="str">
        <f t="shared" si="11"/>
        <v>项目停车位配比</v>
      </c>
      <c r="R27" s="715" t="s">
        <v>942</v>
      </c>
      <c r="S27" s="716">
        <f t="shared" si="12"/>
        <v>100</v>
      </c>
      <c r="T27" s="715" t="s">
        <v>942</v>
      </c>
      <c r="U27" s="716">
        <f t="shared" si="13"/>
        <v>100</v>
      </c>
      <c r="V27" s="715" t="s">
        <v>942</v>
      </c>
      <c r="W27" s="716">
        <f t="shared" si="14"/>
        <v>100</v>
      </c>
      <c r="X27" s="717"/>
      <c r="Y27" s="3373"/>
      <c r="Z27" s="729" t="str">
        <f t="shared" si="15"/>
        <v>项目停车位配比</v>
      </c>
      <c r="AA27" s="718">
        <f t="shared" si="3"/>
        <v>1</v>
      </c>
      <c r="AB27" s="718">
        <f t="shared" si="4"/>
        <v>1</v>
      </c>
      <c r="AC27" s="718">
        <f t="shared" si="5"/>
        <v>1</v>
      </c>
    </row>
    <row r="28" spans="1:29" ht="15">
      <c r="A28" s="776"/>
      <c r="B28" s="774" t="s">
        <v>2170</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73"/>
      <c r="Q28" s="647" t="str">
        <f t="shared" si="11"/>
        <v>公共部分装修</v>
      </c>
      <c r="R28" s="712" t="s">
        <v>942</v>
      </c>
      <c r="S28" s="713">
        <f t="shared" si="12"/>
        <v>100</v>
      </c>
      <c r="T28" s="712" t="s">
        <v>942</v>
      </c>
      <c r="U28" s="713">
        <f t="shared" si="13"/>
        <v>100</v>
      </c>
      <c r="V28" s="712" t="s">
        <v>942</v>
      </c>
      <c r="W28" s="713">
        <f t="shared" si="14"/>
        <v>100</v>
      </c>
      <c r="X28" s="707"/>
      <c r="Y28" s="3373"/>
      <c r="Z28" s="706" t="str">
        <f t="shared" si="15"/>
        <v>公共部分装修</v>
      </c>
      <c r="AA28" s="718">
        <f t="shared" si="3"/>
        <v>1</v>
      </c>
      <c r="AB28" s="718">
        <f t="shared" si="4"/>
        <v>1</v>
      </c>
      <c r="AC28" s="718">
        <f t="shared" si="5"/>
        <v>1</v>
      </c>
    </row>
    <row r="29" spans="1:29" ht="15">
      <c r="A29" s="776"/>
      <c r="B29" s="774" t="s">
        <v>2377</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73"/>
      <c r="Q29" s="647" t="str">
        <f t="shared" si="11"/>
        <v>成新率</v>
      </c>
      <c r="R29" s="712" t="s">
        <v>942</v>
      </c>
      <c r="S29" s="713">
        <f t="shared" si="12"/>
        <v>96</v>
      </c>
      <c r="T29" s="712" t="s">
        <v>942</v>
      </c>
      <c r="U29" s="713">
        <f t="shared" si="13"/>
        <v>96</v>
      </c>
      <c r="V29" s="712" t="s">
        <v>942</v>
      </c>
      <c r="W29" s="713">
        <f t="shared" si="14"/>
        <v>98</v>
      </c>
      <c r="X29" s="707"/>
      <c r="Y29" s="3373"/>
      <c r="Z29" s="706" t="str">
        <f t="shared" si="15"/>
        <v>成新率</v>
      </c>
      <c r="AA29" s="718">
        <f t="shared" si="3"/>
        <v>1.0416666666666667</v>
      </c>
      <c r="AB29" s="718">
        <f t="shared" si="4"/>
        <v>1.0416666666666667</v>
      </c>
      <c r="AC29" s="718">
        <f t="shared" si="5"/>
        <v>1.0204081632653061</v>
      </c>
    </row>
    <row r="30" spans="1:29" ht="15">
      <c r="A30" s="776"/>
      <c r="B30" s="774" t="s">
        <v>2378</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73"/>
      <c r="Q30" s="647" t="str">
        <f t="shared" si="11"/>
        <v>物业等级</v>
      </c>
      <c r="R30" s="712" t="s">
        <v>942</v>
      </c>
      <c r="S30" s="713">
        <f t="shared" si="12"/>
        <v>100</v>
      </c>
      <c r="T30" s="712" t="s">
        <v>942</v>
      </c>
      <c r="U30" s="713">
        <f t="shared" si="13"/>
        <v>100</v>
      </c>
      <c r="V30" s="712" t="s">
        <v>942</v>
      </c>
      <c r="W30" s="713">
        <f t="shared" si="14"/>
        <v>100</v>
      </c>
      <c r="X30" s="707"/>
      <c r="Y30" s="3373"/>
      <c r="Z30" s="706" t="str">
        <f t="shared" si="15"/>
        <v>物业等级</v>
      </c>
      <c r="AA30" s="718">
        <f t="shared" si="3"/>
        <v>1</v>
      </c>
      <c r="AB30" s="718">
        <f t="shared" si="4"/>
        <v>1</v>
      </c>
      <c r="AC30" s="718">
        <f t="shared" si="5"/>
        <v>1</v>
      </c>
    </row>
    <row r="31" spans="1:29" s="455" customFormat="1" ht="15">
      <c r="A31" s="777"/>
      <c r="B31" s="774" t="s">
        <v>2379</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73"/>
      <c r="Q31" s="711" t="str">
        <f t="shared" si="11"/>
        <v>停车位面积</v>
      </c>
      <c r="R31" s="708" t="s">
        <v>942</v>
      </c>
      <c r="S31" s="709">
        <f t="shared" si="12"/>
        <v>100</v>
      </c>
      <c r="T31" s="708" t="s">
        <v>942</v>
      </c>
      <c r="U31" s="709">
        <f t="shared" si="13"/>
        <v>100</v>
      </c>
      <c r="V31" s="708" t="s">
        <v>942</v>
      </c>
      <c r="W31" s="709">
        <f t="shared" si="14"/>
        <v>100</v>
      </c>
      <c r="X31" s="710"/>
      <c r="Y31" s="3373"/>
      <c r="Z31" s="728" t="str">
        <f t="shared" si="15"/>
        <v>停车位面积</v>
      </c>
      <c r="AA31" s="727">
        <f t="shared" si="3"/>
        <v>1</v>
      </c>
      <c r="AB31" s="727">
        <f t="shared" si="4"/>
        <v>1</v>
      </c>
      <c r="AC31" s="727">
        <f t="shared" si="5"/>
        <v>1</v>
      </c>
    </row>
    <row r="32" spans="1:29" ht="15">
      <c r="A32" s="776"/>
      <c r="B32" s="774" t="s">
        <v>2380</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73" t="s">
        <v>960</v>
      </c>
      <c r="Q32" s="647" t="str">
        <f t="shared" si="11"/>
        <v>车位类型</v>
      </c>
      <c r="R32" s="712" t="s">
        <v>942</v>
      </c>
      <c r="S32" s="713">
        <f t="shared" si="12"/>
        <v>100</v>
      </c>
      <c r="T32" s="712" t="s">
        <v>942</v>
      </c>
      <c r="U32" s="713">
        <f t="shared" si="13"/>
        <v>100</v>
      </c>
      <c r="V32" s="712" t="s">
        <v>942</v>
      </c>
      <c r="W32" s="713">
        <f t="shared" si="14"/>
        <v>100</v>
      </c>
      <c r="X32" s="707"/>
      <c r="Y32" s="3373" t="s">
        <v>960</v>
      </c>
      <c r="Z32" s="706" t="str">
        <f t="shared" si="15"/>
        <v>车位类型</v>
      </c>
      <c r="AA32" s="718">
        <f t="shared" si="3"/>
        <v>1</v>
      </c>
      <c r="AB32" s="718">
        <f t="shared" si="4"/>
        <v>1</v>
      </c>
      <c r="AC32" s="718">
        <f t="shared" si="5"/>
        <v>1</v>
      </c>
    </row>
    <row r="33" spans="1:29" ht="15">
      <c r="A33" s="776"/>
      <c r="B33" s="774" t="s">
        <v>2381</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73"/>
      <c r="Q33" s="647" t="str">
        <f t="shared" si="11"/>
        <v>是否直接入户</v>
      </c>
      <c r="R33" s="712" t="s">
        <v>942</v>
      </c>
      <c r="S33" s="713">
        <f t="shared" si="12"/>
        <v>100</v>
      </c>
      <c r="T33" s="712" t="s">
        <v>942</v>
      </c>
      <c r="U33" s="713">
        <f t="shared" si="13"/>
        <v>100</v>
      </c>
      <c r="V33" s="712" t="s">
        <v>942</v>
      </c>
      <c r="W33" s="713">
        <f t="shared" si="14"/>
        <v>100</v>
      </c>
      <c r="X33" s="707"/>
      <c r="Y33" s="3373"/>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73"/>
      <c r="Q34" s="647">
        <f t="shared" si="11"/>
        <v>111</v>
      </c>
      <c r="R34" s="712" t="s">
        <v>942</v>
      </c>
      <c r="S34" s="713">
        <f t="shared" si="12"/>
        <v>100</v>
      </c>
      <c r="T34" s="712" t="s">
        <v>942</v>
      </c>
      <c r="U34" s="713">
        <f t="shared" si="13"/>
        <v>100</v>
      </c>
      <c r="V34" s="712" t="s">
        <v>942</v>
      </c>
      <c r="W34" s="713">
        <f t="shared" si="14"/>
        <v>100</v>
      </c>
      <c r="X34" s="707"/>
      <c r="Y34" s="3373"/>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73"/>
      <c r="Q35" s="714">
        <f t="shared" si="11"/>
        <v>111</v>
      </c>
      <c r="R35" s="715" t="s">
        <v>942</v>
      </c>
      <c r="S35" s="716">
        <f t="shared" si="12"/>
        <v>100</v>
      </c>
      <c r="T35" s="715" t="s">
        <v>942</v>
      </c>
      <c r="U35" s="716">
        <f t="shared" si="13"/>
        <v>100</v>
      </c>
      <c r="V35" s="715" t="s">
        <v>942</v>
      </c>
      <c r="W35" s="716">
        <f t="shared" si="14"/>
        <v>100</v>
      </c>
      <c r="X35" s="717"/>
      <c r="Y35" s="3373"/>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73"/>
      <c r="Q36" s="647">
        <f t="shared" si="11"/>
        <v>111</v>
      </c>
      <c r="R36" s="712" t="s">
        <v>942</v>
      </c>
      <c r="S36" s="713">
        <f t="shared" si="12"/>
        <v>100</v>
      </c>
      <c r="T36" s="712" t="s">
        <v>942</v>
      </c>
      <c r="U36" s="713">
        <f t="shared" si="13"/>
        <v>100</v>
      </c>
      <c r="V36" s="712" t="s">
        <v>942</v>
      </c>
      <c r="W36" s="713">
        <f t="shared" si="14"/>
        <v>100</v>
      </c>
      <c r="X36" s="707"/>
      <c r="Y36" s="3373"/>
      <c r="Z36" s="706">
        <f t="shared" si="15"/>
        <v>111</v>
      </c>
      <c r="AA36" s="718">
        <f t="shared" si="3"/>
        <v>1</v>
      </c>
      <c r="AB36" s="718">
        <f t="shared" si="4"/>
        <v>1</v>
      </c>
      <c r="AC36" s="718">
        <f t="shared" si="5"/>
        <v>1</v>
      </c>
    </row>
    <row r="37" spans="1:29" ht="15">
      <c r="A37" s="779" t="s">
        <v>2382</v>
      </c>
      <c r="B37" s="780" t="s">
        <v>2433</v>
      </c>
      <c r="C37" s="569" t="s">
        <v>138</v>
      </c>
      <c r="D37" s="570"/>
      <c r="E37" s="571">
        <v>70000</v>
      </c>
      <c r="F37" s="572"/>
      <c r="G37" s="573">
        <v>65000</v>
      </c>
      <c r="H37" s="574"/>
      <c r="I37" s="571">
        <v>68000</v>
      </c>
      <c r="J37" s="574"/>
      <c r="K37" s="661"/>
      <c r="L37" s="662"/>
      <c r="M37" s="583"/>
      <c r="N37" s="642"/>
      <c r="O37" s="583"/>
      <c r="P37" s="3369" t="str">
        <f>A37</f>
        <v>成交单价</v>
      </c>
      <c r="Q37" s="3369"/>
      <c r="R37" s="3456">
        <f>E37</f>
        <v>70000</v>
      </c>
      <c r="S37" s="3456"/>
      <c r="T37" s="3456">
        <f>G37</f>
        <v>65000</v>
      </c>
      <c r="U37" s="3456"/>
      <c r="V37" s="3456">
        <f>I37</f>
        <v>68000</v>
      </c>
      <c r="W37" s="3456"/>
      <c r="X37" s="594"/>
      <c r="Y37" s="730"/>
      <c r="Z37" s="594"/>
      <c r="AA37" s="594"/>
      <c r="AB37" s="594"/>
      <c r="AC37" s="594"/>
    </row>
    <row r="38" spans="1:29" ht="15">
      <c r="A38" s="575" t="s">
        <v>971</v>
      </c>
      <c r="B38" s="576"/>
      <c r="C38" s="577">
        <f>R39</f>
        <v>70338</v>
      </c>
      <c r="D38" s="578"/>
      <c r="E38" s="579">
        <f>R38</f>
        <v>74405</v>
      </c>
      <c r="F38" s="579"/>
      <c r="G38" s="577">
        <f>T38</f>
        <v>70500</v>
      </c>
      <c r="H38" s="578"/>
      <c r="I38" s="579">
        <f>V38</f>
        <v>66110</v>
      </c>
      <c r="J38" s="578"/>
      <c r="K38" s="663"/>
      <c r="L38" s="662"/>
      <c r="M38" s="583"/>
      <c r="N38" s="583"/>
      <c r="O38" s="583"/>
      <c r="P38" s="3369" t="str">
        <f>A38</f>
        <v>比较价格（元/平方米）</v>
      </c>
      <c r="Q38" s="3369"/>
      <c r="R38" s="3456">
        <f>IF(F1="售价",ROUND(PRODUCT(R37,AA7:AA36),0),ROUND(PRODUCT(R37,AA7:AA36),1))</f>
        <v>74405</v>
      </c>
      <c r="S38" s="3456"/>
      <c r="T38" s="3456">
        <f>IF(F1="售价",ROUND(PRODUCT(T37,AB7:AB36),0),ROUND(PRODUCT(T37,AB7:AB36),1))</f>
        <v>70500</v>
      </c>
      <c r="U38" s="3456"/>
      <c r="V38" s="3456">
        <f>IF(F1="售价",ROUND(PRODUCT(V37,AC7:AC36),0),ROUND(PRODUCT(V37,AC7:AC36),1))</f>
        <v>66110</v>
      </c>
      <c r="W38" s="3456"/>
      <c r="X38" s="594"/>
      <c r="Y38" s="594"/>
      <c r="Z38" s="594"/>
      <c r="AA38" s="594"/>
      <c r="AB38" s="594"/>
      <c r="AC38" s="594"/>
    </row>
    <row r="39" spans="1:29" ht="15">
      <c r="A39" s="580" t="s">
        <v>972</v>
      </c>
      <c r="B39" s="581"/>
      <c r="C39" s="582">
        <f>R39</f>
        <v>70338</v>
      </c>
      <c r="D39" s="582"/>
      <c r="E39" s="582"/>
      <c r="F39" s="582"/>
      <c r="G39" s="582"/>
      <c r="H39" s="582"/>
      <c r="I39" s="582"/>
      <c r="J39" s="582"/>
      <c r="K39" s="664"/>
      <c r="L39" s="662"/>
      <c r="M39" s="583"/>
      <c r="N39" s="583"/>
      <c r="O39" s="583"/>
      <c r="P39" s="3375" t="str">
        <f>A39</f>
        <v>估价对象XX用房的比较价格（楼面单价，元/平方米）</v>
      </c>
      <c r="Q39" s="3376"/>
      <c r="R39" s="3458">
        <f>IF(F1="售价",ROUND(AVERAGE(R38:V38),0),ROUND(AVERAGE(R38:V38),1))</f>
        <v>70338</v>
      </c>
      <c r="S39" s="3458"/>
      <c r="T39" s="3458"/>
      <c r="U39" s="3458"/>
      <c r="V39" s="3458"/>
      <c r="W39" s="3458"/>
      <c r="X39" s="594"/>
      <c r="Y39" s="594"/>
      <c r="Z39" s="594"/>
      <c r="AA39" s="594"/>
      <c r="AB39" s="594"/>
      <c r="AC39" s="594"/>
    </row>
    <row r="40" spans="1:29">
      <c r="A40" s="583"/>
      <c r="B40" s="583"/>
      <c r="C40" s="583"/>
      <c r="D40" s="583"/>
      <c r="E40" s="583">
        <v>2012</v>
      </c>
      <c r="F40" s="583"/>
      <c r="G40" s="3179">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5">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ht="15">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5">
      <c r="A50" s="605" t="s">
        <v>1177</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5">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ht="15">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ht="15">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7">
      <c r="A55" s="616"/>
      <c r="B55" s="619" t="s">
        <v>1003</v>
      </c>
      <c r="C55" s="620" t="s">
        <v>2181</v>
      </c>
      <c r="D55" s="620" t="s">
        <v>2182</v>
      </c>
      <c r="E55" s="620" t="s">
        <v>2183</v>
      </c>
      <c r="F55" s="620" t="s">
        <v>2184</v>
      </c>
      <c r="G55" s="620" t="s">
        <v>2185</v>
      </c>
      <c r="H55" s="620" t="s">
        <v>2186</v>
      </c>
      <c r="I55" s="620" t="s">
        <v>2187</v>
      </c>
      <c r="J55" s="620"/>
      <c r="K55" s="690"/>
      <c r="L55" s="691"/>
      <c r="M55" s="692"/>
      <c r="N55" s="686"/>
      <c r="O55" s="686"/>
      <c r="P55" s="687"/>
      <c r="Q55" s="676"/>
      <c r="R55" s="583"/>
      <c r="S55" s="583"/>
      <c r="T55" s="583"/>
      <c r="U55" s="583"/>
      <c r="V55" s="583"/>
      <c r="W55" s="583"/>
      <c r="X55" s="583"/>
      <c r="Y55" s="583"/>
      <c r="Z55" s="583"/>
      <c r="AA55" s="583"/>
      <c r="AB55" s="583"/>
      <c r="AC55" s="583"/>
    </row>
    <row r="56" spans="1:29" ht="15">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ht="15">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ht="15">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ht="15">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ht="15">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ht="15">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ht="15">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ht="15">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5">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ht="15">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5">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ht="15">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5">
      <c r="A69" s="616"/>
      <c r="B69" s="619" t="s">
        <v>2162</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ht="15">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5">
      <c r="A71" s="616"/>
      <c r="B71" s="619" t="s">
        <v>2226</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ht="15">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ht="15">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ht="15">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ht="15">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ht="15">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ht="15">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ht="15">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7">
      <c r="A79" s="612" t="s">
        <v>1010</v>
      </c>
      <c r="B79" s="613" t="s">
        <v>2383</v>
      </c>
      <c r="C79" s="614" t="str">
        <f>C26</f>
        <v>办公</v>
      </c>
      <c r="D79" s="2059" t="s">
        <v>2438</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ht="15">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5">
      <c r="A81" s="616"/>
      <c r="B81" s="619" t="s">
        <v>2376</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ht="15">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c r="A83" s="738"/>
      <c r="B83" s="619" t="s">
        <v>2170</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ht="15">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c r="A85" s="738"/>
      <c r="B85" s="619" t="s">
        <v>2377</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ht="15">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c r="A88" s="738"/>
      <c r="B88" s="733" t="s">
        <v>2378</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ht="15">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c r="A90" s="740"/>
      <c r="B90" s="619" t="s">
        <v>2379</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ht="15">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c r="A93" s="738"/>
      <c r="B93" s="619" t="s">
        <v>2380</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ht="15">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c r="A95" s="738"/>
      <c r="B95" s="619" t="s">
        <v>2381</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ht="15">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ht="15">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ht="15">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ht="15">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0" priority="9" stopIfTrue="1">
      <formula>$F$42="超过30%"</formula>
    </cfRule>
  </conditionalFormatting>
  <conditionalFormatting sqref="G42">
    <cfRule type="expression" dxfId="19" priority="5" stopIfTrue="1">
      <formula>$H$52+$H$42="超过30%"</formula>
    </cfRule>
  </conditionalFormatting>
  <conditionalFormatting sqref="I42">
    <cfRule type="expression" dxfId="18" priority="3" stopIfTrue="1">
      <formula>$J$52+$J$42="超过30%"</formula>
    </cfRule>
  </conditionalFormatting>
  <conditionalFormatting sqref="E43">
    <cfRule type="expression" dxfId="17" priority="7" stopIfTrue="1">
      <formula>$F$43="超过20%"</formula>
    </cfRule>
  </conditionalFormatting>
  <conditionalFormatting sqref="G43">
    <cfRule type="expression" dxfId="16" priority="4" stopIfTrue="1">
      <formula>$H$43="超过20%"</formula>
    </cfRule>
  </conditionalFormatting>
  <conditionalFormatting sqref="I43">
    <cfRule type="expression" dxfId="15" priority="2" stopIfTrue="1">
      <formula>$J$53+$J$43="超过20%"</formula>
    </cfRule>
  </conditionalFormatting>
  <conditionalFormatting sqref="E44">
    <cfRule type="expression" dxfId="14" priority="6" stopIfTrue="1">
      <formula>$F$44="超过30%"</formula>
    </cfRule>
  </conditionalFormatting>
  <conditionalFormatting sqref="F44">
    <cfRule type="containsText" dxfId="13" priority="11" stopIfTrue="1" operator="containsText"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1" priority="12" stopIfTrue="1" operator="containsText" text="超过">
      <formula>NOT(ISERROR(SEARCH("超过",H44)))</formula>
    </cfRule>
  </conditionalFormatting>
  <conditionalFormatting sqref="I44">
    <cfRule type="expression" dxfId="10" priority="1" stopIfTrue="1">
      <formula>$J$44="超过30%"</formula>
    </cfRule>
  </conditionalFormatting>
  <conditionalFormatting sqref="J44">
    <cfRule type="containsText" dxfId="9" priority="13" stopIfTrue="1" operator="containsText" text="超过">
      <formula>NOT(ISERROR(SEARCH("超过",J44)))</formula>
    </cfRule>
  </conditionalFormatting>
  <conditionalFormatting sqref="F42 H42 J42">
    <cfRule type="containsText" dxfId="8" priority="14" stopIfTrue="1" operator="containsText" text="超过">
      <formula>NOT(ISERROR(SEARCH("超过",F42)))</formula>
    </cfRule>
  </conditionalFormatting>
  <conditionalFormatting sqref="F43 H43 J43">
    <cfRule type="containsText" dxfId="7" priority="10" stopIfTrue="1" operator="containsText"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4" sqref="E24"/>
    </sheetView>
  </sheetViews>
  <sheetFormatPr defaultColWidth="9" defaultRowHeight="15"/>
  <cols>
    <col min="1" max="1" width="9" style="4" customWidth="1"/>
    <col min="2" max="2" width="20.625" style="5" customWidth="1"/>
    <col min="3" max="3" width="11.875" style="5" customWidth="1"/>
    <col min="4" max="4" width="40.5" style="4" customWidth="1"/>
    <col min="5" max="5" width="15.75" style="4" customWidth="1"/>
    <col min="6" max="6" width="10.625" style="4" customWidth="1"/>
    <col min="7" max="7" width="4.875" style="4" customWidth="1"/>
    <col min="8" max="8" width="8.5" style="4" customWidth="1"/>
    <col min="9" max="9" width="21.25" style="4" customWidth="1"/>
    <col min="10" max="10" width="12.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75" style="7" customWidth="1"/>
    <col min="18" max="18" width="23.5" style="3" customWidth="1"/>
    <col min="19" max="19" width="1.5" style="3" customWidth="1"/>
    <col min="20" max="33" width="9" style="3"/>
    <col min="34" max="16384" width="9" style="4"/>
  </cols>
  <sheetData>
    <row r="1" spans="1:33" s="1" customFormat="1" ht="21">
      <c r="A1" s="8" t="s">
        <v>2250</v>
      </c>
      <c r="B1" s="9"/>
      <c r="C1" s="10" t="s">
        <v>373</v>
      </c>
      <c r="D1" s="11" t="s">
        <v>2418</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25500</v>
      </c>
      <c r="C2" s="18"/>
      <c r="D2" s="19"/>
      <c r="E2" s="20"/>
      <c r="F2" s="20"/>
      <c r="G2" s="21"/>
      <c r="H2" s="18"/>
      <c r="I2" s="18"/>
      <c r="J2" s="18"/>
      <c r="K2" s="161"/>
      <c r="L2" s="18"/>
      <c r="M2" s="18"/>
    </row>
    <row r="3" spans="1:33" ht="18" customHeight="1">
      <c r="A3" s="22" t="s">
        <v>2158</v>
      </c>
      <c r="B3" s="23">
        <f ca="1">IF(ISERROR(B2*10000/F43),0,ROUND(B2*10000/F43,0))</f>
        <v>2034</v>
      </c>
      <c r="C3" s="18"/>
      <c r="D3" s="19"/>
      <c r="E3" s="20"/>
      <c r="F3" s="20"/>
      <c r="G3" s="21"/>
      <c r="H3" s="24" t="s">
        <v>1977</v>
      </c>
      <c r="I3" s="162"/>
      <c r="J3" s="162"/>
      <c r="K3" s="163"/>
      <c r="L3" s="162"/>
      <c r="M3" s="162"/>
    </row>
    <row r="4" spans="1:33" ht="18" customHeight="1">
      <c r="A4" s="25" t="s">
        <v>1978</v>
      </c>
      <c r="B4" s="26" t="s">
        <v>1979</v>
      </c>
      <c r="C4" s="26" t="s">
        <v>1980</v>
      </c>
      <c r="D4" s="26" t="s">
        <v>1981</v>
      </c>
      <c r="E4" s="27" t="s">
        <v>1982</v>
      </c>
      <c r="F4" s="28"/>
      <c r="G4" s="29"/>
      <c r="H4" s="25" t="s">
        <v>1978</v>
      </c>
      <c r="I4" s="26" t="s">
        <v>1979</v>
      </c>
      <c r="J4" s="26" t="s">
        <v>1980</v>
      </c>
      <c r="K4" s="26" t="s">
        <v>1981</v>
      </c>
      <c r="L4" s="27" t="s">
        <v>1982</v>
      </c>
      <c r="M4" s="28"/>
    </row>
    <row r="5" spans="1:33" ht="18" customHeight="1">
      <c r="A5" s="30">
        <v>1</v>
      </c>
      <c r="B5" s="31" t="s">
        <v>1983</v>
      </c>
      <c r="C5" s="32">
        <f ca="1">C6+C10+C12</f>
        <v>1807</v>
      </c>
      <c r="D5" s="33" t="s">
        <v>1984</v>
      </c>
      <c r="E5" s="34"/>
      <c r="F5" s="35"/>
      <c r="G5" s="29"/>
      <c r="H5" s="30">
        <v>1</v>
      </c>
      <c r="I5" s="31" t="s">
        <v>1983</v>
      </c>
      <c r="J5" s="32">
        <f ca="1">J6+J10+J12</f>
        <v>0</v>
      </c>
      <c r="K5" s="33" t="s">
        <v>1984</v>
      </c>
      <c r="L5" s="34"/>
      <c r="M5" s="35"/>
    </row>
    <row r="6" spans="1:33" ht="18" customHeight="1">
      <c r="A6" s="36" t="s">
        <v>862</v>
      </c>
      <c r="B6" s="3449" t="s">
        <v>1985</v>
      </c>
      <c r="C6" s="37">
        <f ca="1">ROUND(F6*F8*F7*(1-F9)/10000,0)</f>
        <v>1807</v>
      </c>
      <c r="D6" s="38" t="s">
        <v>2251</v>
      </c>
      <c r="E6" s="39" t="s">
        <v>1987</v>
      </c>
      <c r="F6" s="40">
        <f ca="1">INDIRECT("'数据-取费表'!u"&amp;$G$1)</f>
        <v>400</v>
      </c>
      <c r="G6" s="29"/>
      <c r="H6" s="41" t="s">
        <v>862</v>
      </c>
      <c r="I6" s="3449" t="s">
        <v>1985</v>
      </c>
      <c r="J6" s="37">
        <f ca="1">ROUND(M6*M8*M7*(1-M9)/10000,0)</f>
        <v>0</v>
      </c>
      <c r="K6" s="113" t="s">
        <v>2252</v>
      </c>
      <c r="L6" s="39" t="s">
        <v>1987</v>
      </c>
      <c r="M6" s="40">
        <f ca="1">INDIRECT("'数据-取费表'!z"&amp;$G$1)</f>
        <v>0</v>
      </c>
    </row>
    <row r="7" spans="1:33" ht="18" customHeight="1">
      <c r="A7" s="42"/>
      <c r="B7" s="3450"/>
      <c r="C7" s="43"/>
      <c r="D7" s="44"/>
      <c r="E7" s="39" t="s">
        <v>1988</v>
      </c>
      <c r="F7" s="40">
        <f ca="1">IF(INDIRECT("'数据-取费表'!ah"&amp;$G$1)="",INDIRECT("'数据-取费表'!k"&amp;$G$1),INDIRECT("'数据-取费表'!ah"&amp;$G$1))</f>
        <v>4430</v>
      </c>
      <c r="G7" s="29"/>
      <c r="H7" s="45"/>
      <c r="I7" s="3450"/>
      <c r="J7" s="43"/>
      <c r="K7" s="44"/>
      <c r="L7" s="39" t="s">
        <v>1988</v>
      </c>
      <c r="M7" s="40">
        <f ca="1">F7</f>
        <v>4430</v>
      </c>
    </row>
    <row r="8" spans="1:33" ht="18" customHeight="1">
      <c r="A8" s="46"/>
      <c r="B8" s="3451"/>
      <c r="C8" s="43"/>
      <c r="D8" s="44"/>
      <c r="E8" s="39" t="s">
        <v>1989</v>
      </c>
      <c r="F8" s="40">
        <f ca="1">INDIRECT("'数据-取费表'!ai"&amp;$G$1)</f>
        <v>12</v>
      </c>
      <c r="G8" s="29"/>
      <c r="H8" s="45"/>
      <c r="I8" s="3451"/>
      <c r="J8" s="43"/>
      <c r="K8" s="44"/>
      <c r="L8" s="39" t="s">
        <v>1989</v>
      </c>
      <c r="M8" s="40">
        <f ca="1">INDIRECT("'数据-取费表'!ai"&amp;$G$1)</f>
        <v>12</v>
      </c>
    </row>
    <row r="9" spans="1:33" ht="18" customHeight="1">
      <c r="A9" s="47"/>
      <c r="B9" s="3452"/>
      <c r="C9" s="43"/>
      <c r="D9" s="44"/>
      <c r="E9" s="39" t="s">
        <v>1990</v>
      </c>
      <c r="F9" s="48">
        <f ca="1">INDIRECT("'数据-取费表'!w"&amp;$G$1)</f>
        <v>0.15</v>
      </c>
      <c r="G9" s="29"/>
      <c r="H9" s="49"/>
      <c r="I9" s="3451"/>
      <c r="J9" s="43"/>
      <c r="K9" s="44"/>
      <c r="L9" s="95" t="s">
        <v>1990</v>
      </c>
      <c r="M9" s="59">
        <f ca="1">INDIRECT("'数据-取费表'!ab"&amp;$G$1)</f>
        <v>0</v>
      </c>
    </row>
    <row r="10" spans="1:33" ht="18" customHeight="1">
      <c r="A10" s="36" t="s">
        <v>864</v>
      </c>
      <c r="B10" s="50" t="s">
        <v>1991</v>
      </c>
      <c r="C10" s="51">
        <f ca="1">ROUND(IF(F10="押一",C6/12*F11,IF(F10="押二",C6/12*2*F11,IF(F10="押三",C6/12*3*F11,C11*F11))),0)</f>
        <v>0</v>
      </c>
      <c r="D10" s="52" t="s">
        <v>1992</v>
      </c>
      <c r="E10" s="53" t="s">
        <v>1993</v>
      </c>
      <c r="F10" s="54" t="s">
        <v>2419</v>
      </c>
      <c r="G10" s="29"/>
      <c r="H10" s="55" t="s">
        <v>864</v>
      </c>
      <c r="I10" s="164" t="s">
        <v>1991</v>
      </c>
      <c r="J10" s="37">
        <f ca="1">ROUND(IF(M10="押一",J6/12*M11,IF(M10="押二",J6/12*2*M11,IF(M10="押三",J6/12*3*M11,J11*M11))),0)</f>
        <v>0</v>
      </c>
      <c r="K10" s="52" t="s">
        <v>1992</v>
      </c>
      <c r="L10" s="53" t="s">
        <v>1993</v>
      </c>
      <c r="M10" s="54"/>
    </row>
    <row r="11" spans="1:33" ht="18" customHeight="1">
      <c r="A11" s="56"/>
      <c r="B11" s="57" t="s">
        <v>1994</v>
      </c>
      <c r="C11" s="58"/>
      <c r="D11" s="44"/>
      <c r="E11" s="53" t="s">
        <v>644</v>
      </c>
      <c r="F11" s="59">
        <f ca="1">'数据-取费表'!B39</f>
        <v>1.4999999999999999E-2</v>
      </c>
      <c r="G11" s="29"/>
      <c r="H11" s="60"/>
      <c r="I11" s="57" t="s">
        <v>1994</v>
      </c>
      <c r="J11" s="58"/>
      <c r="K11" s="165"/>
      <c r="L11" s="53" t="s">
        <v>644</v>
      </c>
      <c r="M11" s="166">
        <f ca="1">'数据-取费表'!B39</f>
        <v>1.4999999999999999E-2</v>
      </c>
    </row>
    <row r="12" spans="1:33" ht="18" customHeight="1">
      <c r="A12" s="61" t="s">
        <v>1085</v>
      </c>
      <c r="B12" s="62" t="s">
        <v>1995</v>
      </c>
      <c r="C12" s="63"/>
      <c r="D12" s="64"/>
      <c r="E12" s="65"/>
      <c r="F12" s="66"/>
      <c r="G12" s="29"/>
      <c r="H12" s="67" t="s">
        <v>1085</v>
      </c>
      <c r="I12" s="167" t="s">
        <v>1995</v>
      </c>
      <c r="J12" s="168"/>
      <c r="K12" s="64"/>
      <c r="L12" s="65"/>
      <c r="M12" s="169"/>
    </row>
    <row r="13" spans="1:33" ht="18" customHeight="1">
      <c r="A13" s="68">
        <v>2</v>
      </c>
      <c r="B13" s="69" t="s">
        <v>1999</v>
      </c>
      <c r="C13" s="70">
        <f ca="1">ROUND(C29*F13,0)</f>
        <v>44135</v>
      </c>
      <c r="D13" s="71" t="s">
        <v>2253</v>
      </c>
      <c r="E13" s="71" t="s">
        <v>1998</v>
      </c>
      <c r="F13" s="72">
        <f ca="1">INDIRECT("'数据-取费表'!y"&amp;$G$1)</f>
        <v>1</v>
      </c>
      <c r="G13" s="29"/>
      <c r="H13" s="68">
        <v>2</v>
      </c>
      <c r="I13" s="69" t="s">
        <v>1999</v>
      </c>
      <c r="J13" s="170">
        <f ca="1">ROUND(J14*J15,0)</f>
        <v>0</v>
      </c>
      <c r="K13" s="104" t="s">
        <v>1997</v>
      </c>
      <c r="L13" s="171"/>
      <c r="M13" s="172"/>
    </row>
    <row r="14" spans="1:33" ht="18" customHeight="1">
      <c r="A14" s="73" t="s">
        <v>886</v>
      </c>
      <c r="B14" s="39" t="s">
        <v>1092</v>
      </c>
      <c r="C14" s="74">
        <f ca="1">INDIRECT("'数据-取费表'!m"&amp;$G$1)+INDIRECT("'数据-取费表'!t"&amp;$G$1)</f>
        <v>32629</v>
      </c>
      <c r="D14" s="75" t="s">
        <v>2000</v>
      </c>
      <c r="E14" s="76"/>
      <c r="F14" s="77"/>
      <c r="G14" s="29"/>
      <c r="H14" s="78" t="s">
        <v>862</v>
      </c>
      <c r="I14" s="156" t="s">
        <v>2001</v>
      </c>
      <c r="J14" s="79">
        <f ca="1">C29</f>
        <v>44135</v>
      </c>
      <c r="K14" s="157"/>
      <c r="L14" s="173"/>
      <c r="M14" s="174"/>
    </row>
    <row r="15" spans="1:33" s="2" customFormat="1" ht="18" customHeight="1">
      <c r="A15" s="73" t="s">
        <v>891</v>
      </c>
      <c r="B15" s="39" t="s">
        <v>1094</v>
      </c>
      <c r="C15" s="79">
        <f ca="1">ROUND(C14*F15,0)</f>
        <v>1305</v>
      </c>
      <c r="D15" s="80" t="s">
        <v>2002</v>
      </c>
      <c r="E15" s="80" t="s">
        <v>2003</v>
      </c>
      <c r="F15" s="81">
        <f>'数据-取费表'!B33</f>
        <v>0.04</v>
      </c>
      <c r="G15" s="82"/>
      <c r="H15" s="67" t="s">
        <v>864</v>
      </c>
      <c r="I15" s="101" t="s">
        <v>1998</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1097</v>
      </c>
      <c r="C16" s="79">
        <f ca="1">ROUND(INDIRECT("'数据-取费表'!m"&amp;$G$1)*F16,0)</f>
        <v>0</v>
      </c>
      <c r="D16" s="39" t="s">
        <v>2002</v>
      </c>
      <c r="E16" s="39" t="s">
        <v>2003</v>
      </c>
      <c r="F16" s="83">
        <f ca="1">IF(INDIRECT("'数据-取费表'!c"&amp;$G$1)="住宅",'数据-取费表'!B34,0)</f>
        <v>0</v>
      </c>
      <c r="G16" s="29"/>
      <c r="H16" s="68" t="s">
        <v>2063</v>
      </c>
      <c r="I16" s="69" t="s">
        <v>2004</v>
      </c>
      <c r="J16" s="70">
        <f ca="1">ROUND(J17+J22+J23+J24,0)</f>
        <v>3928</v>
      </c>
      <c r="K16" s="104" t="s">
        <v>2005</v>
      </c>
      <c r="L16" s="105"/>
      <c r="M16" s="35"/>
    </row>
    <row r="17" spans="1:33" s="2" customFormat="1" ht="18" customHeight="1">
      <c r="A17" s="73" t="s">
        <v>2254</v>
      </c>
      <c r="B17" s="39" t="s">
        <v>2006</v>
      </c>
      <c r="C17" s="79">
        <f ca="1">ROUND(F17*(F43+INDIRECT("'数据-取费表'!S"&amp;$G$1))/10000,0)</f>
        <v>1882</v>
      </c>
      <c r="D17" s="39" t="s">
        <v>2007</v>
      </c>
      <c r="E17" s="39" t="s">
        <v>2008</v>
      </c>
      <c r="F17" s="84">
        <f>'数据-取费表'!B35</f>
        <v>150</v>
      </c>
      <c r="G17" s="82"/>
      <c r="H17" s="78" t="s">
        <v>862</v>
      </c>
      <c r="I17" s="39" t="s">
        <v>2009</v>
      </c>
      <c r="J17" s="79">
        <f ca="1">ROUND(IF(项目基本情况!B11="自然人",J6*M17/(1+'数据-取费表'!C42),J18+J19+J20),0)</f>
        <v>3707</v>
      </c>
      <c r="K17" s="75" t="s">
        <v>2010</v>
      </c>
      <c r="L17" s="108" t="s">
        <v>2011</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2255</v>
      </c>
      <c r="B18" s="39" t="s">
        <v>1102</v>
      </c>
      <c r="C18" s="79">
        <f ca="1">ROUND(C14*F18,0)</f>
        <v>489</v>
      </c>
      <c r="D18" s="39" t="s">
        <v>2002</v>
      </c>
      <c r="E18" s="39" t="s">
        <v>2003</v>
      </c>
      <c r="F18" s="83">
        <f>'数据-取费表'!B36</f>
        <v>1.4999999999999999E-2</v>
      </c>
      <c r="G18" s="82"/>
      <c r="H18" s="73" t="s">
        <v>886</v>
      </c>
      <c r="I18" s="39" t="s">
        <v>2012</v>
      </c>
      <c r="J18" s="79">
        <f ca="1">ROUND(J6*M18/(1+'数据-取费表'!C42),1)</f>
        <v>0</v>
      </c>
      <c r="K18" s="108" t="s">
        <v>2013</v>
      </c>
      <c r="L18" s="39" t="s">
        <v>2003</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2014</v>
      </c>
      <c r="C19" s="79">
        <f ca="1">SUM(C14:C18)</f>
        <v>36305</v>
      </c>
      <c r="D19" s="85" t="s">
        <v>2015</v>
      </c>
      <c r="E19" s="86"/>
      <c r="F19" s="84"/>
      <c r="G19" s="29"/>
      <c r="H19" s="73" t="s">
        <v>891</v>
      </c>
      <c r="I19" s="39" t="s">
        <v>2016</v>
      </c>
      <c r="J19" s="79">
        <f ca="1">IF(K19="按租金收入计税",ROUND(J6*M19/(1+'数据-取费表'!C42),1),ROUND(C29*F33*0.7,1))</f>
        <v>3707.3</v>
      </c>
      <c r="K19" s="111" t="s">
        <v>2017</v>
      </c>
      <c r="L19" s="39" t="s">
        <v>2003</v>
      </c>
      <c r="M19" s="83">
        <f>IF(K19="按租金收入计税",'数据-取费表'!B51,'数据-取费表'!B50)</f>
        <v>1.2E-2</v>
      </c>
    </row>
    <row r="20" spans="1:33" s="2" customFormat="1" ht="18" customHeight="1">
      <c r="A20" s="78" t="s">
        <v>864</v>
      </c>
      <c r="B20" s="39" t="s">
        <v>2019</v>
      </c>
      <c r="C20" s="79">
        <f ca="1">ROUND(C19*F20,0)</f>
        <v>726</v>
      </c>
      <c r="D20" s="87" t="s">
        <v>2020</v>
      </c>
      <c r="E20" s="39" t="s">
        <v>2003</v>
      </c>
      <c r="F20" s="83">
        <f>'数据-取费表'!B37</f>
        <v>0.02</v>
      </c>
      <c r="G20" s="82"/>
      <c r="H20" s="88" t="s">
        <v>894</v>
      </c>
      <c r="I20" s="113" t="s">
        <v>2021</v>
      </c>
      <c r="J20" s="114">
        <f ca="1">ROUND(M20*M21/10000,0)</f>
        <v>0</v>
      </c>
      <c r="K20" s="115" t="s">
        <v>2022</v>
      </c>
      <c r="L20" s="39" t="s">
        <v>2023</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1085</v>
      </c>
      <c r="B21" s="39" t="s">
        <v>2025</v>
      </c>
      <c r="C21" s="79" t="s">
        <v>138</v>
      </c>
      <c r="D21" s="87" t="s">
        <v>2256</v>
      </c>
      <c r="E21" s="39" t="s">
        <v>2027</v>
      </c>
      <c r="F21" s="83">
        <f>'数据-取费表'!B38</f>
        <v>0.02</v>
      </c>
      <c r="G21" s="82"/>
      <c r="H21" s="89"/>
      <c r="I21" s="117"/>
      <c r="J21" s="118"/>
      <c r="K21" s="119"/>
      <c r="L21" s="39" t="s">
        <v>2028</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2257</v>
      </c>
      <c r="B22" s="39" t="s">
        <v>2030</v>
      </c>
      <c r="C22" s="79"/>
      <c r="D22" s="90" t="str">
        <f>IF(F23&lt;=1,"单利计息。","复利计息。")&amp;"建造成本、管理费用、销售费用产生的利息。"</f>
        <v>复利计息。建造成本、管理费用、销售费用产生的利息。</v>
      </c>
      <c r="E22" s="86"/>
      <c r="F22" s="84"/>
      <c r="G22" s="29"/>
      <c r="H22" s="78" t="s">
        <v>864</v>
      </c>
      <c r="I22" s="39" t="s">
        <v>2031</v>
      </c>
      <c r="J22" s="79">
        <f ca="1">ROUND(J14*M22,0)</f>
        <v>221</v>
      </c>
      <c r="K22" s="108" t="s">
        <v>2032</v>
      </c>
      <c r="L22" s="39" t="s">
        <v>2003</v>
      </c>
      <c r="M22" s="120">
        <f ca="1">INDIRECT("'数据-取费表'!Ak"&amp;$G$1)</f>
        <v>5.0000000000000001E-3</v>
      </c>
    </row>
    <row r="23" spans="1:33" s="2" customFormat="1" ht="18" customHeight="1">
      <c r="A23" s="73" t="s">
        <v>886</v>
      </c>
      <c r="B23" s="39" t="s">
        <v>2033</v>
      </c>
      <c r="C23" s="79">
        <f ca="1">ROUND(IF('数据-取费表'!B22&lt;=1,(C19+C20)*F24*F23/2,(C19+C20)*(POWER((1+F24),F23/2)-1)),0)</f>
        <v>2670</v>
      </c>
      <c r="D23" s="91" t="str">
        <f>IF(F23&lt;=1,"(建造成本+管理费用)×利率×(建设周期÷2)","(建造成本+管理费用)×((1+利率)^(建设周期÷2)-1)")</f>
        <v>(建造成本+管理费用)×((1+利率)^(建设周期÷2)-1)</v>
      </c>
      <c r="E23" s="39" t="s">
        <v>2034</v>
      </c>
      <c r="F23" s="92">
        <f>'数据-取费表'!B20</f>
        <v>3</v>
      </c>
      <c r="G23" s="82"/>
      <c r="H23" s="78" t="s">
        <v>1085</v>
      </c>
      <c r="I23" s="39" t="s">
        <v>2035</v>
      </c>
      <c r="J23" s="79">
        <f ca="1">ROUND(J13*M23,0)</f>
        <v>0</v>
      </c>
      <c r="K23" s="108" t="s">
        <v>2036</v>
      </c>
      <c r="L23" s="39" t="s">
        <v>2003</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2037</v>
      </c>
      <c r="C24" s="79">
        <f ca="1">ROUND(IF('数据-取费表'!B22&lt;=1,F21*F24*F23/2,F21*(POWER((1+F24),F23/2)-1)),4)</f>
        <v>1.4E-3</v>
      </c>
      <c r="D24" s="91" t="str">
        <f>IF(F23&lt;=1,"销售费用×利率×(建设周期÷2)","销售费用×((1+利率)^(建设周期÷2)-1)")</f>
        <v>销售费用×((1+利率)^(建设周期÷2)-1)</v>
      </c>
      <c r="E24" s="39" t="s">
        <v>2038</v>
      </c>
      <c r="F24" s="93">
        <f ca="1">'数据-取费表'!B40</f>
        <v>4.7500000000000001E-2</v>
      </c>
      <c r="G24" s="82"/>
      <c r="H24" s="67" t="s">
        <v>2257</v>
      </c>
      <c r="I24" s="101" t="s">
        <v>2019</v>
      </c>
      <c r="J24" s="99">
        <f ca="1">ROUND(J5*M24,0)</f>
        <v>0</v>
      </c>
      <c r="K24" s="100" t="s">
        <v>2039</v>
      </c>
      <c r="L24" s="101" t="s">
        <v>2003</v>
      </c>
      <c r="M24" s="66">
        <f ca="1">INDIRECT("'数据-取费表'!Am"&amp;$G$1)</f>
        <v>0.05</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2041</v>
      </c>
      <c r="C25" s="79"/>
      <c r="D25" s="85" t="s">
        <v>2042</v>
      </c>
      <c r="E25" s="86"/>
      <c r="F25" s="84"/>
      <c r="G25" s="29"/>
      <c r="H25" s="68" t="s">
        <v>2258</v>
      </c>
      <c r="I25" s="122" t="s">
        <v>2043</v>
      </c>
      <c r="J25" s="70">
        <f ca="1">J5-J16</f>
        <v>-3928</v>
      </c>
      <c r="K25" s="123" t="s">
        <v>2044</v>
      </c>
      <c r="L25" s="124"/>
      <c r="M25" s="125"/>
    </row>
    <row r="26" spans="1:33" ht="18" customHeight="1">
      <c r="A26" s="73" t="s">
        <v>886</v>
      </c>
      <c r="B26" s="39" t="s">
        <v>2045</v>
      </c>
      <c r="C26" s="79">
        <f ca="1">ROUND((C19+C20)*F26,0)</f>
        <v>1111</v>
      </c>
      <c r="D26" s="87" t="s">
        <v>2046</v>
      </c>
      <c r="E26" s="95" t="s">
        <v>2047</v>
      </c>
      <c r="F26" s="48">
        <f ca="1">INDIRECT("'数据-取费表'!q"&amp;$G$1)</f>
        <v>0.03</v>
      </c>
      <c r="G26" s="29"/>
      <c r="H26" s="96" t="s">
        <v>2259</v>
      </c>
      <c r="I26" s="126" t="s">
        <v>2260</v>
      </c>
      <c r="J26" s="37">
        <f ca="1">IF(J5&lt;&gt;0,ROUND(J25*(1-((1+M28)/(1+M26))^M27)/(M26-M28),0),0)</f>
        <v>0</v>
      </c>
      <c r="K26" s="115" t="s">
        <v>2049</v>
      </c>
      <c r="L26" s="39" t="s">
        <v>2261</v>
      </c>
      <c r="M26" s="48">
        <f ca="1">INDIRECT("'数据-取费表'!I"&amp;$G$1)</f>
        <v>4.4999999999999998E-2</v>
      </c>
    </row>
    <row r="27" spans="1:33" ht="18" customHeight="1">
      <c r="A27" s="73" t="s">
        <v>891</v>
      </c>
      <c r="B27" s="39" t="s">
        <v>2051</v>
      </c>
      <c r="C27" s="79">
        <f ca="1">ROUND(F21*F26,4)</f>
        <v>5.9999999999999995E-4</v>
      </c>
      <c r="D27" s="87" t="s">
        <v>2052</v>
      </c>
      <c r="E27" s="80"/>
      <c r="F27" s="81"/>
      <c r="G27" s="29"/>
      <c r="H27" s="97"/>
      <c r="I27" s="127"/>
      <c r="J27" s="43"/>
      <c r="K27" s="128" t="s">
        <v>2053</v>
      </c>
      <c r="L27" s="39" t="s">
        <v>2054</v>
      </c>
      <c r="M27" s="129">
        <f ca="1">INDIRECT("'数据-取费表'!ag"&amp;$G$1)</f>
        <v>0</v>
      </c>
    </row>
    <row r="28" spans="1:33" s="2" customFormat="1" ht="18" customHeight="1">
      <c r="A28" s="94" t="s">
        <v>920</v>
      </c>
      <c r="B28" s="39" t="s">
        <v>2056</v>
      </c>
      <c r="C28" s="79">
        <f>ROUND(F28/(1+'数据-取费表'!C42),4)</f>
        <v>5.33E-2</v>
      </c>
      <c r="D28" s="87" t="s">
        <v>2262</v>
      </c>
      <c r="E28" s="39" t="s">
        <v>2003</v>
      </c>
      <c r="F28" s="83">
        <f>'数据-取费表'!B41</f>
        <v>5.6000000000000001E-2</v>
      </c>
      <c r="G28" s="82"/>
      <c r="H28" s="68"/>
      <c r="I28" s="131"/>
      <c r="J28" s="70"/>
      <c r="K28" s="119"/>
      <c r="L28" s="39" t="s">
        <v>2058</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1160</v>
      </c>
      <c r="B29" s="65" t="s">
        <v>2060</v>
      </c>
      <c r="C29" s="99">
        <f ca="1">ROUND((C19+C20+C23+C26)/(1-F21-C24-C27-C28),0)</f>
        <v>44135</v>
      </c>
      <c r="D29" s="100"/>
      <c r="E29" s="101"/>
      <c r="F29" s="102"/>
      <c r="G29" s="82"/>
      <c r="H29" s="103" t="s">
        <v>2263</v>
      </c>
      <c r="I29" s="132" t="s">
        <v>2264</v>
      </c>
      <c r="J29" s="133">
        <f ca="1">ROUND(J26/(1+F40)^F41,0)</f>
        <v>0</v>
      </c>
      <c r="K29" s="134" t="s">
        <v>2062</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2063</v>
      </c>
      <c r="B30" s="69" t="s">
        <v>2004</v>
      </c>
      <c r="C30" s="70">
        <f ca="1">ROUND(C31+C36+C37+C38,0)</f>
        <v>680</v>
      </c>
      <c r="D30" s="104" t="s">
        <v>2005</v>
      </c>
      <c r="E30" s="105"/>
      <c r="F30" s="35"/>
      <c r="G30" s="106"/>
      <c r="H30" s="107"/>
      <c r="I30" s="180"/>
      <c r="J30" s="181"/>
      <c r="K30" s="182"/>
      <c r="L30" s="183"/>
      <c r="M30" s="184"/>
    </row>
    <row r="31" spans="1:33" ht="18" customHeight="1">
      <c r="A31" s="78" t="s">
        <v>862</v>
      </c>
      <c r="B31" s="39" t="s">
        <v>2009</v>
      </c>
      <c r="C31" s="79">
        <f ca="1">ROUND(IF(项目基本情况!B11="自然人",C6*F31/(1+'数据-取费表'!C42),C32+C33+C34),1)</f>
        <v>302.89999999999998</v>
      </c>
      <c r="D31" s="75" t="s">
        <v>2010</v>
      </c>
      <c r="E31" s="108" t="s">
        <v>2011</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2012</v>
      </c>
      <c r="C32" s="79">
        <f ca="1">ROUND(C6*F32/(1+'数据-取费表'!C42),1)</f>
        <v>96.4</v>
      </c>
      <c r="D32" s="108" t="s">
        <v>2013</v>
      </c>
      <c r="E32" s="39" t="s">
        <v>2003</v>
      </c>
      <c r="F32" s="83">
        <f>'数据-取费表'!B41</f>
        <v>5.6000000000000001E-2</v>
      </c>
      <c r="G32" s="106"/>
      <c r="H32" s="110"/>
      <c r="I32" s="185"/>
      <c r="J32" s="186"/>
      <c r="K32" s="187"/>
      <c r="L32" s="188"/>
      <c r="M32" s="189"/>
    </row>
    <row r="33" spans="1:18" ht="18" customHeight="1">
      <c r="A33" s="73" t="s">
        <v>891</v>
      </c>
      <c r="B33" s="39" t="s">
        <v>2016</v>
      </c>
      <c r="C33" s="3174">
        <f ca="1">IF(D33="按租金收入计税",ROUND(C6*F33/(1+'数据-取费表'!C42),1),IF(D33="按房产原值计税",ROUND(C29*F33*0.7,1),INDIRECT("'数据-取费表'!Aj"&amp;$G$1)))</f>
        <v>206.5</v>
      </c>
      <c r="D33" s="111" t="s">
        <v>2444</v>
      </c>
      <c r="E33" s="39" t="s">
        <v>2003</v>
      </c>
      <c r="F33" s="83">
        <f>IF(D33="按租金收入计税",'数据-取费表'!B51,'数据-取费表'!B50)</f>
        <v>0.12</v>
      </c>
      <c r="G33" s="106"/>
      <c r="H33" s="112"/>
      <c r="I33" s="112"/>
      <c r="J33" s="112"/>
      <c r="K33" s="190"/>
      <c r="L33" s="112"/>
      <c r="M33" s="112"/>
    </row>
    <row r="34" spans="1:18" ht="18" customHeight="1">
      <c r="A34" s="88" t="s">
        <v>894</v>
      </c>
      <c r="B34" s="113" t="s">
        <v>2021</v>
      </c>
      <c r="C34" s="3175">
        <f ca="1">ROUND(F34*F35/10000,1)</f>
        <v>0</v>
      </c>
      <c r="D34" s="115" t="s">
        <v>2022</v>
      </c>
      <c r="E34" s="39" t="s">
        <v>2023</v>
      </c>
      <c r="F34" s="92">
        <f>'数据-取费表'!B52</f>
        <v>15</v>
      </c>
      <c r="G34" s="106"/>
      <c r="H34" s="107"/>
      <c r="I34" s="191" t="s">
        <v>2265</v>
      </c>
      <c r="J34" s="192"/>
      <c r="K34" s="193"/>
      <c r="L34" s="194"/>
      <c r="M34" s="194"/>
    </row>
    <row r="35" spans="1:18" ht="18" customHeight="1">
      <c r="A35" s="116"/>
      <c r="B35" s="117"/>
      <c r="C35" s="118"/>
      <c r="D35" s="119"/>
      <c r="E35" s="39" t="s">
        <v>2028</v>
      </c>
      <c r="F35" s="40">
        <f ca="1">INDIRECT("'数据-取费表'!r"&amp;$G$1)</f>
        <v>0</v>
      </c>
      <c r="G35" s="106"/>
      <c r="H35" s="107"/>
      <c r="I35" s="195" t="s">
        <v>2266</v>
      </c>
      <c r="J35" s="196">
        <f ca="1">ROUND(C13*J36,0)</f>
        <v>3531</v>
      </c>
      <c r="K35" s="190"/>
      <c r="L35" s="112"/>
      <c r="M35" s="112"/>
    </row>
    <row r="36" spans="1:18" ht="18" customHeight="1">
      <c r="A36" s="78" t="s">
        <v>864</v>
      </c>
      <c r="B36" s="39" t="s">
        <v>2031</v>
      </c>
      <c r="C36" s="79">
        <f ca="1">ROUND(C29*F36,1)</f>
        <v>220.7</v>
      </c>
      <c r="D36" s="108" t="s">
        <v>2066</v>
      </c>
      <c r="E36" s="39" t="s">
        <v>2003</v>
      </c>
      <c r="F36" s="120">
        <f ca="1">INDIRECT("'数据-取费表'!Ak"&amp;$G$1)</f>
        <v>5.0000000000000001E-3</v>
      </c>
      <c r="G36" s="106"/>
      <c r="H36" s="112">
        <f ca="1">C36+C37+C38</f>
        <v>377.29999999999995</v>
      </c>
      <c r="I36" s="197" t="s">
        <v>2267</v>
      </c>
      <c r="J36" s="198">
        <f ca="1">INDIRECT("'数据-取费表'!j"&amp;$G$1)</f>
        <v>0.08</v>
      </c>
      <c r="K36" s="199"/>
      <c r="L36" s="112"/>
      <c r="M36" s="112"/>
    </row>
    <row r="37" spans="1:18" ht="18" customHeight="1">
      <c r="A37" s="78" t="s">
        <v>1085</v>
      </c>
      <c r="B37" s="39" t="s">
        <v>2035</v>
      </c>
      <c r="C37" s="79">
        <f ca="1">ROUND(C13*F37,1)</f>
        <v>66.2</v>
      </c>
      <c r="D37" s="108" t="s">
        <v>2036</v>
      </c>
      <c r="E37" s="39" t="s">
        <v>2003</v>
      </c>
      <c r="F37" s="121">
        <f ca="1">INDIRECT("'数据-取费表'!Al"&amp;$G$1)</f>
        <v>1.5E-3</v>
      </c>
      <c r="G37" s="106"/>
      <c r="H37" s="112">
        <f ca="1">H36*10000/12/F7</f>
        <v>70.974416854778013</v>
      </c>
      <c r="I37" s="200" t="s">
        <v>2268</v>
      </c>
      <c r="J37" s="201"/>
      <c r="K37" s="199"/>
      <c r="L37" s="112"/>
      <c r="M37" s="112"/>
    </row>
    <row r="38" spans="1:18" ht="18" customHeight="1">
      <c r="A38" s="67" t="s">
        <v>2257</v>
      </c>
      <c r="B38" s="101" t="s">
        <v>2019</v>
      </c>
      <c r="C38" s="99">
        <f ca="1">ROUND(C5*F38,1)</f>
        <v>90.4</v>
      </c>
      <c r="D38" s="100" t="s">
        <v>2039</v>
      </c>
      <c r="E38" s="101" t="s">
        <v>2003</v>
      </c>
      <c r="F38" s="66">
        <f ca="1">INDIRECT("'数据-取费表'!Am"&amp;$G$1)</f>
        <v>0.05</v>
      </c>
      <c r="G38" s="106"/>
      <c r="H38" s="112"/>
      <c r="I38" s="202" t="s">
        <v>2269</v>
      </c>
      <c r="J38" s="203"/>
      <c r="K38" s="204"/>
      <c r="L38" s="112"/>
      <c r="M38" s="112"/>
    </row>
    <row r="39" spans="1:18" ht="24.6" customHeight="1">
      <c r="A39" s="68" t="s">
        <v>2258</v>
      </c>
      <c r="B39" s="122" t="s">
        <v>2043</v>
      </c>
      <c r="C39" s="70">
        <f ca="1">C5-C30</f>
        <v>1127</v>
      </c>
      <c r="D39" s="123" t="s">
        <v>2044</v>
      </c>
      <c r="E39" s="124"/>
      <c r="F39" s="125"/>
      <c r="G39" s="106"/>
      <c r="H39" s="112"/>
      <c r="I39" s="195" t="s">
        <v>2270</v>
      </c>
      <c r="J39" s="205">
        <f ca="1">ROUND(J35/C39,3)</f>
        <v>3.133</v>
      </c>
      <c r="K39" s="204"/>
      <c r="L39" s="112"/>
      <c r="M39" s="112"/>
    </row>
    <row r="40" spans="1:18" ht="18" customHeight="1">
      <c r="A40" s="30" t="s">
        <v>2259</v>
      </c>
      <c r="B40" s="126" t="s">
        <v>2271</v>
      </c>
      <c r="C40" s="37">
        <f ca="1">ROUND(C39*(1-((1+F42)/(1+F40))^F41)/(F40-F42),0)</f>
        <v>25500</v>
      </c>
      <c r="D40" s="115" t="s">
        <v>2049</v>
      </c>
      <c r="E40" s="39" t="s">
        <v>2261</v>
      </c>
      <c r="F40" s="48">
        <f ca="1">INDIRECT("'数据-取费表'!I"&amp;$G$1)</f>
        <v>4.4999999999999998E-2</v>
      </c>
      <c r="G40" s="106"/>
      <c r="H40" s="106"/>
      <c r="I40" s="195" t="s">
        <v>2272</v>
      </c>
      <c r="J40" s="205">
        <f ca="1">1-J39</f>
        <v>-2.133</v>
      </c>
      <c r="K40" s="204"/>
      <c r="L40" s="106"/>
      <c r="M40" s="106"/>
    </row>
    <row r="41" spans="1:18" ht="18" customHeight="1">
      <c r="A41" s="47"/>
      <c r="B41" s="127"/>
      <c r="C41" s="43"/>
      <c r="D41" s="128" t="s">
        <v>2053</v>
      </c>
      <c r="E41" s="39" t="s">
        <v>2054</v>
      </c>
      <c r="F41" s="129">
        <f ca="1">IF(INDIRECT("'数据-取费表'!af"&amp;$G$1)=0,INDIRECT("'数据-取费表'!ae"&amp;$G$1),INDIRECT("'数据-取费表'!af"&amp;$G$1))</f>
        <v>34.44</v>
      </c>
      <c r="G41" s="106"/>
      <c r="H41" s="130"/>
      <c r="I41" s="202" t="s">
        <v>2273</v>
      </c>
      <c r="J41" s="206"/>
      <c r="K41" s="199"/>
      <c r="L41" s="130"/>
      <c r="M41" s="130"/>
    </row>
    <row r="42" spans="1:18" ht="18" customHeight="1">
      <c r="A42" s="56"/>
      <c r="B42" s="131"/>
      <c r="C42" s="70"/>
      <c r="D42" s="119"/>
      <c r="E42" s="39" t="s">
        <v>2058</v>
      </c>
      <c r="F42" s="48">
        <f ca="1">INDIRECT("'数据-取费表'!v"&amp;$G$1)</f>
        <v>0.02</v>
      </c>
      <c r="G42" s="106"/>
      <c r="H42" s="130"/>
      <c r="I42" s="207" t="s">
        <v>2274</v>
      </c>
      <c r="J42" s="205">
        <f ca="1">ROUND(C13/C40,3)</f>
        <v>1.7310000000000001</v>
      </c>
      <c r="K42" s="199"/>
      <c r="L42" s="130"/>
      <c r="M42" s="130"/>
    </row>
    <row r="43" spans="1:18" ht="18" customHeight="1">
      <c r="A43" s="103" t="s">
        <v>2263</v>
      </c>
      <c r="B43" s="132" t="s">
        <v>2275</v>
      </c>
      <c r="C43" s="133">
        <f ca="1">ROUND(C40*10000/F43,0)</f>
        <v>2034</v>
      </c>
      <c r="D43" s="134" t="s">
        <v>2276</v>
      </c>
      <c r="E43" s="135" t="s">
        <v>2277</v>
      </c>
      <c r="F43" s="136">
        <f ca="1">INDIRECT("'数据-取费表'!k"&amp;$G$1)</f>
        <v>125369.60000000001</v>
      </c>
      <c r="G43" s="106"/>
      <c r="H43" s="130"/>
      <c r="I43" s="207" t="s">
        <v>2278</v>
      </c>
      <c r="J43" s="208">
        <f ca="1">1-J42</f>
        <v>-0.73100000000000009</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2279</v>
      </c>
      <c r="B46" s="137"/>
      <c r="C46" s="140">
        <f ca="1">C67-C40</f>
        <v>-30477</v>
      </c>
      <c r="D46" s="137"/>
      <c r="E46" s="137"/>
      <c r="F46" s="137"/>
      <c r="I46" s="210" t="s">
        <v>2079</v>
      </c>
      <c r="J46" s="211"/>
      <c r="K46" s="212"/>
      <c r="L46" s="213">
        <f>IF(OR(M47="住宅",D1="土地（套用方法）"),0,IF(L48&gt;J51,L60,J60))</f>
        <v>0</v>
      </c>
      <c r="O46" s="214" t="s">
        <v>2080</v>
      </c>
      <c r="P46" s="29"/>
      <c r="Q46" s="219"/>
      <c r="R46" s="29"/>
    </row>
    <row r="47" spans="1:18" s="3" customFormat="1" ht="18" customHeight="1">
      <c r="A47" s="141">
        <v>1</v>
      </c>
      <c r="B47" s="142" t="s">
        <v>2280</v>
      </c>
      <c r="C47" s="140">
        <f ca="1">C48+C52+C54</f>
        <v>0</v>
      </c>
      <c r="D47" s="137"/>
      <c r="E47" s="137"/>
      <c r="F47" s="137"/>
      <c r="I47" s="215" t="s">
        <v>2081</v>
      </c>
      <c r="J47" s="216" t="s">
        <v>2141</v>
      </c>
      <c r="K47" s="217" t="s">
        <v>2082</v>
      </c>
      <c r="L47" s="218">
        <f ca="1">INDIRECT("'数据-取费表'!d"&amp;$G$1)</f>
        <v>50</v>
      </c>
      <c r="M47" s="219" t="str">
        <f>IF(ISNUMBER(FIND("住宅",C1)),"住宅","非住宅")</f>
        <v>非住宅</v>
      </c>
      <c r="O47" s="220" t="s">
        <v>1392</v>
      </c>
      <c r="P47" s="221" t="s">
        <v>2083</v>
      </c>
      <c r="Q47" s="259" t="s">
        <v>2084</v>
      </c>
      <c r="R47" s="221" t="s">
        <v>2085</v>
      </c>
    </row>
    <row r="48" spans="1:18" s="3" customFormat="1" ht="18" customHeight="1">
      <c r="A48" s="143" t="s">
        <v>1196</v>
      </c>
      <c r="B48" s="144" t="s">
        <v>2281</v>
      </c>
      <c r="C48" s="145">
        <f ca="1">ROUND(F48*F50*F49*(1-F51)/10000,0)</f>
        <v>0</v>
      </c>
      <c r="D48" s="146" t="s">
        <v>2252</v>
      </c>
      <c r="E48" s="147" t="s">
        <v>2282</v>
      </c>
      <c r="F48" s="148"/>
      <c r="G48" s="149"/>
      <c r="I48" s="222" t="s">
        <v>2086</v>
      </c>
      <c r="J48" s="223" t="s">
        <v>2136</v>
      </c>
      <c r="K48" s="224" t="s">
        <v>2087</v>
      </c>
      <c r="L48" s="225">
        <f ca="1">INDIRECT("'数据-取费表'!f"&amp;$G$1)</f>
        <v>37.44</v>
      </c>
      <c r="O48" s="226" t="s">
        <v>2088</v>
      </c>
      <c r="P48" s="227" t="s">
        <v>2089</v>
      </c>
      <c r="Q48" s="260">
        <f ca="1">C40+J29</f>
        <v>25500</v>
      </c>
      <c r="R48" s="227" t="s">
        <v>2090</v>
      </c>
    </row>
    <row r="49" spans="1:18" s="3" customFormat="1" ht="18" customHeight="1">
      <c r="A49" s="47"/>
      <c r="B49" s="127"/>
      <c r="C49" s="43"/>
      <c r="D49" s="44"/>
      <c r="E49" s="39" t="s">
        <v>1988</v>
      </c>
      <c r="F49" s="40">
        <f ca="1">F7</f>
        <v>4430</v>
      </c>
      <c r="G49" s="149"/>
      <c r="H49" s="150"/>
      <c r="I49" s="222" t="s">
        <v>2091</v>
      </c>
      <c r="J49" s="228"/>
      <c r="K49" s="229" t="s">
        <v>2092</v>
      </c>
      <c r="L49" s="230"/>
      <c r="O49" s="226" t="s">
        <v>2093</v>
      </c>
      <c r="P49" s="227" t="s">
        <v>2094</v>
      </c>
      <c r="Q49" s="260" t="str">
        <f ca="1">J60</f>
        <v>0</v>
      </c>
      <c r="R49" s="227" t="s">
        <v>2095</v>
      </c>
    </row>
    <row r="50" spans="1:18" s="3" customFormat="1" ht="18" customHeight="1">
      <c r="A50" s="47"/>
      <c r="B50" s="127"/>
      <c r="C50" s="43"/>
      <c r="D50" s="44"/>
      <c r="E50" s="39" t="s">
        <v>1989</v>
      </c>
      <c r="F50" s="40">
        <f ca="1">F8</f>
        <v>12</v>
      </c>
      <c r="G50" s="151"/>
      <c r="H50" s="150"/>
      <c r="I50" s="222" t="s">
        <v>2096</v>
      </c>
      <c r="J50" s="231">
        <f>SUMPRODUCT((I63:I65=J47)*(J62:L62=J48)*(J63:L65))</f>
        <v>60</v>
      </c>
      <c r="K50" s="229" t="s">
        <v>2097</v>
      </c>
      <c r="L50" s="230"/>
      <c r="O50" s="232" t="s">
        <v>2098</v>
      </c>
      <c r="P50" s="227" t="s">
        <v>2099</v>
      </c>
      <c r="Q50" s="260">
        <f ca="1">C29</f>
        <v>44135</v>
      </c>
      <c r="R50" s="227" t="s">
        <v>2090</v>
      </c>
    </row>
    <row r="51" spans="1:18" s="3" customFormat="1" ht="18" customHeight="1">
      <c r="A51" s="47"/>
      <c r="B51" s="127"/>
      <c r="C51" s="43"/>
      <c r="D51" s="44"/>
      <c r="E51" s="39" t="s">
        <v>1990</v>
      </c>
      <c r="F51" s="152"/>
      <c r="H51" s="150"/>
      <c r="I51" s="233" t="s">
        <v>2100</v>
      </c>
      <c r="J51" s="234">
        <f>IF(J49="",J50,J49+J50-YEAR('数据-取费表'!B2))</f>
        <v>60</v>
      </c>
      <c r="K51" s="222" t="s">
        <v>2101</v>
      </c>
      <c r="L51" s="235">
        <f ca="1">ROUND(-PV(INDIRECT("'数据-取费表'!h"&amp;$G$1),L48,(C39-C13*J36),0),0)</f>
        <v>-89998</v>
      </c>
      <c r="O51" s="232" t="s">
        <v>2102</v>
      </c>
      <c r="P51" s="227" t="s">
        <v>2103</v>
      </c>
      <c r="Q51" s="261" t="e">
        <f ca="1">J58</f>
        <v>#VALUE!</v>
      </c>
      <c r="R51" s="262"/>
    </row>
    <row r="52" spans="1:18" s="3" customFormat="1" ht="18" customHeight="1">
      <c r="A52" s="30" t="s">
        <v>2283</v>
      </c>
      <c r="B52" s="50" t="s">
        <v>1991</v>
      </c>
      <c r="C52" s="51">
        <f ca="1">ROUND(IF(F52="押一",C48/12*F11,IF(F52="押二",C48/12*2*F11,IF(F52="押三",C48/12*3*F11,C53*F11))),0)</f>
        <v>0</v>
      </c>
      <c r="D52" s="52" t="s">
        <v>1992</v>
      </c>
      <c r="E52" s="53" t="s">
        <v>1993</v>
      </c>
      <c r="F52" s="54"/>
      <c r="I52" s="236" t="s">
        <v>2104</v>
      </c>
      <c r="J52" s="237"/>
      <c r="K52" s="236" t="s">
        <v>1261</v>
      </c>
      <c r="L52" s="237"/>
      <c r="O52" s="232" t="s">
        <v>2105</v>
      </c>
      <c r="P52" s="227" t="s">
        <v>2106</v>
      </c>
      <c r="Q52" s="261">
        <f>J52</f>
        <v>0</v>
      </c>
      <c r="R52" s="262"/>
    </row>
    <row r="53" spans="1:18" s="3" customFormat="1" ht="39.75" customHeight="1">
      <c r="A53" s="47"/>
      <c r="B53" s="57" t="s">
        <v>1994</v>
      </c>
      <c r="C53" s="58"/>
      <c r="D53" s="52"/>
      <c r="E53" s="53"/>
      <c r="F53" s="153"/>
      <c r="I53" s="238" t="s">
        <v>2107</v>
      </c>
      <c r="J53" s="239">
        <f ca="1">IF(M47="住宅",IF(D1="——",MAX(J51,L48),MAX(J51,L48-'数据-取费表'!B20)),IF(D1="——",MIN(J51,L48),MIN(J51,L48-'数据-取费表'!B20)))</f>
        <v>34.44</v>
      </c>
      <c r="K53" s="3469" t="s">
        <v>2284</v>
      </c>
      <c r="L53" s="3470"/>
      <c r="O53" s="232" t="s">
        <v>2108</v>
      </c>
      <c r="P53" s="227" t="s">
        <v>2109</v>
      </c>
      <c r="Q53" s="260">
        <f ca="1">J53</f>
        <v>34.44</v>
      </c>
      <c r="R53" s="227" t="s">
        <v>2110</v>
      </c>
    </row>
    <row r="54" spans="1:18" s="3" customFormat="1" ht="18" customHeight="1">
      <c r="A54" s="61" t="s">
        <v>1085</v>
      </c>
      <c r="B54" s="62" t="s">
        <v>1995</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2111</v>
      </c>
      <c r="P54" s="227" t="s">
        <v>2112</v>
      </c>
      <c r="Q54" s="260">
        <f ca="1">Q48+Q49</f>
        <v>25500</v>
      </c>
      <c r="R54" s="262" t="s">
        <v>2113</v>
      </c>
    </row>
    <row r="55" spans="1:18" s="3" customFormat="1" ht="18" customHeight="1">
      <c r="A55" s="154">
        <v>2</v>
      </c>
      <c r="B55" s="155" t="s">
        <v>1999</v>
      </c>
      <c r="C55" s="51">
        <f ca="1">C13</f>
        <v>44135</v>
      </c>
      <c r="D55" s="95"/>
      <c r="E55" s="95"/>
      <c r="F55" s="153"/>
      <c r="I55" s="240" t="s">
        <v>2114</v>
      </c>
      <c r="J55" s="241" t="e">
        <f ca="1">ROUND(IF(J47="钢混",J57/J50,1-(1-2%)*(J50-J57)/J50),3)</f>
        <v>#VALUE!</v>
      </c>
      <c r="K55" s="242" t="s">
        <v>2115</v>
      </c>
      <c r="L55" s="243"/>
      <c r="O55" s="244" t="s">
        <v>2116</v>
      </c>
      <c r="P55" s="29"/>
      <c r="Q55" s="219"/>
      <c r="R55" s="29"/>
    </row>
    <row r="56" spans="1:18" s="3" customFormat="1" ht="42.75" customHeight="1">
      <c r="A56" s="94"/>
      <c r="B56" s="156" t="s">
        <v>2060</v>
      </c>
      <c r="C56" s="79">
        <f ca="1">C29</f>
        <v>44135</v>
      </c>
      <c r="D56" s="108"/>
      <c r="E56" s="39"/>
      <c r="F56" s="83"/>
      <c r="I56" s="245" t="s">
        <v>2117</v>
      </c>
      <c r="J56" s="246" t="s">
        <v>484</v>
      </c>
      <c r="K56" s="222" t="s">
        <v>2118</v>
      </c>
      <c r="L56" s="225" t="str">
        <f ca="1">IF(L48&lt;J51,"——",L48-J51)</f>
        <v>——</v>
      </c>
      <c r="O56" s="220" t="s">
        <v>1392</v>
      </c>
      <c r="P56" s="221" t="s">
        <v>2083</v>
      </c>
      <c r="Q56" s="259" t="s">
        <v>2084</v>
      </c>
      <c r="R56" s="221" t="s">
        <v>2085</v>
      </c>
    </row>
    <row r="57" spans="1:18" s="3" customFormat="1" ht="28.5" customHeight="1">
      <c r="A57" s="154" t="s">
        <v>2063</v>
      </c>
      <c r="B57" s="155" t="s">
        <v>2004</v>
      </c>
      <c r="C57" s="51">
        <f ca="1">ROUND(C58+C63+C64+C65,0)</f>
        <v>287</v>
      </c>
      <c r="D57" s="157" t="s">
        <v>2005</v>
      </c>
      <c r="E57" s="86"/>
      <c r="F57" s="84"/>
      <c r="I57" s="247" t="s">
        <v>2119</v>
      </c>
      <c r="J57" s="248" t="str">
        <f ca="1">IF(OR(M47="住宅",J51&lt;L48,J56="是"),"——",J51-L48)</f>
        <v>——</v>
      </c>
      <c r="K57" s="222" t="s">
        <v>2120</v>
      </c>
      <c r="L57" s="225" t="str">
        <f ca="1">IF(L48&lt;J51,"——",IF(L55="比较法",L49,IF(L55="基准地价",L50,L51)))</f>
        <v>——</v>
      </c>
      <c r="O57" s="226" t="s">
        <v>2088</v>
      </c>
      <c r="P57" s="227" t="s">
        <v>2089</v>
      </c>
      <c r="Q57" s="260">
        <f ca="1">C40+J29</f>
        <v>25500</v>
      </c>
      <c r="R57" s="227" t="s">
        <v>2090</v>
      </c>
    </row>
    <row r="58" spans="1:18" s="3" customFormat="1" ht="28.5" customHeight="1">
      <c r="A58" s="78" t="s">
        <v>862</v>
      </c>
      <c r="B58" s="39" t="s">
        <v>2009</v>
      </c>
      <c r="C58" s="79">
        <f ca="1">ROUND(IF(项目基本情况!B11="自然人",C47*F58,C59+C60+C61),1)</f>
        <v>0</v>
      </c>
      <c r="D58" s="75" t="s">
        <v>2010</v>
      </c>
      <c r="E58" s="108" t="s">
        <v>2011</v>
      </c>
      <c r="F58" s="109" t="str">
        <f ca="1">IF(项目基本情况!B11="企业","",IF(INDIRECT("'数据-取费表'!c"&amp;$G$1)="住宅",5%,IF(F48*F49*F50/12/(1+'数据-取费表'!C42)&gt;20000,12%,7%)))</f>
        <v/>
      </c>
      <c r="I58" s="247" t="s">
        <v>2121</v>
      </c>
      <c r="J58" s="249" t="e">
        <f ca="1">IF(J55&lt;0.4,0.4,J55)</f>
        <v>#VALUE!</v>
      </c>
      <c r="K58" s="222" t="s">
        <v>2122</v>
      </c>
      <c r="L58" s="225" t="e">
        <f ca="1">ROUND(POWER(1+L52,L47-L48)*(POWER(1+L52,L48)-1)/(POWER(1+L52,L47)-1),4)</f>
        <v>#DIV/0!</v>
      </c>
      <c r="O58" s="226" t="s">
        <v>2093</v>
      </c>
      <c r="P58" s="227" t="s">
        <v>2123</v>
      </c>
      <c r="Q58" s="260">
        <f ca="1">L60</f>
        <v>0</v>
      </c>
      <c r="R58" s="262" t="s">
        <v>2124</v>
      </c>
    </row>
    <row r="59" spans="1:18" s="3" customFormat="1" ht="28.5" customHeight="1">
      <c r="A59" s="73" t="s">
        <v>886</v>
      </c>
      <c r="B59" s="39" t="s">
        <v>2012</v>
      </c>
      <c r="C59" s="79">
        <f ca="1">ROUND(C47*F59/1.05,1)</f>
        <v>0</v>
      </c>
      <c r="D59" s="108" t="s">
        <v>2013</v>
      </c>
      <c r="E59" s="39" t="s">
        <v>2003</v>
      </c>
      <c r="F59" s="83">
        <f t="shared" ref="F59:F65" si="0">F32</f>
        <v>5.6000000000000001E-2</v>
      </c>
      <c r="I59" s="247" t="s">
        <v>2125</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2098</v>
      </c>
      <c r="P59" s="227" t="s">
        <v>2127</v>
      </c>
      <c r="Q59" s="260">
        <f>IF(L55="比较法",L49,IF(L55="基准地价",L50,0))</f>
        <v>0</v>
      </c>
      <c r="R59" s="227" t="s">
        <v>2090</v>
      </c>
    </row>
    <row r="60" spans="1:18" s="3" customFormat="1" ht="18" customHeight="1">
      <c r="A60" s="73" t="s">
        <v>891</v>
      </c>
      <c r="B60" s="39" t="s">
        <v>2016</v>
      </c>
      <c r="C60" s="79">
        <f ca="1">IF(D60="按租金收入计税",ROUND(C47*F60,1),IF(D60="按房产原值计税",ROUND(C56*F60*0.7,1),INDIRECT("'数据-取费表'!Aj"&amp;$G$1)))</f>
        <v>0</v>
      </c>
      <c r="D60" s="108" t="str">
        <f>D33</f>
        <v>按租金收入计税</v>
      </c>
      <c r="E60" s="39" t="s">
        <v>2003</v>
      </c>
      <c r="F60" s="83">
        <f t="shared" si="0"/>
        <v>0.12</v>
      </c>
      <c r="I60" s="250" t="s">
        <v>2128</v>
      </c>
      <c r="J60" s="251" t="str">
        <f ca="1">IF(OR(M47="住宅",J51&lt;L48,J56="是"),"0",ROUND(J59/(1+J52)^J53,0))</f>
        <v>0</v>
      </c>
      <c r="K60" s="252" t="s">
        <v>2129</v>
      </c>
      <c r="L60" s="251">
        <f ca="1">IF(OR(M47="住宅",L48&lt;J51),0,ROUND(L57*(L58/L59-1),0))</f>
        <v>0</v>
      </c>
      <c r="O60" s="232" t="s">
        <v>2102</v>
      </c>
      <c r="P60" s="227" t="s">
        <v>2130</v>
      </c>
      <c r="Q60" s="261">
        <f>L52</f>
        <v>0</v>
      </c>
      <c r="R60" s="262"/>
    </row>
    <row r="61" spans="1:18" s="3" customFormat="1" ht="18" customHeight="1">
      <c r="A61" s="88" t="s">
        <v>894</v>
      </c>
      <c r="B61" s="113" t="s">
        <v>2021</v>
      </c>
      <c r="C61" s="114">
        <f ca="1">ROUND(F61*F62/10000,1)</f>
        <v>0</v>
      </c>
      <c r="D61" s="115" t="s">
        <v>2022</v>
      </c>
      <c r="E61" s="39" t="s">
        <v>2023</v>
      </c>
      <c r="F61" s="92">
        <f t="shared" si="0"/>
        <v>15</v>
      </c>
      <c r="K61" s="209"/>
      <c r="O61" s="232" t="s">
        <v>2105</v>
      </c>
      <c r="P61" s="227" t="s">
        <v>2131</v>
      </c>
      <c r="Q61" s="260" t="e">
        <f ca="1">L58</f>
        <v>#DIV/0!</v>
      </c>
      <c r="R61" s="262" t="s">
        <v>2132</v>
      </c>
    </row>
    <row r="62" spans="1:18" s="3" customFormat="1">
      <c r="A62" s="116"/>
      <c r="B62" s="117"/>
      <c r="C62" s="118"/>
      <c r="D62" s="119"/>
      <c r="E62" s="39" t="s">
        <v>2028</v>
      </c>
      <c r="F62" s="40">
        <f t="shared" ca="1" si="0"/>
        <v>0</v>
      </c>
      <c r="I62" s="253" t="s">
        <v>2133</v>
      </c>
      <c r="J62" s="254" t="s">
        <v>2134</v>
      </c>
      <c r="K62" s="254" t="s">
        <v>2135</v>
      </c>
      <c r="L62" s="254" t="s">
        <v>2136</v>
      </c>
      <c r="M62" s="255" t="s">
        <v>2137</v>
      </c>
      <c r="O62" s="232" t="s">
        <v>2108</v>
      </c>
      <c r="P62" s="227" t="str">
        <f>K59</f>
        <v>建设期及建筑物耐用年限下的土地年期修正系数Kn</v>
      </c>
      <c r="Q62" s="260" t="e">
        <f ca="1">L59</f>
        <v>#DIV/0!</v>
      </c>
      <c r="R62" s="262" t="s">
        <v>2139</v>
      </c>
    </row>
    <row r="63" spans="1:18" s="3" customFormat="1">
      <c r="A63" s="78" t="s">
        <v>864</v>
      </c>
      <c r="B63" s="39" t="s">
        <v>2031</v>
      </c>
      <c r="C63" s="79">
        <f ca="1">ROUND(C56*F63,1)</f>
        <v>220.7</v>
      </c>
      <c r="D63" s="108" t="s">
        <v>2066</v>
      </c>
      <c r="E63" s="39" t="s">
        <v>2003</v>
      </c>
      <c r="F63" s="120">
        <f t="shared" ca="1" si="0"/>
        <v>5.0000000000000001E-3</v>
      </c>
      <c r="I63" s="253" t="s">
        <v>2140</v>
      </c>
      <c r="J63" s="254">
        <v>70</v>
      </c>
      <c r="K63" s="254">
        <v>50</v>
      </c>
      <c r="L63" s="254">
        <v>80</v>
      </c>
      <c r="M63" s="256">
        <v>0.02</v>
      </c>
      <c r="O63" s="226" t="s">
        <v>2111</v>
      </c>
      <c r="P63" s="227" t="s">
        <v>2112</v>
      </c>
      <c r="Q63" s="260">
        <f ca="1">Q57+Q58</f>
        <v>25500</v>
      </c>
      <c r="R63" s="262" t="s">
        <v>2113</v>
      </c>
    </row>
    <row r="64" spans="1:18" s="3" customFormat="1" ht="15.75">
      <c r="A64" s="78" t="s">
        <v>1085</v>
      </c>
      <c r="B64" s="39" t="s">
        <v>2035</v>
      </c>
      <c r="C64" s="79">
        <f ca="1">ROUND(C55*F64,1)</f>
        <v>66.2</v>
      </c>
      <c r="D64" s="108" t="s">
        <v>2036</v>
      </c>
      <c r="E64" s="39" t="s">
        <v>2003</v>
      </c>
      <c r="F64" s="121">
        <f t="shared" ca="1" si="0"/>
        <v>1.5E-3</v>
      </c>
      <c r="I64" s="253" t="s">
        <v>2141</v>
      </c>
      <c r="J64" s="254">
        <v>50</v>
      </c>
      <c r="K64" s="254">
        <v>35</v>
      </c>
      <c r="L64" s="254">
        <v>60</v>
      </c>
      <c r="M64" s="206">
        <v>0</v>
      </c>
      <c r="O64" s="244" t="s">
        <v>2142</v>
      </c>
      <c r="P64" s="29"/>
      <c r="Q64" s="219"/>
      <c r="R64" s="29"/>
    </row>
    <row r="65" spans="1:18" s="3" customFormat="1">
      <c r="A65" s="78" t="s">
        <v>2257</v>
      </c>
      <c r="B65" s="39" t="s">
        <v>2019</v>
      </c>
      <c r="C65" s="79">
        <f ca="1">ROUND(C47*F65,1)</f>
        <v>0</v>
      </c>
      <c r="D65" s="108" t="s">
        <v>2039</v>
      </c>
      <c r="E65" s="39" t="s">
        <v>2003</v>
      </c>
      <c r="F65" s="48">
        <f t="shared" ca="1" si="0"/>
        <v>0.05</v>
      </c>
      <c r="I65" s="253" t="s">
        <v>2143</v>
      </c>
      <c r="J65" s="254">
        <v>40</v>
      </c>
      <c r="K65" s="254">
        <v>30</v>
      </c>
      <c r="L65" s="254">
        <v>50</v>
      </c>
      <c r="M65" s="256">
        <v>0.02</v>
      </c>
      <c r="O65" s="220" t="s">
        <v>1392</v>
      </c>
      <c r="P65" s="221" t="s">
        <v>2083</v>
      </c>
      <c r="Q65" s="259" t="s">
        <v>2084</v>
      </c>
      <c r="R65" s="221" t="s">
        <v>2085</v>
      </c>
    </row>
    <row r="66" spans="1:18" s="3" customFormat="1" ht="24">
      <c r="A66" s="154" t="s">
        <v>2258</v>
      </c>
      <c r="B66" s="263" t="s">
        <v>2043</v>
      </c>
      <c r="C66" s="51">
        <f ca="1">C47-C57</f>
        <v>-287</v>
      </c>
      <c r="D66" s="75" t="s">
        <v>2044</v>
      </c>
      <c r="E66" s="264"/>
      <c r="F66" s="265"/>
      <c r="K66" s="209"/>
      <c r="O66" s="226" t="s">
        <v>2088</v>
      </c>
      <c r="P66" s="227" t="s">
        <v>2089</v>
      </c>
      <c r="Q66" s="260">
        <f ca="1">C40+J29</f>
        <v>25500</v>
      </c>
      <c r="R66" s="227" t="s">
        <v>2090</v>
      </c>
    </row>
    <row r="67" spans="1:18" s="3" customFormat="1" ht="19.5">
      <c r="A67" s="30" t="s">
        <v>2259</v>
      </c>
      <c r="B67" s="126" t="s">
        <v>2271</v>
      </c>
      <c r="C67" s="37">
        <f ca="1">ROUND(C66*(1-((1+F69)/(1+F67))^F68)/(F67-F69),0)</f>
        <v>-4977</v>
      </c>
      <c r="D67" s="115" t="s">
        <v>2049</v>
      </c>
      <c r="E67" s="39" t="s">
        <v>2050</v>
      </c>
      <c r="F67" s="48">
        <f ca="1">F40</f>
        <v>4.4999999999999998E-2</v>
      </c>
      <c r="K67" s="209"/>
      <c r="O67" s="226" t="s">
        <v>2093</v>
      </c>
      <c r="P67" s="227" t="s">
        <v>2123</v>
      </c>
      <c r="Q67" s="260">
        <f ca="1">L60</f>
        <v>0</v>
      </c>
      <c r="R67" s="262" t="s">
        <v>2124</v>
      </c>
    </row>
    <row r="68" spans="1:18" ht="21">
      <c r="A68" s="47"/>
      <c r="B68" s="127"/>
      <c r="C68" s="43"/>
      <c r="D68" s="128" t="s">
        <v>2053</v>
      </c>
      <c r="E68" s="39" t="s">
        <v>2054</v>
      </c>
      <c r="F68" s="129">
        <f ca="1">F41</f>
        <v>34.44</v>
      </c>
      <c r="O68" s="232" t="s">
        <v>2098</v>
      </c>
      <c r="P68" s="227" t="s">
        <v>2127</v>
      </c>
      <c r="Q68" s="267">
        <f ca="1">L51</f>
        <v>-89998</v>
      </c>
      <c r="R68" s="268" t="s">
        <v>2144</v>
      </c>
    </row>
    <row r="69" spans="1:18" ht="19.5">
      <c r="A69" s="56"/>
      <c r="B69" s="131"/>
      <c r="C69" s="70"/>
      <c r="D69" s="119"/>
      <c r="E69" s="39" t="s">
        <v>2058</v>
      </c>
      <c r="F69" s="152"/>
      <c r="O69" s="232" t="s">
        <v>2102</v>
      </c>
      <c r="P69" s="266" t="s">
        <v>2145</v>
      </c>
      <c r="Q69" s="260">
        <f ca="1">ROUND(Q70-Q71*Q72,0)</f>
        <v>-2404</v>
      </c>
      <c r="R69" s="262"/>
    </row>
    <row r="70" spans="1:18">
      <c r="A70" s="103" t="s">
        <v>2263</v>
      </c>
      <c r="B70" s="132" t="s">
        <v>2275</v>
      </c>
      <c r="C70" s="133">
        <f ca="1">ROUND(C67*10000/F70,0)</f>
        <v>-397</v>
      </c>
      <c r="D70" s="134" t="s">
        <v>2276</v>
      </c>
      <c r="E70" s="135" t="s">
        <v>2277</v>
      </c>
      <c r="F70" s="136">
        <f ca="1">F43</f>
        <v>125369.60000000001</v>
      </c>
      <c r="O70" s="232" t="s">
        <v>2146</v>
      </c>
      <c r="P70" s="266" t="s">
        <v>2147</v>
      </c>
      <c r="Q70" s="260">
        <f ca="1">C39</f>
        <v>1127</v>
      </c>
      <c r="R70" s="227" t="s">
        <v>2090</v>
      </c>
    </row>
    <row r="71" spans="1:18">
      <c r="O71" s="232" t="s">
        <v>2148</v>
      </c>
      <c r="P71" s="266" t="s">
        <v>2149</v>
      </c>
      <c r="Q71" s="260">
        <f ca="1">C13</f>
        <v>44135</v>
      </c>
      <c r="R71" s="227" t="s">
        <v>2090</v>
      </c>
    </row>
    <row r="72" spans="1:18">
      <c r="O72" s="232" t="s">
        <v>2150</v>
      </c>
      <c r="P72" s="266" t="s">
        <v>2151</v>
      </c>
      <c r="Q72" s="261">
        <f ca="1">J36</f>
        <v>0.08</v>
      </c>
      <c r="R72" s="262"/>
    </row>
    <row r="73" spans="1:18">
      <c r="O73" s="232" t="s">
        <v>2105</v>
      </c>
      <c r="P73" s="227" t="s">
        <v>2130</v>
      </c>
      <c r="Q73" s="261">
        <f>L52</f>
        <v>0</v>
      </c>
      <c r="R73" s="262"/>
    </row>
    <row r="74" spans="1:18" ht="19.5">
      <c r="O74" s="232" t="s">
        <v>2108</v>
      </c>
      <c r="P74" s="227" t="s">
        <v>2131</v>
      </c>
      <c r="Q74" s="260" t="e">
        <f ca="1">L58</f>
        <v>#DIV/0!</v>
      </c>
      <c r="R74" s="262" t="s">
        <v>2132</v>
      </c>
    </row>
    <row r="75" spans="1:18">
      <c r="O75" s="232" t="s">
        <v>2152</v>
      </c>
      <c r="P75" s="227" t="str">
        <f>K59</f>
        <v>建设期及建筑物耐用年限下的土地年期修正系数Kn</v>
      </c>
      <c r="Q75" s="260" t="e">
        <f ca="1">L59</f>
        <v>#DIV/0!</v>
      </c>
      <c r="R75" s="262" t="s">
        <v>2139</v>
      </c>
    </row>
    <row r="76" spans="1:18">
      <c r="O76" s="226" t="s">
        <v>2111</v>
      </c>
      <c r="P76" s="227" t="s">
        <v>2112</v>
      </c>
      <c r="Q76" s="260">
        <f ca="1">Q66+Q67</f>
        <v>25500</v>
      </c>
      <c r="R76" s="262" t="s">
        <v>2113</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2" t="s">
        <v>98</v>
      </c>
      <c r="B1" s="3192"/>
      <c r="C1" s="3192"/>
      <c r="D1" s="3192"/>
      <c r="E1" s="3192"/>
      <c r="F1" s="3192"/>
      <c r="G1" s="3192"/>
      <c r="H1" s="3192"/>
      <c r="I1" s="3192"/>
      <c r="J1" s="3192"/>
      <c r="K1" s="3192"/>
      <c r="L1" s="3192"/>
      <c r="M1" s="3192"/>
      <c r="N1" s="3192"/>
      <c r="O1" s="3192"/>
      <c r="P1" s="3192"/>
      <c r="Q1" s="3192"/>
      <c r="R1" s="3192"/>
    </row>
    <row r="2" spans="1:18">
      <c r="A2" s="3098" t="s">
        <v>99</v>
      </c>
      <c r="B2" s="3098"/>
      <c r="C2" s="3098"/>
      <c r="D2" s="3098"/>
      <c r="E2" s="3098"/>
      <c r="F2" s="3098"/>
      <c r="G2" s="3098"/>
      <c r="H2" s="3098"/>
      <c r="I2" s="3111"/>
      <c r="J2" s="3111"/>
      <c r="K2" s="3112" t="str">
        <f>"估价期日："&amp;TEXT(项目基本情况!D3,"yyyy年m月d日;;")</f>
        <v>估价期日：2020年2月10日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98" t="s">
        <v>100</v>
      </c>
      <c r="B3" s="3198" t="s">
        <v>101</v>
      </c>
      <c r="C3" s="3197" t="s">
        <v>102</v>
      </c>
      <c r="D3" s="3198" t="s">
        <v>103</v>
      </c>
      <c r="E3" s="3193" t="s">
        <v>104</v>
      </c>
      <c r="F3" s="3193"/>
      <c r="G3" s="3193"/>
      <c r="H3" s="3193" t="s">
        <v>105</v>
      </c>
      <c r="I3" s="3193"/>
      <c r="J3" s="3193"/>
      <c r="K3" s="3197" t="s">
        <v>106</v>
      </c>
      <c r="L3" s="3197" t="s">
        <v>107</v>
      </c>
      <c r="M3" s="3198" t="s">
        <v>108</v>
      </c>
      <c r="N3" s="3199" t="str">
        <f>"（分摊）"&amp;项目基本情况!B16&amp;"国有建设用地使用权面积/㎡"</f>
        <v>（分摊）出让国有建设用地使用权面积/㎡</v>
      </c>
      <c r="O3" s="3198" t="s">
        <v>109</v>
      </c>
      <c r="P3" s="3197" t="s">
        <v>110</v>
      </c>
      <c r="Q3" s="3197" t="s">
        <v>111</v>
      </c>
      <c r="R3" s="3197" t="s">
        <v>112</v>
      </c>
    </row>
    <row r="4" spans="1:18" ht="36.75" customHeight="1">
      <c r="A4" s="3198"/>
      <c r="B4" s="3198"/>
      <c r="C4" s="3197"/>
      <c r="D4" s="3198"/>
      <c r="E4" s="3100" t="s">
        <v>113</v>
      </c>
      <c r="F4" s="3100" t="s">
        <v>114</v>
      </c>
      <c r="G4" s="3100" t="s">
        <v>115</v>
      </c>
      <c r="H4" s="3100" t="s">
        <v>116</v>
      </c>
      <c r="I4" s="3100" t="s">
        <v>117</v>
      </c>
      <c r="J4" s="3100" t="s">
        <v>115</v>
      </c>
      <c r="K4" s="3197"/>
      <c r="L4" s="3197"/>
      <c r="M4" s="3198"/>
      <c r="N4" s="3199"/>
      <c r="O4" s="3198"/>
      <c r="P4" s="3197"/>
      <c r="Q4" s="3197"/>
      <c r="R4" s="3197"/>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110836.2</v>
      </c>
      <c r="O5" s="3104">
        <f>项目基本情况!C21</f>
        <v>524902.89999999991</v>
      </c>
      <c r="P5" s="3104">
        <f ca="1">结果表!E42</f>
        <v>10165</v>
      </c>
      <c r="Q5" s="3104">
        <f ca="1">结果表!D42</f>
        <v>2146</v>
      </c>
      <c r="R5" s="3113">
        <f ca="1">结果表!C42</f>
        <v>112664</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3114">
        <f ca="1">结果表!O39</f>
        <v>112664</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3114" t="str">
        <f>结果表!O40</f>
        <v>——</v>
      </c>
    </row>
    <row r="8" spans="1:18">
      <c r="A8" s="3194" t="str">
        <f>IF(项目基本情况!B9="市场价格","——",项目基本情况!E9)</f>
        <v>抵押净值</v>
      </c>
      <c r="B8" s="3195"/>
      <c r="C8" s="3195"/>
      <c r="D8" s="3195"/>
      <c r="E8" s="3195"/>
      <c r="F8" s="3195"/>
      <c r="G8" s="3195"/>
      <c r="H8" s="3195"/>
      <c r="I8" s="3195"/>
      <c r="J8" s="3195"/>
      <c r="K8" s="3195"/>
      <c r="L8" s="3195"/>
      <c r="M8" s="3195"/>
      <c r="N8" s="3195"/>
      <c r="O8" s="3195"/>
      <c r="P8" s="3195"/>
      <c r="Q8" s="3196"/>
      <c r="R8" s="3114">
        <f ca="1">结果表!O41</f>
        <v>90966</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200" t="s">
        <v>122</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2" t="s">
        <v>123</v>
      </c>
      <c r="B5" s="3202"/>
      <c r="C5" s="3202"/>
      <c r="D5" s="3202"/>
    </row>
    <row r="6" spans="1:4">
      <c r="A6" s="3200" t="s">
        <v>124</v>
      </c>
      <c r="B6" s="3200"/>
      <c r="C6" s="3200"/>
      <c r="D6" s="3200"/>
    </row>
    <row r="7" spans="1:4" ht="33" customHeight="1">
      <c r="A7" s="3200" t="s">
        <v>125</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2" t="s">
        <v>126</v>
      </c>
      <c r="B12" s="3202"/>
      <c r="C12" s="3202"/>
      <c r="D12" s="3202"/>
    </row>
    <row r="13" spans="1:4">
      <c r="A13" s="3204" t="s">
        <v>127</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128</v>
      </c>
      <c r="B17" s="3200"/>
      <c r="C17" s="3200"/>
      <c r="D17" s="3200"/>
    </row>
    <row r="18" spans="1:4">
      <c r="A18" s="3200" t="s">
        <v>129</v>
      </c>
      <c r="B18" s="3200"/>
      <c r="C18" s="3200"/>
      <c r="D18" s="3200"/>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200" t="s">
        <v>135</v>
      </c>
      <c r="B23" s="3200"/>
      <c r="C23" s="3200"/>
      <c r="D23" s="3200"/>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205" t="s">
        <v>151</v>
      </c>
      <c r="B15" s="3213" t="s">
        <v>152</v>
      </c>
      <c r="C15" s="3214"/>
    </row>
    <row r="16" spans="1:7" ht="14.25">
      <c r="A16" s="3205"/>
      <c r="B16" s="3207" t="s">
        <v>153</v>
      </c>
      <c r="C16" s="3080" t="s">
        <v>151</v>
      </c>
    </row>
    <row r="17" spans="1:3" ht="14.25">
      <c r="A17" s="3205"/>
      <c r="B17" s="3207"/>
      <c r="C17" s="3080" t="s">
        <v>154</v>
      </c>
    </row>
    <row r="18" spans="1:3" ht="14.25">
      <c r="A18" s="3205"/>
      <c r="B18" s="3207"/>
      <c r="C18" s="3080" t="s">
        <v>155</v>
      </c>
    </row>
    <row r="19" spans="1:3" ht="14.25">
      <c r="A19" s="3205"/>
      <c r="B19" s="3215" t="s">
        <v>156</v>
      </c>
      <c r="C19" s="3214"/>
    </row>
    <row r="20" spans="1:3" ht="14.25">
      <c r="A20" s="3081" t="s">
        <v>157</v>
      </c>
      <c r="B20" s="3082"/>
      <c r="C20" s="3083"/>
    </row>
    <row r="21" spans="1:3" ht="14.25">
      <c r="A21" s="3206" t="s">
        <v>158</v>
      </c>
      <c r="B21" s="3215" t="s">
        <v>159</v>
      </c>
      <c r="C21" s="3214"/>
    </row>
    <row r="22" spans="1:3" ht="14.25">
      <c r="A22" s="3206"/>
      <c r="B22" s="3215" t="s">
        <v>160</v>
      </c>
      <c r="C22" s="3214"/>
    </row>
    <row r="23" spans="1:3" ht="14.25">
      <c r="A23" s="3206"/>
      <c r="B23" s="3215" t="s">
        <v>161</v>
      </c>
      <c r="C23" s="3214"/>
    </row>
    <row r="24" spans="1:3" ht="14.25">
      <c r="A24" s="3206"/>
      <c r="B24" s="3208" t="s">
        <v>162</v>
      </c>
      <c r="C24" s="3084" t="s">
        <v>163</v>
      </c>
    </row>
    <row r="25" spans="1:3" ht="14.25">
      <c r="A25" s="3206"/>
      <c r="B25" s="3209"/>
      <c r="C25" s="3084" t="s">
        <v>164</v>
      </c>
    </row>
    <row r="26" spans="1:3" ht="14.25">
      <c r="A26" s="3206"/>
      <c r="B26" s="3209"/>
      <c r="C26" s="3084" t="s">
        <v>165</v>
      </c>
    </row>
    <row r="27" spans="1:3" ht="14.25">
      <c r="A27" s="3206"/>
      <c r="B27" s="3209"/>
      <c r="C27" s="3084" t="s">
        <v>166</v>
      </c>
    </row>
    <row r="28" spans="1:3" ht="14.25">
      <c r="A28" s="3206"/>
      <c r="B28" s="3209"/>
      <c r="C28" s="3084" t="s">
        <v>167</v>
      </c>
    </row>
    <row r="29" spans="1:3" ht="14.25">
      <c r="A29" s="3206"/>
      <c r="B29" s="3209"/>
      <c r="C29" s="3084" t="s">
        <v>168</v>
      </c>
    </row>
    <row r="30" spans="1:3" ht="14.25">
      <c r="A30" s="3206"/>
      <c r="B30" s="3209"/>
      <c r="C30" s="3084" t="s">
        <v>169</v>
      </c>
    </row>
    <row r="31" spans="1:3" ht="14.25">
      <c r="A31" s="3206"/>
      <c r="B31" s="3209"/>
      <c r="C31" s="3084" t="s">
        <v>170</v>
      </c>
    </row>
    <row r="32" spans="1:3" ht="14.25">
      <c r="A32" s="3206"/>
      <c r="B32" s="3209"/>
      <c r="C32" s="3084" t="s">
        <v>171</v>
      </c>
    </row>
    <row r="33" spans="1:3" ht="14.25">
      <c r="A33" s="3206"/>
      <c r="B33" s="3210" t="s">
        <v>172</v>
      </c>
      <c r="C33" s="3084" t="s">
        <v>173</v>
      </c>
    </row>
    <row r="34" spans="1:3" ht="14.25">
      <c r="A34" s="3206"/>
      <c r="B34" s="3211"/>
      <c r="C34" s="3085" t="s">
        <v>174</v>
      </c>
    </row>
    <row r="35" spans="1:3" ht="14.25">
      <c r="A35" s="3206"/>
      <c r="B35" s="3211"/>
      <c r="C35" s="3086" t="s">
        <v>175</v>
      </c>
    </row>
    <row r="36" spans="1:3" ht="14.25">
      <c r="A36" s="3206"/>
      <c r="B36" s="3211"/>
      <c r="C36" s="3086" t="s">
        <v>176</v>
      </c>
    </row>
    <row r="37" spans="1:3" ht="14.25">
      <c r="A37" s="3206"/>
      <c r="B37" s="3212"/>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43979</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t="str">
        <f ca="1">IF(C4&lt;B2,"已过期",1119970066)</f>
        <v>已过期</v>
      </c>
      <c r="C4" s="3057">
        <v>43849</v>
      </c>
      <c r="D4" s="3055" t="s">
        <v>191</v>
      </c>
      <c r="E4" s="3055">
        <f ca="1">IF(F4&lt;B2,"已过期",96010014)</f>
        <v>96010014</v>
      </c>
      <c r="F4" s="3058">
        <v>47118</v>
      </c>
    </row>
    <row r="5" spans="1:6" ht="20.25" customHeight="1">
      <c r="A5" s="3055"/>
      <c r="B5" s="3055"/>
      <c r="C5" s="3057"/>
      <c r="D5" s="3055"/>
      <c r="E5" s="3055"/>
      <c r="F5" s="3058"/>
    </row>
    <row r="6" spans="1:6" ht="20.25" customHeight="1">
      <c r="A6" s="3055" t="s">
        <v>192</v>
      </c>
      <c r="B6" s="3055">
        <f ca="1">IF(C6&lt;B2,"已过期",1119970111)</f>
        <v>1119970111</v>
      </c>
      <c r="C6" s="3057">
        <v>44876</v>
      </c>
      <c r="D6" s="3055" t="s">
        <v>192</v>
      </c>
      <c r="E6" s="3055">
        <f ca="1">IF(F6&lt;B2,"已过期",94010078)</f>
        <v>94010078</v>
      </c>
      <c r="F6" s="3058">
        <v>46387</v>
      </c>
    </row>
    <row r="7" spans="1:6" ht="20.25" customHeight="1">
      <c r="A7" s="3055" t="s">
        <v>193</v>
      </c>
      <c r="B7" s="3055">
        <f ca="1">IF(C7&lt;B2,"已过期",1120050019)</f>
        <v>1120050019</v>
      </c>
      <c r="C7" s="3057">
        <v>44395</v>
      </c>
      <c r="D7" s="3055" t="s">
        <v>193</v>
      </c>
      <c r="E7" s="3055">
        <f ca="1">IF(F7&lt;B2,"已过期",2002110030)</f>
        <v>2002110030</v>
      </c>
      <c r="F7" s="3058">
        <v>46387</v>
      </c>
    </row>
    <row r="8" spans="1:6" ht="20.25" customHeight="1">
      <c r="A8" s="3055" t="s">
        <v>194</v>
      </c>
      <c r="B8" s="3055" t="str">
        <f ca="1">IF(C8&lt;B2,"已过期",1120000080)</f>
        <v>已过期</v>
      </c>
      <c r="C8" s="3057">
        <v>43849</v>
      </c>
      <c r="D8" s="3055" t="s">
        <v>194</v>
      </c>
      <c r="E8" s="3055">
        <f ca="1">IF(F8&lt;B2,"已过期",2000110082)</f>
        <v>2000110082</v>
      </c>
      <c r="F8" s="3058">
        <v>46387</v>
      </c>
    </row>
    <row r="9" spans="1:6" ht="20.25" customHeight="1">
      <c r="A9" s="3055" t="s">
        <v>195</v>
      </c>
      <c r="B9" s="3055" t="str">
        <f ca="1">IF(C9&lt;B2,"已过期",1419970001)</f>
        <v>已过期</v>
      </c>
      <c r="C9" s="3057">
        <v>43867</v>
      </c>
      <c r="D9" s="3055" t="s">
        <v>195</v>
      </c>
      <c r="E9" s="3055">
        <f ca="1">IF(F9&lt;B2,"已过期",2002110125)</f>
        <v>2002110125</v>
      </c>
      <c r="F9" s="3058">
        <v>47118</v>
      </c>
    </row>
    <row r="10" spans="1:6" ht="20.25" customHeight="1">
      <c r="A10" s="3055" t="s">
        <v>196</v>
      </c>
      <c r="B10" s="3055">
        <f ca="1">IF(C10&lt;B2,"已过期",1120060040)</f>
        <v>1120060040</v>
      </c>
      <c r="C10" s="3057">
        <v>44554</v>
      </c>
      <c r="D10" s="3055" t="s">
        <v>196</v>
      </c>
      <c r="E10" s="3055">
        <f ca="1">IF(F10&lt;B2,"已过期",2004110096)</f>
        <v>2004110096</v>
      </c>
      <c r="F10" s="3058">
        <v>47118</v>
      </c>
    </row>
    <row r="11" spans="1:6" ht="20.25" customHeight="1">
      <c r="A11" s="3055" t="s">
        <v>197</v>
      </c>
      <c r="B11" s="3055">
        <f ca="1">IF(C11&lt;B2,"已过期",1120100036)</f>
        <v>1120100036</v>
      </c>
      <c r="C11" s="3057">
        <v>44675</v>
      </c>
      <c r="D11" s="3055" t="s">
        <v>197</v>
      </c>
      <c r="E11" s="3055">
        <f ca="1">IF(F11&lt;B2,"已过期",2010110070)</f>
        <v>2010110070</v>
      </c>
      <c r="F11" s="3058">
        <v>47907</v>
      </c>
    </row>
    <row r="12" spans="1:6" ht="20.25" customHeight="1">
      <c r="A12" s="3055"/>
      <c r="B12" s="3055"/>
      <c r="C12" s="3057"/>
      <c r="D12" s="3055"/>
      <c r="E12" s="3055"/>
      <c r="F12" s="3058"/>
    </row>
    <row r="13" spans="1:6" ht="20.25" customHeight="1">
      <c r="A13" s="3055" t="s">
        <v>198</v>
      </c>
      <c r="B13" s="3055">
        <f ca="1">IF(C13&lt;B2,"已过期",1120070131)</f>
        <v>1120070131</v>
      </c>
      <c r="C13" s="3057">
        <v>44849</v>
      </c>
      <c r="D13" s="3055" t="s">
        <v>198</v>
      </c>
      <c r="E13" s="3055">
        <f ca="1">IF(F13&lt;B2,"已过期",2014110011)</f>
        <v>2014110011</v>
      </c>
      <c r="F13" s="3058">
        <v>49302</v>
      </c>
    </row>
    <row r="14" spans="1:6" ht="20.25" customHeight="1">
      <c r="A14" s="3055" t="s">
        <v>199</v>
      </c>
      <c r="B14" s="3055">
        <f ca="1">IF(C14&lt;B2,"已过期",1120040230)</f>
        <v>1120040230</v>
      </c>
      <c r="C14" s="3059">
        <v>44864</v>
      </c>
      <c r="D14" s="3060" t="s">
        <v>199</v>
      </c>
      <c r="E14" s="3055">
        <f ca="1">IF(F14&lt;B2,"已过期",98030020)</f>
        <v>98030020</v>
      </c>
      <c r="F14" s="3058">
        <v>47118</v>
      </c>
    </row>
    <row r="15" spans="1:6" ht="20.25" customHeight="1">
      <c r="A15" s="3055"/>
      <c r="B15" s="3055"/>
      <c r="C15" s="3059"/>
      <c r="D15" s="3055"/>
      <c r="E15" s="3055"/>
      <c r="F15" s="3061"/>
    </row>
    <row r="16" spans="1:6" ht="20.25" customHeight="1">
      <c r="A16" s="3055"/>
      <c r="B16" s="3055"/>
      <c r="C16" s="3057"/>
      <c r="D16" s="3055"/>
      <c r="E16" s="3055"/>
      <c r="F16" s="3058"/>
    </row>
    <row r="17" spans="1:7" ht="20.25" customHeight="1">
      <c r="A17" s="3055"/>
      <c r="B17" s="3055"/>
      <c r="C17" s="3057"/>
      <c r="D17" s="3060"/>
      <c r="E17" s="3055"/>
      <c r="F17" s="3058"/>
    </row>
    <row r="18" spans="1:7" ht="20.25" customHeight="1">
      <c r="A18" s="3055" t="s">
        <v>200</v>
      </c>
      <c r="B18" s="3055">
        <v>1120190079</v>
      </c>
      <c r="C18" s="3057">
        <v>44826</v>
      </c>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201</v>
      </c>
      <c r="E21" s="3055">
        <f ca="1">IF(F21&lt;B2,"已过期",2011110090)</f>
        <v>2011110090</v>
      </c>
      <c r="F21" s="3058">
        <v>48302</v>
      </c>
    </row>
    <row r="22" spans="1:7" ht="20.25" customHeight="1">
      <c r="A22" s="3055" t="s">
        <v>202</v>
      </c>
      <c r="B22" s="3055">
        <f ca="1">IF(C22&lt;B2,"已过期",1120020033)</f>
        <v>1120020033</v>
      </c>
      <c r="C22" s="3057">
        <v>44339</v>
      </c>
      <c r="D22" s="3055" t="s">
        <v>202</v>
      </c>
      <c r="E22" s="3055">
        <f ca="1">IF(F22&lt;B2,"已过期",2000110137)</f>
        <v>2000110137</v>
      </c>
      <c r="F22" s="3058">
        <v>46387</v>
      </c>
    </row>
    <row r="23" spans="1:7" ht="20.25" customHeight="1">
      <c r="A23" s="3055" t="s">
        <v>203</v>
      </c>
      <c r="B23" s="3055">
        <v>1119980106</v>
      </c>
      <c r="C23" s="3057">
        <v>43916</v>
      </c>
      <c r="D23" s="3055"/>
      <c r="E23" s="3055"/>
      <c r="F23" s="3055"/>
    </row>
    <row r="24" spans="1:7" s="3049" customFormat="1" ht="20.25" customHeight="1">
      <c r="A24" s="3054" t="s">
        <v>138</v>
      </c>
      <c r="B24" s="3054" t="s">
        <v>138</v>
      </c>
      <c r="C24" s="3057"/>
      <c r="D24" s="3062" t="s">
        <v>138</v>
      </c>
      <c r="E24" s="3054" t="s">
        <v>138</v>
      </c>
      <c r="F24" s="3061"/>
    </row>
    <row r="25" spans="1:7" ht="20.25" customHeight="1">
      <c r="A25" s="3216" t="s">
        <v>204</v>
      </c>
      <c r="B25" s="3216"/>
      <c r="C25" s="3216"/>
      <c r="D25" s="3216"/>
      <c r="E25" s="3216"/>
      <c r="F25" s="3216"/>
      <c r="G25" s="3216"/>
    </row>
    <row r="26" spans="1:7" ht="20.25" customHeight="1">
      <c r="A26" s="3217" t="s">
        <v>205</v>
      </c>
      <c r="B26" s="3217"/>
      <c r="C26" s="3217"/>
      <c r="D26" s="3217" t="s">
        <v>206</v>
      </c>
      <c r="E26" s="3217"/>
      <c r="F26" s="3217"/>
    </row>
    <row r="27" spans="1:7" s="3050" customFormat="1" ht="20.25" customHeight="1">
      <c r="A27" s="3063" t="s">
        <v>207</v>
      </c>
      <c r="B27" s="3064" t="s">
        <v>208</v>
      </c>
      <c r="C27" s="3064" t="s">
        <v>188</v>
      </c>
      <c r="D27" s="3055" t="s">
        <v>207</v>
      </c>
      <c r="E27" s="3064" t="s">
        <v>208</v>
      </c>
      <c r="F27" s="3064" t="s">
        <v>188</v>
      </c>
    </row>
    <row r="28" spans="1:7" s="3050" customFormat="1" ht="20.25" customHeight="1">
      <c r="A28" s="3065" t="s">
        <v>209</v>
      </c>
      <c r="B28" s="3065" t="s">
        <v>210</v>
      </c>
      <c r="C28" s="3058">
        <v>44820</v>
      </c>
      <c r="D28" s="3065" t="s">
        <v>211</v>
      </c>
      <c r="E28" s="3065" t="s">
        <v>212</v>
      </c>
      <c r="F28" s="3066">
        <v>44377</v>
      </c>
    </row>
    <row r="29" spans="1:7" s="3050" customFormat="1" ht="20.25" customHeight="1">
      <c r="A29" s="3065"/>
      <c r="B29" s="3065"/>
      <c r="C29" s="3067"/>
      <c r="D29" s="3065" t="s">
        <v>213</v>
      </c>
      <c r="E29" s="3065" t="s">
        <v>214</v>
      </c>
      <c r="F29" s="3066">
        <v>44012</v>
      </c>
    </row>
    <row r="30" spans="1:7" ht="20.25" customHeight="1">
      <c r="C30" s="3068"/>
      <c r="D30" s="3068"/>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026" customWidth="1"/>
    <col min="2" max="2" width="18.875" style="3027" customWidth="1"/>
    <col min="3" max="3" width="18.875" style="2234" hidden="1" customWidth="1"/>
    <col min="4" max="4" width="5.5" style="3028" hidden="1" customWidth="1"/>
    <col min="5" max="5" width="7.125" style="3028" hidden="1" customWidth="1"/>
    <col min="6" max="6" width="10.625" style="3028" hidden="1" customWidth="1"/>
    <col min="7" max="7" width="7.5" style="3028" hidden="1" customWidth="1"/>
    <col min="8" max="8" width="9" style="2234" hidden="1" customWidth="1"/>
    <col min="9" max="9" width="11.625" style="2234" hidden="1" customWidth="1"/>
    <col min="10" max="10" width="9" style="2234" hidden="1" customWidth="1"/>
    <col min="11" max="19" width="9" style="3028" hidden="1" customWidth="1"/>
    <col min="20" max="22" width="9" style="2234" hidden="1" customWidth="1"/>
    <col min="23" max="23" width="9" style="2234" customWidth="1"/>
    <col min="24" max="24" width="14.625" style="3027" customWidth="1"/>
    <col min="25" max="25" width="7.25" style="3027" customWidth="1"/>
    <col min="26" max="16384" width="9" style="3027"/>
  </cols>
  <sheetData>
    <row r="1" spans="1:23" s="3025" customFormat="1" ht="27">
      <c r="A1" s="3029" t="s">
        <v>215</v>
      </c>
      <c r="B1" s="3030" t="s">
        <v>216</v>
      </c>
      <c r="C1" s="3031" t="s">
        <v>217</v>
      </c>
      <c r="D1" s="3032" t="s">
        <v>218</v>
      </c>
      <c r="E1" s="3032" t="s">
        <v>219</v>
      </c>
      <c r="F1" s="3032" t="s">
        <v>220</v>
      </c>
      <c r="G1" s="3032" t="s">
        <v>221</v>
      </c>
      <c r="H1" s="3032" t="s">
        <v>222</v>
      </c>
      <c r="I1" s="3032" t="s">
        <v>223</v>
      </c>
      <c r="J1" s="3032" t="s">
        <v>224</v>
      </c>
      <c r="K1" s="3032" t="s">
        <v>225</v>
      </c>
      <c r="L1" s="3032" t="s">
        <v>226</v>
      </c>
      <c r="M1" s="3032" t="s">
        <v>227</v>
      </c>
      <c r="N1" s="3032" t="s">
        <v>228</v>
      </c>
      <c r="O1" s="3032" t="s">
        <v>229</v>
      </c>
      <c r="P1" s="3032" t="s">
        <v>230</v>
      </c>
      <c r="Q1" s="3045" t="s">
        <v>231</v>
      </c>
      <c r="R1" s="3046" t="s">
        <v>232</v>
      </c>
      <c r="S1" s="3032" t="s">
        <v>233</v>
      </c>
      <c r="T1" s="3047" t="s">
        <v>234</v>
      </c>
      <c r="U1" s="3032" t="s">
        <v>235</v>
      </c>
      <c r="V1" s="3032" t="s">
        <v>236</v>
      </c>
      <c r="W1" s="3048" t="s">
        <v>237</v>
      </c>
    </row>
    <row r="2" spans="1:23">
      <c r="A2" s="3033" t="s">
        <v>238</v>
      </c>
      <c r="B2" s="3033" t="s">
        <v>239</v>
      </c>
      <c r="C2" s="3034" t="s">
        <v>240</v>
      </c>
      <c r="D2" s="3028" t="s">
        <v>241</v>
      </c>
      <c r="E2" s="3028" t="s">
        <v>242</v>
      </c>
      <c r="F2" s="3028" t="s">
        <v>243</v>
      </c>
      <c r="G2" s="3028">
        <v>40</v>
      </c>
      <c r="H2" s="3028" t="s">
        <v>243</v>
      </c>
      <c r="I2" s="3028" t="s">
        <v>244</v>
      </c>
      <c r="J2" s="3028" t="s">
        <v>245</v>
      </c>
      <c r="K2" s="3028" t="s">
        <v>246</v>
      </c>
      <c r="L2" s="3028" t="s">
        <v>246</v>
      </c>
      <c r="M2" s="3028" t="s">
        <v>246</v>
      </c>
      <c r="N2" s="3028" t="s">
        <v>246</v>
      </c>
      <c r="O2" s="3028" t="s">
        <v>246</v>
      </c>
      <c r="P2" s="3044" t="s">
        <v>246</v>
      </c>
      <c r="Q2" s="3028" t="s">
        <v>246</v>
      </c>
      <c r="R2" s="3044" t="s">
        <v>247</v>
      </c>
      <c r="S2" s="3028" t="s">
        <v>246</v>
      </c>
      <c r="T2" s="3028" t="s">
        <v>248</v>
      </c>
      <c r="U2" s="3028" t="s">
        <v>246</v>
      </c>
      <c r="V2" s="3028" t="s">
        <v>249</v>
      </c>
      <c r="W2" s="3028" t="s">
        <v>250</v>
      </c>
    </row>
    <row r="3" spans="1:23">
      <c r="A3" s="3033" t="s">
        <v>251</v>
      </c>
      <c r="B3" s="3035" t="s">
        <v>252</v>
      </c>
      <c r="C3" s="2546" t="s">
        <v>253</v>
      </c>
      <c r="D3" s="3028" t="s">
        <v>254</v>
      </c>
      <c r="E3" s="3028" t="s">
        <v>138</v>
      </c>
      <c r="F3" s="3028" t="s">
        <v>255</v>
      </c>
      <c r="G3" s="3028">
        <v>50</v>
      </c>
      <c r="H3" s="3028" t="s">
        <v>255</v>
      </c>
      <c r="I3" s="3028" t="s">
        <v>256</v>
      </c>
      <c r="J3" s="3028" t="s">
        <v>257</v>
      </c>
      <c r="K3" s="3028" t="s">
        <v>258</v>
      </c>
      <c r="L3" s="3028" t="s">
        <v>258</v>
      </c>
      <c r="M3" s="3028" t="s">
        <v>258</v>
      </c>
      <c r="N3" s="3028" t="s">
        <v>258</v>
      </c>
      <c r="O3" s="3028" t="s">
        <v>258</v>
      </c>
      <c r="P3" s="3044" t="s">
        <v>258</v>
      </c>
      <c r="Q3" s="3028" t="s">
        <v>258</v>
      </c>
      <c r="R3" s="3044" t="s">
        <v>259</v>
      </c>
      <c r="S3" s="3028" t="s">
        <v>258</v>
      </c>
      <c r="T3" s="3028" t="s">
        <v>260</v>
      </c>
      <c r="U3" s="3028" t="s">
        <v>258</v>
      </c>
      <c r="V3" s="3028" t="s">
        <v>261</v>
      </c>
      <c r="W3" s="3028" t="s">
        <v>262</v>
      </c>
    </row>
    <row r="4" spans="1:23">
      <c r="A4" s="3033" t="s">
        <v>263</v>
      </c>
      <c r="B4" s="3033" t="s">
        <v>264</v>
      </c>
      <c r="C4" s="3034" t="s">
        <v>265</v>
      </c>
      <c r="D4" s="3028" t="s">
        <v>138</v>
      </c>
      <c r="E4" s="3028" t="s">
        <v>266</v>
      </c>
      <c r="F4" s="3028" t="s">
        <v>267</v>
      </c>
      <c r="G4" s="3028">
        <v>70</v>
      </c>
      <c r="H4" s="3028" t="s">
        <v>267</v>
      </c>
      <c r="I4" s="3028" t="s">
        <v>268</v>
      </c>
      <c r="K4" s="3028" t="s">
        <v>269</v>
      </c>
      <c r="L4" s="3028" t="s">
        <v>269</v>
      </c>
      <c r="M4" s="3028" t="s">
        <v>269</v>
      </c>
      <c r="N4" s="3028" t="s">
        <v>269</v>
      </c>
      <c r="O4" s="3028" t="s">
        <v>269</v>
      </c>
      <c r="P4" s="3044" t="s">
        <v>269</v>
      </c>
      <c r="Q4" s="3028" t="s">
        <v>269</v>
      </c>
      <c r="R4" s="3044" t="s">
        <v>270</v>
      </c>
      <c r="S4" s="3028" t="s">
        <v>269</v>
      </c>
      <c r="T4" s="3028" t="s">
        <v>271</v>
      </c>
      <c r="U4" s="3028" t="s">
        <v>269</v>
      </c>
      <c r="W4" s="3028" t="s">
        <v>272</v>
      </c>
    </row>
    <row r="5" spans="1:23">
      <c r="A5" s="3033" t="s">
        <v>273</v>
      </c>
      <c r="B5" s="3033" t="s">
        <v>274</v>
      </c>
      <c r="C5" s="3034" t="s">
        <v>275</v>
      </c>
      <c r="F5" s="3028" t="s">
        <v>276</v>
      </c>
      <c r="H5" s="3028" t="s">
        <v>277</v>
      </c>
      <c r="I5" s="3028" t="s">
        <v>278</v>
      </c>
      <c r="K5" s="3028" t="s">
        <v>279</v>
      </c>
      <c r="L5" s="3028" t="s">
        <v>279</v>
      </c>
      <c r="M5" s="3028" t="s">
        <v>279</v>
      </c>
      <c r="N5" s="3028" t="s">
        <v>279</v>
      </c>
      <c r="O5" s="3028" t="s">
        <v>279</v>
      </c>
      <c r="P5" s="3044" t="s">
        <v>279</v>
      </c>
      <c r="Q5" s="3028" t="s">
        <v>279</v>
      </c>
      <c r="R5" s="3044" t="s">
        <v>280</v>
      </c>
      <c r="S5" s="3028" t="s">
        <v>279</v>
      </c>
      <c r="T5" s="3028" t="s">
        <v>281</v>
      </c>
      <c r="U5" s="3028" t="s">
        <v>279</v>
      </c>
      <c r="W5" s="3028" t="s">
        <v>282</v>
      </c>
    </row>
    <row r="6" spans="1:23">
      <c r="A6" s="3033" t="s">
        <v>283</v>
      </c>
      <c r="B6" s="3036" t="s">
        <v>173</v>
      </c>
      <c r="C6" s="2434" t="s">
        <v>284</v>
      </c>
      <c r="F6" s="3028" t="s">
        <v>277</v>
      </c>
      <c r="H6" s="3028" t="s">
        <v>285</v>
      </c>
      <c r="I6" s="3028" t="s">
        <v>286</v>
      </c>
      <c r="K6" s="3028" t="s">
        <v>287</v>
      </c>
      <c r="L6" s="3028" t="s">
        <v>287</v>
      </c>
      <c r="M6" s="3028" t="s">
        <v>287</v>
      </c>
      <c r="N6" s="3028" t="s">
        <v>287</v>
      </c>
      <c r="O6" s="3028" t="s">
        <v>287</v>
      </c>
      <c r="P6" s="3044" t="s">
        <v>287</v>
      </c>
      <c r="Q6" s="3028" t="s">
        <v>287</v>
      </c>
      <c r="R6" s="3044" t="s">
        <v>288</v>
      </c>
      <c r="S6" s="3028" t="s">
        <v>287</v>
      </c>
      <c r="T6" s="3028"/>
      <c r="U6" s="3028" t="s">
        <v>287</v>
      </c>
      <c r="W6" s="3028" t="s">
        <v>289</v>
      </c>
    </row>
    <row r="7" spans="1:23">
      <c r="A7" s="3033" t="s">
        <v>290</v>
      </c>
      <c r="B7" s="3033" t="s">
        <v>291</v>
      </c>
      <c r="C7" s="3034" t="s">
        <v>292</v>
      </c>
      <c r="F7" s="3028" t="s">
        <v>293</v>
      </c>
      <c r="H7" s="3028" t="s">
        <v>276</v>
      </c>
      <c r="I7" s="3028" t="s">
        <v>294</v>
      </c>
    </row>
    <row r="8" spans="1:23">
      <c r="A8" s="3033" t="s">
        <v>295</v>
      </c>
      <c r="B8" s="3033" t="s">
        <v>296</v>
      </c>
      <c r="C8" s="3034" t="s">
        <v>297</v>
      </c>
      <c r="F8" s="3028" t="s">
        <v>298</v>
      </c>
      <c r="H8" s="3028"/>
      <c r="I8" s="3028" t="s">
        <v>299</v>
      </c>
    </row>
    <row r="9" spans="1:23">
      <c r="A9" s="3033" t="s">
        <v>300</v>
      </c>
      <c r="B9" s="3033" t="s">
        <v>301</v>
      </c>
      <c r="C9" s="3034" t="s">
        <v>302</v>
      </c>
      <c r="F9" s="3028" t="s">
        <v>285</v>
      </c>
      <c r="H9" s="3028"/>
    </row>
    <row r="10" spans="1:23">
      <c r="A10" s="3033" t="s">
        <v>303</v>
      </c>
      <c r="B10" s="3033" t="s">
        <v>304</v>
      </c>
      <c r="C10" s="3034" t="s">
        <v>305</v>
      </c>
      <c r="F10" s="3028" t="s">
        <v>138</v>
      </c>
    </row>
    <row r="11" spans="1:23">
      <c r="A11" s="3033" t="s">
        <v>306</v>
      </c>
      <c r="B11" s="3033" t="s">
        <v>307</v>
      </c>
      <c r="C11" s="3034" t="s">
        <v>308</v>
      </c>
    </row>
    <row r="12" spans="1:23">
      <c r="A12" s="3033" t="s">
        <v>309</v>
      </c>
      <c r="B12" s="3033" t="s">
        <v>310</v>
      </c>
      <c r="C12" s="3034" t="s">
        <v>311</v>
      </c>
    </row>
    <row r="13" spans="1:23">
      <c r="A13" s="3033" t="s">
        <v>312</v>
      </c>
      <c r="B13" s="3033" t="s">
        <v>313</v>
      </c>
      <c r="C13" s="3034" t="s">
        <v>314</v>
      </c>
    </row>
    <row r="14" spans="1:23">
      <c r="A14" s="3033" t="s">
        <v>315</v>
      </c>
      <c r="B14" s="3033" t="s">
        <v>316</v>
      </c>
      <c r="C14" s="3037" t="s">
        <v>138</v>
      </c>
    </row>
    <row r="15" spans="1:23">
      <c r="A15" s="3033" t="s">
        <v>317</v>
      </c>
      <c r="B15" s="3033" t="s">
        <v>318</v>
      </c>
      <c r="C15" s="3037"/>
    </row>
    <row r="16" spans="1:23">
      <c r="A16" s="3033" t="s">
        <v>319</v>
      </c>
      <c r="B16" s="3033" t="s">
        <v>320</v>
      </c>
      <c r="C16" s="3037"/>
    </row>
    <row r="17" spans="1:3">
      <c r="A17" s="3033" t="s">
        <v>321</v>
      </c>
      <c r="B17" s="3033" t="s">
        <v>322</v>
      </c>
      <c r="C17" s="3037"/>
    </row>
    <row r="18" spans="1:3">
      <c r="A18" s="3033" t="s">
        <v>323</v>
      </c>
      <c r="B18" s="3038" t="s">
        <v>324</v>
      </c>
      <c r="C18" s="3037"/>
    </row>
    <row r="19" spans="1:3">
      <c r="A19" s="3033" t="s">
        <v>325</v>
      </c>
      <c r="B19" s="3038" t="s">
        <v>326</v>
      </c>
      <c r="C19" s="3037"/>
    </row>
    <row r="20" spans="1:3">
      <c r="A20" s="3033" t="s">
        <v>277</v>
      </c>
      <c r="B20" s="3038" t="s">
        <v>327</v>
      </c>
      <c r="C20" s="3037"/>
    </row>
    <row r="21" spans="1:3">
      <c r="A21" s="3033" t="s">
        <v>328</v>
      </c>
      <c r="B21" s="3033" t="s">
        <v>327</v>
      </c>
      <c r="C21" s="3037"/>
    </row>
    <row r="22" spans="1:3">
      <c r="A22" s="3033" t="s">
        <v>329</v>
      </c>
      <c r="B22" s="3033" t="s">
        <v>327</v>
      </c>
      <c r="C22" s="3037"/>
    </row>
    <row r="23" spans="1:3">
      <c r="A23" s="3033" t="s">
        <v>330</v>
      </c>
      <c r="B23" s="3033" t="s">
        <v>327</v>
      </c>
      <c r="C23" s="3037"/>
    </row>
    <row r="24" spans="1:3">
      <c r="A24" s="3033" t="s">
        <v>138</v>
      </c>
      <c r="B24" s="3033" t="s">
        <v>327</v>
      </c>
      <c r="C24" s="3037"/>
    </row>
    <row r="25" spans="1:3">
      <c r="A25" s="3033" t="s">
        <v>331</v>
      </c>
      <c r="B25" s="3033" t="s">
        <v>327</v>
      </c>
      <c r="C25" s="3037"/>
    </row>
    <row r="26" spans="1:3">
      <c r="A26" s="3033" t="s">
        <v>332</v>
      </c>
      <c r="B26" s="3033" t="s">
        <v>327</v>
      </c>
      <c r="C26" s="3037"/>
    </row>
    <row r="27" spans="1:3">
      <c r="A27" s="3033" t="s">
        <v>327</v>
      </c>
      <c r="B27" s="3033" t="s">
        <v>327</v>
      </c>
      <c r="C27" s="3037"/>
    </row>
    <row r="28" spans="1:3">
      <c r="A28" s="3033" t="s">
        <v>327</v>
      </c>
      <c r="B28" s="3033" t="s">
        <v>327</v>
      </c>
      <c r="C28" s="3037"/>
    </row>
    <row r="29" spans="1:3">
      <c r="A29" s="3033" t="s">
        <v>327</v>
      </c>
      <c r="B29" s="3033" t="s">
        <v>327</v>
      </c>
      <c r="C29" s="3037"/>
    </row>
    <row r="30" spans="1:3">
      <c r="A30" s="3033" t="s">
        <v>327</v>
      </c>
      <c r="B30" s="3033" t="s">
        <v>327</v>
      </c>
      <c r="C30" s="3037"/>
    </row>
    <row r="31" spans="1:3">
      <c r="A31" s="3033" t="s">
        <v>327</v>
      </c>
      <c r="B31" s="3033" t="s">
        <v>327</v>
      </c>
      <c r="C31" s="3037"/>
    </row>
    <row r="32" spans="1:3">
      <c r="A32" s="3033" t="s">
        <v>327</v>
      </c>
      <c r="B32" s="3033" t="s">
        <v>327</v>
      </c>
      <c r="C32" s="3037"/>
    </row>
    <row r="33" spans="1:3">
      <c r="A33" s="3033" t="s">
        <v>327</v>
      </c>
      <c r="B33" s="3033" t="s">
        <v>327</v>
      </c>
      <c r="C33" s="3037"/>
    </row>
    <row r="34" spans="1:3">
      <c r="A34" s="3033" t="s">
        <v>327</v>
      </c>
      <c r="B34" s="3033" t="s">
        <v>327</v>
      </c>
      <c r="C34" s="3037"/>
    </row>
    <row r="35" spans="1:3">
      <c r="A35" s="3033" t="s">
        <v>327</v>
      </c>
      <c r="B35" s="3033" t="s">
        <v>327</v>
      </c>
      <c r="C35" s="3037"/>
    </row>
    <row r="36" spans="1:3">
      <c r="A36" s="3033" t="s">
        <v>327</v>
      </c>
      <c r="B36" s="3033" t="s">
        <v>327</v>
      </c>
      <c r="C36" s="3037"/>
    </row>
    <row r="37" spans="1:3">
      <c r="A37" s="3033" t="s">
        <v>327</v>
      </c>
      <c r="B37" s="3033" t="s">
        <v>327</v>
      </c>
      <c r="C37" s="3037"/>
    </row>
    <row r="38" spans="1:3">
      <c r="A38" s="3033" t="s">
        <v>327</v>
      </c>
      <c r="B38" s="3033" t="s">
        <v>327</v>
      </c>
      <c r="C38" s="3037"/>
    </row>
    <row r="39" spans="1:3">
      <c r="A39" s="3033" t="s">
        <v>327</v>
      </c>
      <c r="B39" s="3033" t="s">
        <v>327</v>
      </c>
      <c r="C39" s="3037"/>
    </row>
    <row r="40" spans="1:3">
      <c r="A40" s="3033" t="s">
        <v>327</v>
      </c>
      <c r="B40" s="3033" t="s">
        <v>327</v>
      </c>
      <c r="C40" s="3037"/>
    </row>
    <row r="41" spans="1:3">
      <c r="A41" s="3033" t="s">
        <v>327</v>
      </c>
      <c r="B41" s="3033" t="s">
        <v>327</v>
      </c>
      <c r="C41" s="3037"/>
    </row>
    <row r="42" spans="1:3">
      <c r="A42" s="3033" t="s">
        <v>327</v>
      </c>
      <c r="B42" s="3033" t="s">
        <v>327</v>
      </c>
      <c r="C42" s="3037"/>
    </row>
    <row r="43" spans="1:3">
      <c r="A43" s="3033" t="s">
        <v>327</v>
      </c>
      <c r="B43" s="3033" t="s">
        <v>327</v>
      </c>
      <c r="C43" s="3037"/>
    </row>
    <row r="44" spans="1:3">
      <c r="A44" s="3033" t="s">
        <v>327</v>
      </c>
      <c r="B44" s="3033" t="s">
        <v>327</v>
      </c>
      <c r="C44" s="3037"/>
    </row>
    <row r="45" spans="1:3">
      <c r="A45" s="3033" t="s">
        <v>327</v>
      </c>
      <c r="B45" s="3033" t="s">
        <v>327</v>
      </c>
      <c r="C45" s="3037"/>
    </row>
    <row r="46" spans="1:3">
      <c r="A46" s="3033" t="s">
        <v>327</v>
      </c>
      <c r="B46" s="3033" t="s">
        <v>327</v>
      </c>
      <c r="C46" s="3037"/>
    </row>
    <row r="47" spans="1:3">
      <c r="A47" s="3033" t="s">
        <v>327</v>
      </c>
      <c r="B47" s="3033" t="s">
        <v>327</v>
      </c>
      <c r="C47" s="3037"/>
    </row>
    <row r="48" spans="1:3">
      <c r="A48" s="3033" t="s">
        <v>327</v>
      </c>
      <c r="B48" s="3033" t="s">
        <v>327</v>
      </c>
      <c r="C48" s="3037"/>
    </row>
    <row r="49" spans="1:5">
      <c r="A49" s="3033" t="s">
        <v>327</v>
      </c>
      <c r="B49" s="3033" t="s">
        <v>327</v>
      </c>
      <c r="C49" s="3037"/>
    </row>
    <row r="50" spans="1:5">
      <c r="A50" s="3033" t="s">
        <v>327</v>
      </c>
      <c r="B50" s="3033" t="s">
        <v>327</v>
      </c>
      <c r="C50" s="3037"/>
    </row>
    <row r="51" spans="1:5">
      <c r="A51" s="3039" t="s">
        <v>333</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334</v>
      </c>
      <c r="B52" s="3042" t="s">
        <v>335</v>
      </c>
      <c r="C52" s="3040" t="s">
        <v>336</v>
      </c>
      <c r="D52" s="3040" t="s">
        <v>337</v>
      </c>
      <c r="E52" s="3041"/>
    </row>
    <row r="53" spans="1:5">
      <c r="A53" s="3218" t="s">
        <v>338</v>
      </c>
      <c r="B53" s="3040" t="s">
        <v>339</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1"/>
      <c r="E53" s="3041"/>
    </row>
    <row r="54" spans="1:5">
      <c r="A54" s="3218"/>
      <c r="B54" s="3040" t="s">
        <v>340</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218"/>
      <c r="B55" s="3040" t="s">
        <v>341</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218"/>
      <c r="B56" s="3040" t="s">
        <v>342</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218"/>
      <c r="B57" s="3040" t="s">
        <v>343</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344</v>
      </c>
      <c r="B58" s="3040"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不动产收益法-办公</vt:lpstr>
      <vt:lpstr>不动产比较法-商业</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2020-05-28T07:17:01Z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