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480" yWindow="210" windowWidth="12120" windowHeight="7620" tabRatio="875" firstSheet="8" activeTab="3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系统读取表" sheetId="66" state="hidden" r:id="rId15"/>
    <sheet name="结果表" sheetId="9" state="hidden" r:id="rId16"/>
    <sheet name="剩余法-待开发住宅" sheetId="12" state="hidden" r:id="rId17"/>
    <sheet name="剩余法-现房" sheetId="43" state="hidden" r:id="rId18"/>
    <sheet name="比较法-住宅、综合" sheetId="39" state="hidden" r:id="rId19"/>
    <sheet name="比较法-工业" sheetId="40" state="hidden" r:id="rId20"/>
    <sheet name="修正" sheetId="49" state="hidden" r:id="rId21"/>
    <sheet name="区片价" sheetId="48" state="hidden" r:id="rId22"/>
    <sheet name="容积率修正" sheetId="45" state="hidden" r:id="rId23"/>
    <sheet name="因素修正幅度" sheetId="56" state="hidden" r:id="rId24"/>
    <sheet name="基准地价（汇总）" sheetId="67" state="hidden" r:id="rId25"/>
    <sheet name="收益还原法" sheetId="44" state="hidden" r:id="rId26"/>
    <sheet name="地价" sheetId="59" state="hidden" r:id="rId27"/>
    <sheet name="不动产收益法" sheetId="15" state="hidden" r:id="rId28"/>
    <sheet name="酒店收入计算" sheetId="57" state="hidden" r:id="rId29"/>
    <sheet name="成本逼近法" sheetId="11" state="hidden" r:id="rId30"/>
    <sheet name="剩余法-待开发商业" sheetId="72" state="hidden" r:id="rId31"/>
    <sheet name="不动产比较法-住宅" sheetId="21" state="hidden" r:id="rId32"/>
    <sheet name="不动产比较法-商业" sheetId="33" state="hidden" r:id="rId33"/>
    <sheet name="基准地价-住宅" sheetId="46" r:id="rId34"/>
    <sheet name="基准地价-商业" sheetId="7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结果表一" sheetId="68" r:id="rId42"/>
    <sheet name="估价对象房地状况" sheetId="20" r:id="rId43"/>
    <sheet name="住宅案例" sheetId="69" state="hidden" r:id="rId44"/>
    <sheet name="商业案例" sheetId="74" state="hidden" r:id="rId45"/>
    <sheet name="Sheet1" sheetId="75" r:id="rId46"/>
  </sheets>
  <externalReferences>
    <externalReference r:id="rId47"/>
    <externalReference r:id="rId48"/>
    <externalReference r:id="rId49"/>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1">结果表一!$A$1:$K$10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4">'基准地价-商业'!$N$19:$AG$19</definedName>
    <definedName name="季度">'基准地价-住宅'!$N$19:$AG$19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C21" i="68"/>
  <c r="D12" l="1"/>
  <c r="D20" s="1"/>
  <c r="D21" s="1"/>
  <c r="J32"/>
  <c r="C35"/>
  <c r="F34"/>
  <c r="C33"/>
  <c r="C32"/>
  <c r="C31"/>
  <c r="C73" i="46"/>
  <c r="D13" i="68" l="1"/>
  <c r="D18"/>
  <c r="D19" s="1"/>
  <c r="D14"/>
  <c r="D15" s="1"/>
  <c r="D16"/>
  <c r="D17" s="1"/>
  <c r="D39" i="46"/>
  <c r="C5" i="33" l="1"/>
  <c r="F113" i="73"/>
  <c r="N99"/>
  <c r="N108" s="1"/>
  <c r="M99"/>
  <c r="M108" s="1"/>
  <c r="L99"/>
  <c r="L108" s="1"/>
  <c r="K99"/>
  <c r="K108" s="1"/>
  <c r="J99"/>
  <c r="J108" s="1"/>
  <c r="I99"/>
  <c r="I108" s="1"/>
  <c r="H99"/>
  <c r="H108" s="1"/>
  <c r="G99"/>
  <c r="G108" s="1"/>
  <c r="F99"/>
  <c r="F108" s="1"/>
  <c r="E99"/>
  <c r="E108" s="1"/>
  <c r="D99"/>
  <c r="D108" s="1"/>
  <c r="C99"/>
  <c r="C108" s="1"/>
  <c r="M87"/>
  <c r="N87" s="1"/>
  <c r="K87"/>
  <c r="J87"/>
  <c r="D87"/>
  <c r="N86"/>
  <c r="M86"/>
  <c r="K86"/>
  <c r="J86" s="1"/>
  <c r="D86"/>
  <c r="N85"/>
  <c r="M85"/>
  <c r="K85"/>
  <c r="J85" s="1"/>
  <c r="D85"/>
  <c r="N84"/>
  <c r="M84"/>
  <c r="K84"/>
  <c r="J84" s="1"/>
  <c r="D84"/>
  <c r="M83"/>
  <c r="N83" s="1"/>
  <c r="K83"/>
  <c r="J83" s="1"/>
  <c r="D83"/>
  <c r="B83"/>
  <c r="N82"/>
  <c r="M82"/>
  <c r="K82"/>
  <c r="J82" s="1"/>
  <c r="D82"/>
  <c r="B82"/>
  <c r="M81"/>
  <c r="N81" s="1"/>
  <c r="K81"/>
  <c r="J81" s="1"/>
  <c r="D81"/>
  <c r="N80"/>
  <c r="M80"/>
  <c r="K80"/>
  <c r="J80" s="1"/>
  <c r="F80"/>
  <c r="H86" s="1"/>
  <c r="D80"/>
  <c r="E80" s="1"/>
  <c r="B78" s="1"/>
  <c r="M77"/>
  <c r="N77" s="1"/>
  <c r="K77"/>
  <c r="J77" s="1"/>
  <c r="D77"/>
  <c r="M76"/>
  <c r="N76" s="1"/>
  <c r="K76"/>
  <c r="J76" s="1"/>
  <c r="D76"/>
  <c r="M75"/>
  <c r="N75" s="1"/>
  <c r="K75"/>
  <c r="J75" s="1"/>
  <c r="N74"/>
  <c r="M74"/>
  <c r="K74"/>
  <c r="J74" s="1"/>
  <c r="D74" s="1"/>
  <c r="N73"/>
  <c r="M73"/>
  <c r="K73"/>
  <c r="J73" s="1"/>
  <c r="M72"/>
  <c r="N72" s="1"/>
  <c r="K72"/>
  <c r="J72" s="1"/>
  <c r="D72" s="1"/>
  <c r="M71"/>
  <c r="N71" s="1"/>
  <c r="K71"/>
  <c r="J71" s="1"/>
  <c r="D71"/>
  <c r="B71"/>
  <c r="N70"/>
  <c r="M70"/>
  <c r="K70"/>
  <c r="J70" s="1"/>
  <c r="M69"/>
  <c r="N69" s="1"/>
  <c r="K69"/>
  <c r="J69"/>
  <c r="D69"/>
  <c r="M66"/>
  <c r="N66" s="1"/>
  <c r="K66"/>
  <c r="J66" s="1"/>
  <c r="D66"/>
  <c r="M65"/>
  <c r="N65" s="1"/>
  <c r="K65"/>
  <c r="J65" s="1"/>
  <c r="D65"/>
  <c r="M64"/>
  <c r="N64" s="1"/>
  <c r="K64"/>
  <c r="J64" s="1"/>
  <c r="D64"/>
  <c r="N63"/>
  <c r="M63"/>
  <c r="K63"/>
  <c r="J63" s="1"/>
  <c r="D63"/>
  <c r="M62"/>
  <c r="N62" s="1"/>
  <c r="K62"/>
  <c r="J62" s="1"/>
  <c r="D62"/>
  <c r="N61"/>
  <c r="M61"/>
  <c r="K61"/>
  <c r="J61" s="1"/>
  <c r="D61"/>
  <c r="M60"/>
  <c r="N60" s="1"/>
  <c r="K60"/>
  <c r="J60" s="1"/>
  <c r="D60"/>
  <c r="B60"/>
  <c r="N59"/>
  <c r="M59"/>
  <c r="K59"/>
  <c r="J59" s="1"/>
  <c r="D59"/>
  <c r="M58"/>
  <c r="N58" s="1"/>
  <c r="K58"/>
  <c r="J58" s="1"/>
  <c r="F58"/>
  <c r="H65" s="1"/>
  <c r="D58"/>
  <c r="E58" s="1"/>
  <c r="B56" s="1"/>
  <c r="M55"/>
  <c r="N55" s="1"/>
  <c r="K55"/>
  <c r="J55" s="1"/>
  <c r="D55"/>
  <c r="M54"/>
  <c r="N54" s="1"/>
  <c r="K54"/>
  <c r="J54" s="1"/>
  <c r="D54" s="1"/>
  <c r="M53"/>
  <c r="N53" s="1"/>
  <c r="K53"/>
  <c r="J53" s="1"/>
  <c r="D53" s="1"/>
  <c r="M52"/>
  <c r="N52" s="1"/>
  <c r="K52"/>
  <c r="J52" s="1"/>
  <c r="D52"/>
  <c r="M51"/>
  <c r="N51" s="1"/>
  <c r="K51"/>
  <c r="J51" s="1"/>
  <c r="D51" s="1"/>
  <c r="M50"/>
  <c r="N50" s="1"/>
  <c r="K50"/>
  <c r="J50" s="1"/>
  <c r="D50"/>
  <c r="M49"/>
  <c r="N49" s="1"/>
  <c r="K49"/>
  <c r="J49" s="1"/>
  <c r="D49"/>
  <c r="B49"/>
  <c r="M48"/>
  <c r="N48" s="1"/>
  <c r="K48"/>
  <c r="J48" s="1"/>
  <c r="D48"/>
  <c r="M47"/>
  <c r="N47" s="1"/>
  <c r="K47"/>
  <c r="J47" s="1"/>
  <c r="D47"/>
  <c r="H39"/>
  <c r="H38"/>
  <c r="H37"/>
  <c r="H36"/>
  <c r="H35"/>
  <c r="H34"/>
  <c r="H33"/>
  <c r="D29"/>
  <c r="J20"/>
  <c r="I19"/>
  <c r="C18"/>
  <c r="F15"/>
  <c r="E15"/>
  <c r="D15"/>
  <c r="C15"/>
  <c r="C12" s="1"/>
  <c r="Y12"/>
  <c r="Y10"/>
  <c r="C10"/>
  <c r="C11" s="1"/>
  <c r="AJ9"/>
  <c r="AJ10" s="1"/>
  <c r="AI9"/>
  <c r="AI12" s="1"/>
  <c r="AH9"/>
  <c r="AH10" s="1"/>
  <c r="AG9"/>
  <c r="AG12" s="1"/>
  <c r="AF9"/>
  <c r="AF10" s="1"/>
  <c r="AE9"/>
  <c r="AE12" s="1"/>
  <c r="AD9"/>
  <c r="AD10" s="1"/>
  <c r="AC9"/>
  <c r="AC12" s="1"/>
  <c r="AB9"/>
  <c r="AB10" s="1"/>
  <c r="AA9"/>
  <c r="AA12" s="1"/>
  <c r="Z9"/>
  <c r="Z10" s="1"/>
  <c r="C9"/>
  <c r="A7"/>
  <c r="G3"/>
  <c r="B113" s="1"/>
  <c r="I2"/>
  <c r="M12" s="1"/>
  <c r="G2"/>
  <c r="F69" s="1"/>
  <c r="N1"/>
  <c r="D1"/>
  <c r="F25" i="72"/>
  <c r="F24"/>
  <c r="F23"/>
  <c r="E22"/>
  <c r="D73" i="73" l="1"/>
  <c r="E47"/>
  <c r="B45" s="1"/>
  <c r="M1"/>
  <c r="M2"/>
  <c r="N3"/>
  <c r="N5"/>
  <c r="M8"/>
  <c r="H80"/>
  <c r="M4"/>
  <c r="N6"/>
  <c r="M7"/>
  <c r="F47"/>
  <c r="H54" s="1"/>
  <c r="H75"/>
  <c r="H74"/>
  <c r="H72"/>
  <c r="H70"/>
  <c r="H77"/>
  <c r="H76"/>
  <c r="H73"/>
  <c r="H71"/>
  <c r="H69"/>
  <c r="D118"/>
  <c r="E118" s="1"/>
  <c r="F118" s="1"/>
  <c r="B118"/>
  <c r="C118" s="1"/>
  <c r="D117"/>
  <c r="E117" s="1"/>
  <c r="F117" s="1"/>
  <c r="G117" s="1"/>
  <c r="H117" s="1"/>
  <c r="B117"/>
  <c r="C117" s="1"/>
  <c r="D116"/>
  <c r="E116" s="1"/>
  <c r="F116" s="1"/>
  <c r="G116" s="1"/>
  <c r="H116" s="1"/>
  <c r="B116"/>
  <c r="C116" s="1"/>
  <c r="D115"/>
  <c r="E115" s="1"/>
  <c r="F115" s="1"/>
  <c r="G115" s="1"/>
  <c r="H115" s="1"/>
  <c r="B115"/>
  <c r="C115" s="1"/>
  <c r="I118"/>
  <c r="J118" s="1"/>
  <c r="K118" s="1"/>
  <c r="L118" s="1"/>
  <c r="M118" s="1"/>
  <c r="G118"/>
  <c r="H118" s="1"/>
  <c r="I117"/>
  <c r="J117" s="1"/>
  <c r="K117" s="1"/>
  <c r="L117" s="1"/>
  <c r="M117" s="1"/>
  <c r="I116"/>
  <c r="J116" s="1"/>
  <c r="K116" s="1"/>
  <c r="L116" s="1"/>
  <c r="M116" s="1"/>
  <c r="I115"/>
  <c r="J115" s="1"/>
  <c r="K115" s="1"/>
  <c r="L115" s="1"/>
  <c r="M115" s="1"/>
  <c r="E11"/>
  <c r="E10"/>
  <c r="E9"/>
  <c r="E8"/>
  <c r="S2"/>
  <c r="S7"/>
  <c r="Z7"/>
  <c r="N2"/>
  <c r="M3"/>
  <c r="S3"/>
  <c r="N4"/>
  <c r="M5"/>
  <c r="S5"/>
  <c r="M6"/>
  <c r="S6"/>
  <c r="N7"/>
  <c r="X7"/>
  <c r="N8"/>
  <c r="N9"/>
  <c r="M10"/>
  <c r="AA10"/>
  <c r="AC10"/>
  <c r="AE10"/>
  <c r="AG10"/>
  <c r="AI10"/>
  <c r="M11"/>
  <c r="Y11"/>
  <c r="Y13" s="1"/>
  <c r="AA11"/>
  <c r="AA13" s="1"/>
  <c r="AC11"/>
  <c r="AC13" s="1"/>
  <c r="AE11"/>
  <c r="AE13" s="1"/>
  <c r="AG11"/>
  <c r="AG13" s="1"/>
  <c r="AI11"/>
  <c r="AI13" s="1"/>
  <c r="N12"/>
  <c r="Z12"/>
  <c r="AB12"/>
  <c r="AD12"/>
  <c r="AF12"/>
  <c r="AH12"/>
  <c r="AJ12"/>
  <c r="C17"/>
  <c r="G17"/>
  <c r="I17"/>
  <c r="F22"/>
  <c r="H22"/>
  <c r="H47"/>
  <c r="H49"/>
  <c r="H50"/>
  <c r="H53"/>
  <c r="H55"/>
  <c r="H58"/>
  <c r="H60"/>
  <c r="H61"/>
  <c r="H64"/>
  <c r="H66"/>
  <c r="D70"/>
  <c r="D75"/>
  <c r="H82"/>
  <c r="H84"/>
  <c r="H87"/>
  <c r="D100"/>
  <c r="F100"/>
  <c r="H100"/>
  <c r="J100"/>
  <c r="L100"/>
  <c r="N100"/>
  <c r="D101"/>
  <c r="F101"/>
  <c r="H101"/>
  <c r="J101"/>
  <c r="L101"/>
  <c r="N101"/>
  <c r="H113"/>
  <c r="D113" s="1"/>
  <c r="S4"/>
  <c r="C6"/>
  <c r="M9"/>
  <c r="N10"/>
  <c r="N11"/>
  <c r="Z11"/>
  <c r="AB11"/>
  <c r="AD11"/>
  <c r="AF11"/>
  <c r="AH11"/>
  <c r="AJ11"/>
  <c r="E17"/>
  <c r="H17"/>
  <c r="J17"/>
  <c r="E22"/>
  <c r="G22"/>
  <c r="J22"/>
  <c r="C23"/>
  <c r="F33"/>
  <c r="F34"/>
  <c r="F35"/>
  <c r="F36"/>
  <c r="F37"/>
  <c r="F38"/>
  <c r="F39"/>
  <c r="H48"/>
  <c r="H51"/>
  <c r="H52"/>
  <c r="H59"/>
  <c r="H62"/>
  <c r="H63"/>
  <c r="H81"/>
  <c r="H83"/>
  <c r="H85"/>
  <c r="C100"/>
  <c r="E100"/>
  <c r="G100"/>
  <c r="I100"/>
  <c r="K100"/>
  <c r="M100"/>
  <c r="C101"/>
  <c r="E101"/>
  <c r="G101"/>
  <c r="I101"/>
  <c r="K101"/>
  <c r="M101"/>
  <c r="E21" i="72"/>
  <c r="E19"/>
  <c r="F17"/>
  <c r="E16"/>
  <c r="F15"/>
  <c r="F14"/>
  <c r="K9"/>
  <c r="J9"/>
  <c r="I9"/>
  <c r="H9"/>
  <c r="G9"/>
  <c r="F9"/>
  <c r="E9"/>
  <c r="D9"/>
  <c r="D22" i="73" l="1"/>
  <c r="C21" s="1"/>
  <c r="C7"/>
  <c r="E69"/>
  <c r="B67" s="1"/>
  <c r="C24" s="1"/>
  <c r="K107"/>
  <c r="K106"/>
  <c r="K105"/>
  <c r="K104"/>
  <c r="K103"/>
  <c r="K102"/>
  <c r="G107"/>
  <c r="G106"/>
  <c r="G105"/>
  <c r="G104"/>
  <c r="G103"/>
  <c r="G102"/>
  <c r="C107"/>
  <c r="C106"/>
  <c r="C105"/>
  <c r="C104"/>
  <c r="C103"/>
  <c r="C102"/>
  <c r="M107"/>
  <c r="M106"/>
  <c r="M105"/>
  <c r="M104"/>
  <c r="M103"/>
  <c r="M102"/>
  <c r="I107"/>
  <c r="I106"/>
  <c r="I105"/>
  <c r="I104"/>
  <c r="I103"/>
  <c r="I102"/>
  <c r="E107"/>
  <c r="E106"/>
  <c r="E105"/>
  <c r="E104"/>
  <c r="E103"/>
  <c r="E102"/>
  <c r="L107"/>
  <c r="L106"/>
  <c r="L105"/>
  <c r="L104"/>
  <c r="L103"/>
  <c r="L102"/>
  <c r="H107"/>
  <c r="H106"/>
  <c r="H105"/>
  <c r="H104"/>
  <c r="H103"/>
  <c r="H102"/>
  <c r="D107"/>
  <c r="D106"/>
  <c r="D105"/>
  <c r="D104"/>
  <c r="D103"/>
  <c r="D102"/>
  <c r="C16"/>
  <c r="D5" s="1"/>
  <c r="AJ13"/>
  <c r="AF13"/>
  <c r="AB13"/>
  <c r="L109"/>
  <c r="H109"/>
  <c r="D109"/>
  <c r="K109"/>
  <c r="G109"/>
  <c r="C109"/>
  <c r="N107"/>
  <c r="N106"/>
  <c r="N105"/>
  <c r="N104"/>
  <c r="N103"/>
  <c r="N102"/>
  <c r="J107"/>
  <c r="J106"/>
  <c r="J105"/>
  <c r="J104"/>
  <c r="J103"/>
  <c r="J102"/>
  <c r="F107"/>
  <c r="F106"/>
  <c r="F105"/>
  <c r="F104"/>
  <c r="F103"/>
  <c r="F102"/>
  <c r="AH13"/>
  <c r="AD13"/>
  <c r="Z13"/>
  <c r="N109"/>
  <c r="J109"/>
  <c r="F109"/>
  <c r="M109"/>
  <c r="I109"/>
  <c r="E109"/>
  <c r="C5" l="1"/>
  <c r="D29" i="46" l="1"/>
  <c r="G22" i="6" l="1"/>
  <c r="G21"/>
  <c r="I6" i="68"/>
  <c r="I3"/>
  <c r="J31" s="1"/>
  <c r="I2"/>
  <c r="J30" s="1"/>
  <c r="G5"/>
  <c r="I5" s="1"/>
  <c r="G4"/>
  <c r="G8" s="1"/>
  <c r="C7"/>
  <c r="C4"/>
  <c r="C8" l="1"/>
  <c r="AH5" i="59"/>
  <c r="AG5"/>
  <c r="AE5"/>
  <c r="AF5" s="1"/>
  <c r="AD5"/>
  <c r="Q5"/>
  <c r="P5"/>
  <c r="O5"/>
  <c r="N5"/>
  <c r="L3" l="1"/>
  <c r="AH3" s="1"/>
  <c r="K3"/>
  <c r="J3"/>
  <c r="I3"/>
  <c r="AH6"/>
  <c r="AG6"/>
  <c r="AE6"/>
  <c r="AF6" s="1"/>
  <c r="AD6"/>
  <c r="Q6"/>
  <c r="Q7"/>
  <c r="P6"/>
  <c r="P7"/>
  <c r="O6"/>
  <c r="O7"/>
  <c r="N6"/>
  <c r="N7"/>
  <c r="AH7"/>
  <c r="AG7"/>
  <c r="AE7"/>
  <c r="AF7" s="1"/>
  <c r="AD7"/>
  <c r="Q8"/>
  <c r="P8"/>
  <c r="O8"/>
  <c r="N8"/>
  <c r="J50" i="15"/>
  <c r="J51"/>
  <c r="D10" i="59"/>
  <c r="AH8"/>
  <c r="AG8"/>
  <c r="AE8"/>
  <c r="AF8" s="1"/>
  <c r="AD8"/>
  <c r="AE9"/>
  <c r="AF9"/>
  <c r="AG9"/>
  <c r="AH9"/>
  <c r="AD9"/>
  <c r="Q9"/>
  <c r="P9"/>
  <c r="O9"/>
  <c r="N9"/>
  <c r="N10"/>
  <c r="Q10"/>
  <c r="P10"/>
  <c r="O10"/>
  <c r="K59" i="15"/>
  <c r="P62"/>
  <c r="P75"/>
  <c r="Q74" i="44"/>
  <c r="Q61"/>
  <c r="Q60"/>
  <c r="Q53"/>
  <c r="J51"/>
  <c r="J52" s="1"/>
  <c r="M48"/>
  <c r="A16" i="55"/>
  <c r="A15"/>
  <c r="A14"/>
  <c r="A11"/>
  <c r="A10"/>
  <c r="A9"/>
  <c r="A8"/>
  <c r="A6" i="54"/>
  <c r="A8"/>
  <c r="A7"/>
  <c r="A27" i="51"/>
  <c r="Q11" i="59"/>
  <c r="O11"/>
  <c r="N12"/>
  <c r="O12"/>
  <c r="P12"/>
  <c r="Q12"/>
  <c r="N11"/>
  <c r="P11"/>
  <c r="K75" i="9"/>
  <c r="K6" i="4"/>
  <c r="O76" i="9" s="1"/>
  <c r="L76"/>
  <c r="B22" i="31"/>
  <c r="E15" i="66"/>
  <c r="F15"/>
  <c r="E16"/>
  <c r="F16"/>
  <c r="E17"/>
  <c r="F17"/>
  <c r="E18"/>
  <c r="F18"/>
  <c r="E19"/>
  <c r="F19"/>
  <c r="E20"/>
  <c r="F20"/>
  <c r="E21"/>
  <c r="F21"/>
  <c r="E22"/>
  <c r="F22"/>
  <c r="E23"/>
  <c r="F23"/>
  <c r="B3"/>
  <c r="B9" i="59"/>
  <c r="B8" s="1"/>
  <c r="B7" s="1"/>
  <c r="E9"/>
  <c r="E8" s="1"/>
  <c r="E7" s="1"/>
  <c r="E6" s="1"/>
  <c r="E5" s="1"/>
  <c r="F9"/>
  <c r="F8" s="1"/>
  <c r="F7" s="1"/>
  <c r="F6" s="1"/>
  <c r="F5" s="1"/>
  <c r="V9"/>
  <c r="U9"/>
  <c r="S9"/>
  <c r="AD3"/>
  <c r="AE3"/>
  <c r="AF3" s="1"/>
  <c r="AG3"/>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D19"/>
  <c r="AE19"/>
  <c r="AF19" s="1"/>
  <c r="AG19"/>
  <c r="AH19"/>
  <c r="AD20"/>
  <c r="AE20"/>
  <c r="AF20"/>
  <c r="AG20"/>
  <c r="AH20"/>
  <c r="AD21"/>
  <c r="AE21"/>
  <c r="AF21" s="1"/>
  <c r="AG21"/>
  <c r="AH21"/>
  <c r="AD22"/>
  <c r="AE22"/>
  <c r="AF22"/>
  <c r="AG22"/>
  <c r="AH22"/>
  <c r="AD23"/>
  <c r="AE23"/>
  <c r="AF23" s="1"/>
  <c r="AG23"/>
  <c r="AH23"/>
  <c r="AH24"/>
  <c r="AG24"/>
  <c r="AE24"/>
  <c r="AF24" s="1"/>
  <c r="AD24"/>
  <c r="AD25"/>
  <c r="AE25"/>
  <c r="AF25" s="1"/>
  <c r="AG25"/>
  <c r="AH25"/>
  <c r="S2" i="31"/>
  <c r="M2"/>
  <c r="N2"/>
  <c r="O2"/>
  <c r="P2"/>
  <c r="Q2"/>
  <c r="R2"/>
  <c r="C9" i="59"/>
  <c r="C8" s="1"/>
  <c r="C3" i="65"/>
  <c r="C1"/>
  <c r="N1" s="1"/>
  <c r="T9" i="59"/>
  <c r="D9"/>
  <c r="H1" i="65"/>
  <c r="B76" i="63"/>
  <c r="M5" i="54"/>
  <c r="A23" i="51"/>
  <c r="Y12" i="46"/>
  <c r="AA9"/>
  <c r="AB9"/>
  <c r="AB10" s="1"/>
  <c r="AC9"/>
  <c r="AD9"/>
  <c r="AD10" s="1"/>
  <c r="AE9"/>
  <c r="AF9"/>
  <c r="AF10" s="1"/>
  <c r="AG9"/>
  <c r="AH9"/>
  <c r="AH10" s="1"/>
  <c r="AI9"/>
  <c r="AJ9"/>
  <c r="AJ10" s="1"/>
  <c r="Z9"/>
  <c r="Z10"/>
  <c r="AI10"/>
  <c r="AG10"/>
  <c r="AE10"/>
  <c r="AC10"/>
  <c r="AA10"/>
  <c r="Y10"/>
  <c r="AJ12"/>
  <c r="AF12"/>
  <c r="AB12"/>
  <c r="Z12"/>
  <c r="AI12"/>
  <c r="AG12"/>
  <c r="AE12"/>
  <c r="AC12"/>
  <c r="AA12"/>
  <c r="B73" i="63"/>
  <c r="A21" i="64"/>
  <c r="B75" i="63" s="1"/>
  <c r="A27" i="64"/>
  <c r="A15"/>
  <c r="A14"/>
  <c r="A11"/>
  <c r="A3"/>
  <c r="A45" i="9"/>
  <c r="A44"/>
  <c r="C57" i="10"/>
  <c r="C56"/>
  <c r="C55"/>
  <c r="C54"/>
  <c r="B49" i="63"/>
  <c r="B44"/>
  <c r="B40"/>
  <c r="B30"/>
  <c r="B27"/>
  <c r="B25"/>
  <c r="A11" i="51"/>
  <c r="B10" i="63" s="1"/>
  <c r="A26" i="64"/>
  <c r="A26" i="51"/>
  <c r="B19" i="63" s="1"/>
  <c r="K39" i="9"/>
  <c r="K40"/>
  <c r="B58" i="63"/>
  <c r="B53"/>
  <c r="B51"/>
  <c r="A46" i="9"/>
  <c r="K41" s="1"/>
  <c r="B8" i="63"/>
  <c r="A21" i="55"/>
  <c r="B71" i="63" s="1"/>
  <c r="A20" i="55"/>
  <c r="B69" i="63" s="1"/>
  <c r="B26"/>
  <c r="B28"/>
  <c r="B29"/>
  <c r="B31"/>
  <c r="B33"/>
  <c r="B35"/>
  <c r="B36"/>
  <c r="B37"/>
  <c r="B63"/>
  <c r="B64"/>
  <c r="B68"/>
  <c r="D51" i="10"/>
  <c r="B61" i="63"/>
  <c r="B60"/>
  <c r="B59"/>
  <c r="B51" i="10"/>
  <c r="B20" i="63"/>
  <c r="B17"/>
  <c r="A15" i="51"/>
  <c r="B12" i="63" s="1"/>
  <c r="A14" i="51"/>
  <c r="B11" i="63" s="1"/>
  <c r="B66"/>
  <c r="A4" i="55"/>
  <c r="B57" i="63" s="1"/>
  <c r="B41"/>
  <c r="G5" i="54"/>
  <c r="B34" i="63"/>
  <c r="E5" i="54"/>
  <c r="B32" i="63"/>
  <c r="R2" i="54"/>
  <c r="B24" i="63"/>
  <c r="B49" i="50"/>
  <c r="B5" i="63"/>
  <c r="B40" i="50"/>
  <c r="B3" i="63"/>
  <c r="B67"/>
  <c r="I19" i="46"/>
  <c r="Q13" i="59"/>
  <c r="P13"/>
  <c r="E13" s="1"/>
  <c r="O13"/>
  <c r="N13"/>
  <c r="B13" s="1"/>
  <c r="D74"/>
  <c r="F73"/>
  <c r="F72" s="1"/>
  <c r="F71" s="1"/>
  <c r="E73"/>
  <c r="E72"/>
  <c r="E71" s="1"/>
  <c r="C73"/>
  <c r="D73" s="1"/>
  <c r="B73"/>
  <c r="B72" s="1"/>
  <c r="B71"/>
  <c r="D70"/>
  <c r="F69"/>
  <c r="F68" s="1"/>
  <c r="F67" s="1"/>
  <c r="E69"/>
  <c r="E68"/>
  <c r="E67" s="1"/>
  <c r="C69"/>
  <c r="D69" s="1"/>
  <c r="B69"/>
  <c r="B68" s="1"/>
  <c r="B67"/>
  <c r="D66"/>
  <c r="Q65"/>
  <c r="P65"/>
  <c r="O65"/>
  <c r="N65"/>
  <c r="F65"/>
  <c r="V65" s="1"/>
  <c r="E65"/>
  <c r="U65" s="1"/>
  <c r="C65"/>
  <c r="T65" s="1"/>
  <c r="B65"/>
  <c r="S65"/>
  <c r="Q64"/>
  <c r="P64"/>
  <c r="O64"/>
  <c r="N64"/>
  <c r="B64"/>
  <c r="B63"/>
  <c r="Q63"/>
  <c r="P63"/>
  <c r="O63"/>
  <c r="N63"/>
  <c r="Q62"/>
  <c r="P62"/>
  <c r="O62"/>
  <c r="N62"/>
  <c r="D62"/>
  <c r="Q61"/>
  <c r="P61"/>
  <c r="O61"/>
  <c r="N61"/>
  <c r="F61"/>
  <c r="V61" s="1"/>
  <c r="E61"/>
  <c r="U61" s="1"/>
  <c r="C61"/>
  <c r="T61" s="1"/>
  <c r="B61"/>
  <c r="S61" s="1"/>
  <c r="Q60"/>
  <c r="P60"/>
  <c r="O60"/>
  <c r="N60"/>
  <c r="F60"/>
  <c r="F59" s="1"/>
  <c r="B60"/>
  <c r="B59" s="1"/>
  <c r="Q59"/>
  <c r="P59"/>
  <c r="O59"/>
  <c r="N59"/>
  <c r="Q58"/>
  <c r="P58"/>
  <c r="O58"/>
  <c r="N58"/>
  <c r="D58"/>
  <c r="Q57"/>
  <c r="P57"/>
  <c r="O57"/>
  <c r="N57"/>
  <c r="F57"/>
  <c r="V57"/>
  <c r="E57"/>
  <c r="U57"/>
  <c r="C57"/>
  <c r="T57"/>
  <c r="B57"/>
  <c r="S57"/>
  <c r="Q56"/>
  <c r="P56"/>
  <c r="O56"/>
  <c r="N56"/>
  <c r="F56"/>
  <c r="F55"/>
  <c r="B56"/>
  <c r="B55"/>
  <c r="Q55"/>
  <c r="P55"/>
  <c r="O55"/>
  <c r="N55"/>
  <c r="Q54"/>
  <c r="P54"/>
  <c r="O54"/>
  <c r="N54"/>
  <c r="D54"/>
  <c r="F53"/>
  <c r="V53" s="1"/>
  <c r="E53"/>
  <c r="E52" s="1"/>
  <c r="C53"/>
  <c r="B53"/>
  <c r="N53" s="1"/>
  <c r="F52"/>
  <c r="F51" s="1"/>
  <c r="D50"/>
  <c r="Q49"/>
  <c r="P49"/>
  <c r="O49"/>
  <c r="N49"/>
  <c r="Q48"/>
  <c r="P48"/>
  <c r="O48"/>
  <c r="N48"/>
  <c r="Q47"/>
  <c r="P47"/>
  <c r="O47"/>
  <c r="N47"/>
  <c r="Q46"/>
  <c r="F47" s="1"/>
  <c r="F48" s="1"/>
  <c r="F49" s="1"/>
  <c r="V49" s="1"/>
  <c r="P46"/>
  <c r="E47" s="1"/>
  <c r="E48" s="1"/>
  <c r="E49" s="1"/>
  <c r="U49" s="1"/>
  <c r="O46"/>
  <c r="C47"/>
  <c r="N46"/>
  <c r="B47"/>
  <c r="B48" s="1"/>
  <c r="B49" s="1"/>
  <c r="S49" s="1"/>
  <c r="D46"/>
  <c r="Q45"/>
  <c r="P45"/>
  <c r="O45"/>
  <c r="N45"/>
  <c r="Q44"/>
  <c r="P44"/>
  <c r="O44"/>
  <c r="N44"/>
  <c r="Q43"/>
  <c r="P43"/>
  <c r="O43"/>
  <c r="N43"/>
  <c r="Q42"/>
  <c r="F43"/>
  <c r="P42"/>
  <c r="E43"/>
  <c r="E44" s="1"/>
  <c r="E45" s="1"/>
  <c r="U45" s="1"/>
  <c r="O42"/>
  <c r="C43" s="1"/>
  <c r="N42"/>
  <c r="B43" s="1"/>
  <c r="B44" s="1"/>
  <c r="B45" s="1"/>
  <c r="S45" s="1"/>
  <c r="D42"/>
  <c r="Q41"/>
  <c r="P41"/>
  <c r="O41"/>
  <c r="N41"/>
  <c r="Q40"/>
  <c r="P40"/>
  <c r="O40"/>
  <c r="N40"/>
  <c r="Q39"/>
  <c r="P39"/>
  <c r="O39"/>
  <c r="N39"/>
  <c r="Q38"/>
  <c r="F39" s="1"/>
  <c r="F40" s="1"/>
  <c r="F41" s="1"/>
  <c r="V41" s="1"/>
  <c r="P38"/>
  <c r="E39" s="1"/>
  <c r="E40" s="1"/>
  <c r="E41" s="1"/>
  <c r="U41" s="1"/>
  <c r="O38"/>
  <c r="C39"/>
  <c r="N38"/>
  <c r="B39"/>
  <c r="B40" s="1"/>
  <c r="B41" s="1"/>
  <c r="S41" s="1"/>
  <c r="D38"/>
  <c r="Q37"/>
  <c r="P37"/>
  <c r="O37"/>
  <c r="N37"/>
  <c r="Q36"/>
  <c r="P36"/>
  <c r="O36"/>
  <c r="N36"/>
  <c r="Q35"/>
  <c r="P35"/>
  <c r="O35"/>
  <c r="N35"/>
  <c r="Q34"/>
  <c r="F35"/>
  <c r="F36" s="1"/>
  <c r="F37" s="1"/>
  <c r="V37" s="1"/>
  <c r="P34"/>
  <c r="E35" s="1"/>
  <c r="E36" s="1"/>
  <c r="E37" s="1"/>
  <c r="U37" s="1"/>
  <c r="O34"/>
  <c r="C35" s="1"/>
  <c r="N34"/>
  <c r="B35" s="1"/>
  <c r="B36" s="1"/>
  <c r="B37" s="1"/>
  <c r="S37" s="1"/>
  <c r="D34"/>
  <c r="T33"/>
  <c r="Q33"/>
  <c r="P33"/>
  <c r="O33"/>
  <c r="N33"/>
  <c r="D33"/>
  <c r="Q32"/>
  <c r="P32"/>
  <c r="O32"/>
  <c r="N32"/>
  <c r="Q31"/>
  <c r="P31"/>
  <c r="O31"/>
  <c r="N31"/>
  <c r="Q30"/>
  <c r="F31"/>
  <c r="P30"/>
  <c r="E31"/>
  <c r="E32" s="1"/>
  <c r="E33" s="1"/>
  <c r="U33" s="1"/>
  <c r="O30"/>
  <c r="C31" s="1"/>
  <c r="N30"/>
  <c r="B31" s="1"/>
  <c r="B32" s="1"/>
  <c r="B33" s="1"/>
  <c r="S33" s="1"/>
  <c r="D30"/>
  <c r="Q29"/>
  <c r="P29"/>
  <c r="O29"/>
  <c r="N29"/>
  <c r="Q28"/>
  <c r="P28"/>
  <c r="O28"/>
  <c r="N28"/>
  <c r="Q27"/>
  <c r="P27"/>
  <c r="O27"/>
  <c r="N27"/>
  <c r="Q26"/>
  <c r="F27" s="1"/>
  <c r="F28" s="1"/>
  <c r="F29" s="1"/>
  <c r="V29" s="1"/>
  <c r="P26"/>
  <c r="E27" s="1"/>
  <c r="E28" s="1"/>
  <c r="E29" s="1"/>
  <c r="U29" s="1"/>
  <c r="O26"/>
  <c r="C27"/>
  <c r="N26"/>
  <c r="B27"/>
  <c r="B28" s="1"/>
  <c r="B29" s="1"/>
  <c r="S29" s="1"/>
  <c r="D26"/>
  <c r="Q25"/>
  <c r="P25"/>
  <c r="O25"/>
  <c r="N25"/>
  <c r="Q24"/>
  <c r="AB24"/>
  <c r="P24"/>
  <c r="O24"/>
  <c r="Y24" s="1"/>
  <c r="Z24" s="1"/>
  <c r="N24"/>
  <c r="X24"/>
  <c r="Q23"/>
  <c r="AB23" s="1"/>
  <c r="P23"/>
  <c r="AA23" s="1"/>
  <c r="O23"/>
  <c r="N23"/>
  <c r="X23" s="1"/>
  <c r="Q22"/>
  <c r="AB22" s="1"/>
  <c r="F23"/>
  <c r="P22"/>
  <c r="E23"/>
  <c r="E24" s="1"/>
  <c r="E25" s="1"/>
  <c r="O22"/>
  <c r="Y22" s="1"/>
  <c r="Z22" s="1"/>
  <c r="N22"/>
  <c r="X22" s="1"/>
  <c r="D22"/>
  <c r="Q21"/>
  <c r="AB21" s="1"/>
  <c r="P21"/>
  <c r="O21"/>
  <c r="Y21" s="1"/>
  <c r="Z21" s="1"/>
  <c r="N21"/>
  <c r="Q20"/>
  <c r="AB20" s="1"/>
  <c r="P20"/>
  <c r="O20"/>
  <c r="Y20" s="1"/>
  <c r="Z20" s="1"/>
  <c r="N20"/>
  <c r="Q19"/>
  <c r="AB19" s="1"/>
  <c r="P19"/>
  <c r="O19"/>
  <c r="Y19" s="1"/>
  <c r="Z19" s="1"/>
  <c r="N19"/>
  <c r="Q18"/>
  <c r="AB18" s="1"/>
  <c r="P18"/>
  <c r="AA18" s="1"/>
  <c r="O18"/>
  <c r="C19"/>
  <c r="N18"/>
  <c r="B19"/>
  <c r="B20" s="1"/>
  <c r="B21" s="1"/>
  <c r="S21" s="1"/>
  <c r="D18"/>
  <c r="Q17"/>
  <c r="P17"/>
  <c r="AA17" s="1"/>
  <c r="O17"/>
  <c r="N17"/>
  <c r="X17" s="1"/>
  <c r="Q16"/>
  <c r="P16"/>
  <c r="AA16" s="1"/>
  <c r="O16"/>
  <c r="N16"/>
  <c r="X16" s="1"/>
  <c r="Q15"/>
  <c r="P15"/>
  <c r="AA15" s="1"/>
  <c r="O15"/>
  <c r="N15"/>
  <c r="X15" s="1"/>
  <c r="Q14"/>
  <c r="F15"/>
  <c r="P14"/>
  <c r="O14"/>
  <c r="Y14" s="1"/>
  <c r="Z14" s="1"/>
  <c r="N14"/>
  <c r="X14" s="1"/>
  <c r="D14"/>
  <c r="X10"/>
  <c r="X12"/>
  <c r="AA3"/>
  <c r="AA11"/>
  <c r="AA13"/>
  <c r="AB3"/>
  <c r="AB10"/>
  <c r="AB11"/>
  <c r="AB12"/>
  <c r="E15"/>
  <c r="E16"/>
  <c r="E17" s="1"/>
  <c r="U17" s="1"/>
  <c r="S53"/>
  <c r="AA24"/>
  <c r="F16"/>
  <c r="F17" s="1"/>
  <c r="V17" s="1"/>
  <c r="F24"/>
  <c r="F25" s="1"/>
  <c r="V25" s="1"/>
  <c r="F32"/>
  <c r="F33" s="1"/>
  <c r="V33" s="1"/>
  <c r="F44"/>
  <c r="F45" s="1"/>
  <c r="V45" s="1"/>
  <c r="C28"/>
  <c r="D27"/>
  <c r="C40"/>
  <c r="D39"/>
  <c r="C48"/>
  <c r="D47"/>
  <c r="C20"/>
  <c r="D19"/>
  <c r="Q52"/>
  <c r="T53"/>
  <c r="O53"/>
  <c r="D53"/>
  <c r="C52"/>
  <c r="P53"/>
  <c r="U53"/>
  <c r="Q53"/>
  <c r="C56"/>
  <c r="C55" s="1"/>
  <c r="D55" s="1"/>
  <c r="E56"/>
  <c r="E55"/>
  <c r="D57"/>
  <c r="C60"/>
  <c r="D60" s="1"/>
  <c r="E60"/>
  <c r="E59"/>
  <c r="D61"/>
  <c r="C64"/>
  <c r="D64" s="1"/>
  <c r="E64"/>
  <c r="E63"/>
  <c r="D65"/>
  <c r="C68"/>
  <c r="C67" s="1"/>
  <c r="D67" s="1"/>
  <c r="C72"/>
  <c r="U16" i="4"/>
  <c r="S16"/>
  <c r="Q16"/>
  <c r="O16"/>
  <c r="M16"/>
  <c r="K16"/>
  <c r="D72" i="59"/>
  <c r="C71"/>
  <c r="D71"/>
  <c r="C63"/>
  <c r="D63" s="1"/>
  <c r="D56"/>
  <c r="C51"/>
  <c r="O52"/>
  <c r="D52"/>
  <c r="D68"/>
  <c r="C59"/>
  <c r="D59" s="1"/>
  <c r="C21"/>
  <c r="D21" s="1"/>
  <c r="D20"/>
  <c r="C49"/>
  <c r="D49" s="1"/>
  <c r="D48"/>
  <c r="C41"/>
  <c r="D41" s="1"/>
  <c r="D40"/>
  <c r="C29"/>
  <c r="D29" s="1"/>
  <c r="D28"/>
  <c r="T29"/>
  <c r="T41"/>
  <c r="T49"/>
  <c r="T21"/>
  <c r="O51"/>
  <c r="D51"/>
  <c r="O50"/>
  <c r="O27" i="6"/>
  <c r="N27"/>
  <c r="P26"/>
  <c r="L26"/>
  <c r="P25"/>
  <c r="L25"/>
  <c r="P24"/>
  <c r="L24"/>
  <c r="P23"/>
  <c r="L23"/>
  <c r="P22"/>
  <c r="L22"/>
  <c r="P21"/>
  <c r="L21"/>
  <c r="P20"/>
  <c r="P19"/>
  <c r="P27" s="1"/>
  <c r="Z18" i="36"/>
  <c r="Q18"/>
  <c r="C18"/>
  <c r="D66"/>
  <c r="F18"/>
  <c r="AA18" s="1"/>
  <c r="Z18" i="35"/>
  <c r="Q18"/>
  <c r="F18"/>
  <c r="AA18" s="1"/>
  <c r="C18"/>
  <c r="D68"/>
  <c r="E68"/>
  <c r="F68" s="1"/>
  <c r="G68" s="1"/>
  <c r="Q21" i="37"/>
  <c r="Z21" s="1"/>
  <c r="F21"/>
  <c r="AA21"/>
  <c r="C21"/>
  <c r="E77"/>
  <c r="F77" s="1"/>
  <c r="G77" s="1"/>
  <c r="D77"/>
  <c r="Z21" i="34"/>
  <c r="Q21"/>
  <c r="C21"/>
  <c r="D84"/>
  <c r="F21"/>
  <c r="AA21" s="1"/>
  <c r="Z21" i="33"/>
  <c r="Q21"/>
  <c r="C21"/>
  <c r="D83"/>
  <c r="E83"/>
  <c r="F83" s="1"/>
  <c r="G83" s="1"/>
  <c r="Q21" i="21"/>
  <c r="Z21" s="1"/>
  <c r="D83"/>
  <c r="E83"/>
  <c r="F21"/>
  <c r="AA21" s="1"/>
  <c r="C21"/>
  <c r="Q27" i="40"/>
  <c r="Z27" s="1"/>
  <c r="D96"/>
  <c r="E96"/>
  <c r="F27"/>
  <c r="AA27"/>
  <c r="Q31" i="39"/>
  <c r="Z31" s="1"/>
  <c r="D105"/>
  <c r="E105"/>
  <c r="F31"/>
  <c r="AA31"/>
  <c r="G20" i="20"/>
  <c r="B85" i="73" s="1"/>
  <c r="B85" i="46"/>
  <c r="C22" i="20"/>
  <c r="B65" i="46"/>
  <c r="S18" i="36"/>
  <c r="S18" i="35"/>
  <c r="S21" i="37"/>
  <c r="S21" i="34"/>
  <c r="S27" i="40"/>
  <c r="S31" i="39"/>
  <c r="C27" i="40"/>
  <c r="C31" i="39"/>
  <c r="B54" i="46"/>
  <c r="B74"/>
  <c r="E66" i="36"/>
  <c r="H18" i="35"/>
  <c r="J18"/>
  <c r="H21" i="37"/>
  <c r="J21"/>
  <c r="E84" i="34"/>
  <c r="F84" s="1"/>
  <c r="G84" s="1"/>
  <c r="J21"/>
  <c r="H21"/>
  <c r="F21" i="33"/>
  <c r="H21"/>
  <c r="J21"/>
  <c r="F83" i="21"/>
  <c r="H21"/>
  <c r="G83"/>
  <c r="J21"/>
  <c r="F96" i="40"/>
  <c r="H27"/>
  <c r="F105" i="39"/>
  <c r="H31"/>
  <c r="F23" i="15"/>
  <c r="D22" s="1"/>
  <c r="G17" i="11"/>
  <c r="F15" i="15"/>
  <c r="F17"/>
  <c r="F18"/>
  <c r="F20"/>
  <c r="F21"/>
  <c r="F33"/>
  <c r="F60" s="1"/>
  <c r="K2" i="4"/>
  <c r="K1"/>
  <c r="B1"/>
  <c r="B37" i="50" s="1"/>
  <c r="B2" i="63" s="1"/>
  <c r="C31" i="57"/>
  <c r="C32"/>
  <c r="E26" s="1"/>
  <c r="I23"/>
  <c r="D20"/>
  <c r="I19"/>
  <c r="I18"/>
  <c r="I17"/>
  <c r="I20"/>
  <c r="E15"/>
  <c r="I14"/>
  <c r="I13"/>
  <c r="I12"/>
  <c r="I15" s="1"/>
  <c r="I9"/>
  <c r="I8"/>
  <c r="I7"/>
  <c r="I6"/>
  <c r="I5"/>
  <c r="I4"/>
  <c r="I3"/>
  <c r="I10" s="1"/>
  <c r="I21"/>
  <c r="C30"/>
  <c r="C112" i="9"/>
  <c r="C7" i="11"/>
  <c r="F80" i="46"/>
  <c r="H81" s="1"/>
  <c r="D1"/>
  <c r="F113"/>
  <c r="D99"/>
  <c r="D108" s="1"/>
  <c r="E99"/>
  <c r="E108" s="1"/>
  <c r="F99"/>
  <c r="F100" s="1"/>
  <c r="G99"/>
  <c r="G108" s="1"/>
  <c r="H99"/>
  <c r="H108" s="1"/>
  <c r="I99"/>
  <c r="I108" s="1"/>
  <c r="J99"/>
  <c r="J108" s="1"/>
  <c r="K99"/>
  <c r="K108" s="1"/>
  <c r="L99"/>
  <c r="L100" s="1"/>
  <c r="M99"/>
  <c r="M108" s="1"/>
  <c r="N99"/>
  <c r="N108" s="1"/>
  <c r="C99"/>
  <c r="C108" s="1"/>
  <c r="L108"/>
  <c r="D100"/>
  <c r="K58"/>
  <c r="J58" s="1"/>
  <c r="D58"/>
  <c r="K50"/>
  <c r="D83"/>
  <c r="D77"/>
  <c r="B83"/>
  <c r="B82"/>
  <c r="B71"/>
  <c r="B60"/>
  <c r="B49"/>
  <c r="M87"/>
  <c r="N87" s="1"/>
  <c r="K87"/>
  <c r="J87" s="1"/>
  <c r="D87"/>
  <c r="M86"/>
  <c r="D86"/>
  <c r="K86"/>
  <c r="J86"/>
  <c r="M85"/>
  <c r="N85"/>
  <c r="D85"/>
  <c r="K85"/>
  <c r="J85" s="1"/>
  <c r="M84"/>
  <c r="N84" s="1"/>
  <c r="K84"/>
  <c r="J84" s="1"/>
  <c r="M83"/>
  <c r="N83" s="1"/>
  <c r="K83"/>
  <c r="J83" s="1"/>
  <c r="M82"/>
  <c r="N82" s="1"/>
  <c r="K82"/>
  <c r="J82" s="1"/>
  <c r="D82"/>
  <c r="M81"/>
  <c r="N81" s="1"/>
  <c r="K81"/>
  <c r="J81" s="1"/>
  <c r="M80"/>
  <c r="N80" s="1"/>
  <c r="K80"/>
  <c r="J80" s="1"/>
  <c r="M77"/>
  <c r="N77" s="1"/>
  <c r="K77"/>
  <c r="J77" s="1"/>
  <c r="M76"/>
  <c r="N76" s="1"/>
  <c r="D76"/>
  <c r="K76"/>
  <c r="J76" s="1"/>
  <c r="M75"/>
  <c r="N75" s="1"/>
  <c r="K75"/>
  <c r="J75" s="1"/>
  <c r="M74"/>
  <c r="N74" s="1"/>
  <c r="K74"/>
  <c r="J74" s="1"/>
  <c r="D74" s="1"/>
  <c r="M73"/>
  <c r="K73"/>
  <c r="D73" s="1"/>
  <c r="M72"/>
  <c r="N72" s="1"/>
  <c r="K72"/>
  <c r="J72" s="1"/>
  <c r="D72"/>
  <c r="M71"/>
  <c r="N71" s="1"/>
  <c r="K71"/>
  <c r="J71" s="1"/>
  <c r="M70"/>
  <c r="N70"/>
  <c r="K70"/>
  <c r="J70"/>
  <c r="D70"/>
  <c r="M69"/>
  <c r="N69" s="1"/>
  <c r="K69"/>
  <c r="J69" s="1"/>
  <c r="M66"/>
  <c r="N66" s="1"/>
  <c r="K66"/>
  <c r="M65"/>
  <c r="N65" s="1"/>
  <c r="K65"/>
  <c r="J65" s="1"/>
  <c r="D65"/>
  <c r="M64"/>
  <c r="N64" s="1"/>
  <c r="K64"/>
  <c r="J64" s="1"/>
  <c r="D64"/>
  <c r="M63"/>
  <c r="N63" s="1"/>
  <c r="K63"/>
  <c r="J63" s="1"/>
  <c r="D63"/>
  <c r="M62"/>
  <c r="N62" s="1"/>
  <c r="K62"/>
  <c r="J62" s="1"/>
  <c r="D62"/>
  <c r="M61"/>
  <c r="N61" s="1"/>
  <c r="K61"/>
  <c r="J61" s="1"/>
  <c r="D61"/>
  <c r="M60"/>
  <c r="N60" s="1"/>
  <c r="K60"/>
  <c r="J60" s="1"/>
  <c r="D60"/>
  <c r="M59"/>
  <c r="N59" s="1"/>
  <c r="K59"/>
  <c r="J59" s="1"/>
  <c r="D59"/>
  <c r="M58"/>
  <c r="N58" s="1"/>
  <c r="M55"/>
  <c r="N55" s="1"/>
  <c r="K55"/>
  <c r="M54"/>
  <c r="N54" s="1"/>
  <c r="K54"/>
  <c r="M53"/>
  <c r="N53" s="1"/>
  <c r="K53"/>
  <c r="J53" s="1"/>
  <c r="D53"/>
  <c r="M52"/>
  <c r="N52" s="1"/>
  <c r="K52"/>
  <c r="J52" s="1"/>
  <c r="D52"/>
  <c r="M51"/>
  <c r="N51" s="1"/>
  <c r="K51"/>
  <c r="M50"/>
  <c r="N50" s="1"/>
  <c r="M49"/>
  <c r="N49" s="1"/>
  <c r="K49"/>
  <c r="J49" s="1"/>
  <c r="D49"/>
  <c r="M48"/>
  <c r="N48" s="1"/>
  <c r="K48"/>
  <c r="J48" s="1"/>
  <c r="D48"/>
  <c r="M47"/>
  <c r="N47" s="1"/>
  <c r="K47"/>
  <c r="J47" s="1"/>
  <c r="D47"/>
  <c r="J51"/>
  <c r="D51"/>
  <c r="J55"/>
  <c r="D55"/>
  <c r="N86"/>
  <c r="D80"/>
  <c r="D81"/>
  <c r="N73"/>
  <c r="D75"/>
  <c r="J66"/>
  <c r="D66"/>
  <c r="J50"/>
  <c r="D50"/>
  <c r="J54"/>
  <c r="D54"/>
  <c r="Q73" i="15"/>
  <c r="Q60"/>
  <c r="Q59"/>
  <c r="Q52"/>
  <c r="AE10" i="1"/>
  <c r="AE11"/>
  <c r="AE12"/>
  <c r="AE13"/>
  <c r="M47" i="15"/>
  <c r="AG7" i="1"/>
  <c r="AG8"/>
  <c r="AG9"/>
  <c r="AG10"/>
  <c r="AG11"/>
  <c r="AG12"/>
  <c r="AG13"/>
  <c r="D12" i="31"/>
  <c r="E12"/>
  <c r="F12" s="1"/>
  <c r="G12" s="1"/>
  <c r="H12" s="1"/>
  <c r="I12" s="1"/>
  <c r="J12" s="1"/>
  <c r="K12" s="1"/>
  <c r="L12" s="1"/>
  <c r="M12" s="1"/>
  <c r="N12" s="1"/>
  <c r="O12" s="1"/>
  <c r="P12" s="1"/>
  <c r="Q12" s="1"/>
  <c r="R12" s="1"/>
  <c r="S12" s="1"/>
  <c r="D10"/>
  <c r="E10"/>
  <c r="F10" s="1"/>
  <c r="G10" s="1"/>
  <c r="H10" s="1"/>
  <c r="I10" s="1"/>
  <c r="J10" s="1"/>
  <c r="K10" s="1"/>
  <c r="L10" s="1"/>
  <c r="M10" s="1"/>
  <c r="N10" s="1"/>
  <c r="O10" s="1"/>
  <c r="P10" s="1"/>
  <c r="Q10" s="1"/>
  <c r="R10" s="1"/>
  <c r="S10" s="1"/>
  <c r="D8"/>
  <c r="E8"/>
  <c r="F8" s="1"/>
  <c r="G8" s="1"/>
  <c r="H8" s="1"/>
  <c r="I8" s="1"/>
  <c r="J8" s="1"/>
  <c r="K8" s="1"/>
  <c r="L8" s="1"/>
  <c r="M8" s="1"/>
  <c r="N8" s="1"/>
  <c r="O8" s="1"/>
  <c r="P8" s="1"/>
  <c r="Q8" s="1"/>
  <c r="R8" s="1"/>
  <c r="S8" s="1"/>
  <c r="D6"/>
  <c r="E6"/>
  <c r="F6" s="1"/>
  <c r="G6" s="1"/>
  <c r="H6" s="1"/>
  <c r="I6" s="1"/>
  <c r="J6" s="1"/>
  <c r="K6" s="1"/>
  <c r="L6" s="1"/>
  <c r="M6" s="1"/>
  <c r="N6" s="1"/>
  <c r="O6" s="1"/>
  <c r="P6" s="1"/>
  <c r="Q6" s="1"/>
  <c r="R6" s="1"/>
  <c r="S6" s="1"/>
  <c r="F11" i="1"/>
  <c r="F12"/>
  <c r="AP12" s="1"/>
  <c r="F13"/>
  <c r="AP13" s="1"/>
  <c r="D11"/>
  <c r="D12"/>
  <c r="D13"/>
  <c r="D6"/>
  <c r="D7"/>
  <c r="D8"/>
  <c r="D9"/>
  <c r="F10"/>
  <c r="AP10" s="1"/>
  <c r="D10"/>
  <c r="B2"/>
  <c r="G19" i="73" s="1"/>
  <c r="A12" i="1"/>
  <c r="R12" s="1"/>
  <c r="A13"/>
  <c r="B13" s="1"/>
  <c r="E13" s="1"/>
  <c r="A7"/>
  <c r="A8"/>
  <c r="A9"/>
  <c r="A10"/>
  <c r="R10" s="1"/>
  <c r="A11"/>
  <c r="A6"/>
  <c r="K1" i="72" s="1"/>
  <c r="T4" i="1"/>
  <c r="K13"/>
  <c r="M13" s="1"/>
  <c r="G79" i="36"/>
  <c r="G85" i="35"/>
  <c r="G97" i="37"/>
  <c r="G110" i="34"/>
  <c r="G109" i="33"/>
  <c r="L2" i="31"/>
  <c r="K2"/>
  <c r="J2"/>
  <c r="I2"/>
  <c r="H2"/>
  <c r="G2"/>
  <c r="F2"/>
  <c r="E2"/>
  <c r="D2"/>
  <c r="C2"/>
  <c r="D60" i="15"/>
  <c r="G19" i="20"/>
  <c r="B84" i="73" s="1"/>
  <c r="BT112" i="3"/>
  <c r="BS112"/>
  <c r="BR112"/>
  <c r="BQ112"/>
  <c r="BP112"/>
  <c r="BO112"/>
  <c r="BN112"/>
  <c r="BM112"/>
  <c r="BL112" s="1"/>
  <c r="BK112"/>
  <c r="BJ112"/>
  <c r="BI112"/>
  <c r="BH112"/>
  <c r="BG112"/>
  <c r="BF112"/>
  <c r="BE112"/>
  <c r="BD112"/>
  <c r="BC112"/>
  <c r="BB112"/>
  <c r="BA112"/>
  <c r="AX112"/>
  <c r="AW112"/>
  <c r="AV112"/>
  <c r="AC112"/>
  <c r="H112"/>
  <c r="G112"/>
  <c r="BT111"/>
  <c r="BS111"/>
  <c r="BR111"/>
  <c r="BQ111"/>
  <c r="BP111"/>
  <c r="BO111"/>
  <c r="BN111"/>
  <c r="BM111"/>
  <c r="BL111" s="1"/>
  <c r="BK111"/>
  <c r="BJ111"/>
  <c r="BI111"/>
  <c r="BH111"/>
  <c r="BG111"/>
  <c r="BF111"/>
  <c r="BE111"/>
  <c r="BD111"/>
  <c r="BC111"/>
  <c r="BB111"/>
  <c r="BA111"/>
  <c r="AZ111" s="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Z109" s="1"/>
  <c r="AX109"/>
  <c r="AW109"/>
  <c r="AV109"/>
  <c r="AC109"/>
  <c r="H109"/>
  <c r="G109" s="1"/>
  <c r="BT108"/>
  <c r="BS108"/>
  <c r="BR108"/>
  <c r="BQ108"/>
  <c r="BP108"/>
  <c r="BO108"/>
  <c r="BN108"/>
  <c r="BM108"/>
  <c r="BL108" s="1"/>
  <c r="BK108"/>
  <c r="BJ108"/>
  <c r="BI108"/>
  <c r="BH108"/>
  <c r="BG108"/>
  <c r="BF108"/>
  <c r="BE108"/>
  <c r="BD108"/>
  <c r="BC108"/>
  <c r="BB108"/>
  <c r="AX108"/>
  <c r="AW108"/>
  <c r="AV108"/>
  <c r="AC108"/>
  <c r="H108"/>
  <c r="G108" s="1"/>
  <c r="BT107"/>
  <c r="BS107"/>
  <c r="BR107"/>
  <c r="BQ107"/>
  <c r="BP107"/>
  <c r="BO107"/>
  <c r="BN107"/>
  <c r="BM107"/>
  <c r="BL107"/>
  <c r="BK107"/>
  <c r="BJ107"/>
  <c r="BI107"/>
  <c r="BH107"/>
  <c r="BG107"/>
  <c r="BF107"/>
  <c r="BE107"/>
  <c r="BD107"/>
  <c r="BC107"/>
  <c r="BB107"/>
  <c r="BA107" s="1"/>
  <c r="AX107"/>
  <c r="AW107"/>
  <c r="AV107"/>
  <c r="AC107"/>
  <c r="H107"/>
  <c r="G107" s="1"/>
  <c r="BT106"/>
  <c r="BS106"/>
  <c r="BR106"/>
  <c r="BQ106"/>
  <c r="BP106"/>
  <c r="BO106"/>
  <c r="BN106"/>
  <c r="BM106"/>
  <c r="BL106"/>
  <c r="BK106"/>
  <c r="BJ106"/>
  <c r="BI106"/>
  <c r="BH106"/>
  <c r="BG106"/>
  <c r="BF106"/>
  <c r="BE106"/>
  <c r="BD106"/>
  <c r="BC106"/>
  <c r="BB106"/>
  <c r="BA106" s="1"/>
  <c r="AX106"/>
  <c r="AW106"/>
  <c r="AV106"/>
  <c r="AC106"/>
  <c r="H106"/>
  <c r="G106" s="1"/>
  <c r="BT105"/>
  <c r="BS105"/>
  <c r="BR105"/>
  <c r="BQ105"/>
  <c r="BP105"/>
  <c r="BO105"/>
  <c r="BN105"/>
  <c r="BM105"/>
  <c r="BL105"/>
  <c r="BK105"/>
  <c r="BJ105"/>
  <c r="BI105"/>
  <c r="BH105"/>
  <c r="BG105"/>
  <c r="BF105"/>
  <c r="BE105"/>
  <c r="BD105"/>
  <c r="BC105"/>
  <c r="BB105"/>
  <c r="BA105" s="1"/>
  <c r="AZ105" s="1"/>
  <c r="AX105"/>
  <c r="AW105"/>
  <c r="AV105"/>
  <c r="AC105"/>
  <c r="H105"/>
  <c r="G105" s="1"/>
  <c r="BT104"/>
  <c r="BS104"/>
  <c r="BR104"/>
  <c r="BQ104"/>
  <c r="BP104"/>
  <c r="BO104"/>
  <c r="BN104"/>
  <c r="BM104"/>
  <c r="BL104" s="1"/>
  <c r="BK104"/>
  <c r="BJ104"/>
  <c r="BI104"/>
  <c r="BH104"/>
  <c r="BG104"/>
  <c r="BF104"/>
  <c r="BE104"/>
  <c r="BD104"/>
  <c r="BC104"/>
  <c r="BB104"/>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s="1"/>
  <c r="BT102"/>
  <c r="BS102"/>
  <c r="BR102"/>
  <c r="BQ102"/>
  <c r="BP102"/>
  <c r="BO102"/>
  <c r="BN102"/>
  <c r="BM102"/>
  <c r="BL102" s="1"/>
  <c r="BK102"/>
  <c r="BJ102"/>
  <c r="BI102"/>
  <c r="BH102"/>
  <c r="BG102"/>
  <c r="BF102"/>
  <c r="BE102"/>
  <c r="BD102"/>
  <c r="BC102"/>
  <c r="BB102"/>
  <c r="AX102"/>
  <c r="AW102"/>
  <c r="AV102"/>
  <c r="AC102"/>
  <c r="H102"/>
  <c r="G102" s="1"/>
  <c r="BT101"/>
  <c r="BS101"/>
  <c r="BR101"/>
  <c r="BQ101"/>
  <c r="BP101"/>
  <c r="BO101"/>
  <c r="BN101"/>
  <c r="BM101"/>
  <c r="BL101" s="1"/>
  <c r="BK101"/>
  <c r="BJ101"/>
  <c r="BI101"/>
  <c r="BH101"/>
  <c r="BG101"/>
  <c r="BF101"/>
  <c r="BE101"/>
  <c r="BD101"/>
  <c r="BC101"/>
  <c r="BB101"/>
  <c r="AX101"/>
  <c r="AW101"/>
  <c r="AV101"/>
  <c r="AC101"/>
  <c r="H101"/>
  <c r="G101" s="1"/>
  <c r="BT100"/>
  <c r="BS100"/>
  <c r="BR100"/>
  <c r="BQ100"/>
  <c r="BP100"/>
  <c r="BO100"/>
  <c r="BN100"/>
  <c r="BM100"/>
  <c r="BL100"/>
  <c r="BK100"/>
  <c r="BJ100"/>
  <c r="BI100"/>
  <c r="BH100"/>
  <c r="BG100"/>
  <c r="BF100"/>
  <c r="BE100"/>
  <c r="BD100"/>
  <c r="BC100"/>
  <c r="BB100"/>
  <c r="BA100" s="1"/>
  <c r="AZ100" s="1"/>
  <c r="AX100"/>
  <c r="AW100"/>
  <c r="AV100"/>
  <c r="AC100"/>
  <c r="H100"/>
  <c r="G100" s="1"/>
  <c r="BT99"/>
  <c r="BS99"/>
  <c r="BR99"/>
  <c r="BQ99"/>
  <c r="BP99"/>
  <c r="BO99"/>
  <c r="BN99"/>
  <c r="BM99"/>
  <c r="BL99"/>
  <c r="BK99"/>
  <c r="BJ99"/>
  <c r="BI99"/>
  <c r="BH99"/>
  <c r="BG99"/>
  <c r="BF99"/>
  <c r="BE99"/>
  <c r="BD99"/>
  <c r="BC99"/>
  <c r="BB99"/>
  <c r="AX99"/>
  <c r="AW99"/>
  <c r="AV99"/>
  <c r="AC99"/>
  <c r="H99"/>
  <c r="BT98"/>
  <c r="BS98"/>
  <c r="BR98"/>
  <c r="BQ98"/>
  <c r="BP98"/>
  <c r="BO98"/>
  <c r="BN98"/>
  <c r="BM98"/>
  <c r="BL98"/>
  <c r="BK98"/>
  <c r="BJ98"/>
  <c r="BI98"/>
  <c r="BH98"/>
  <c r="BG98"/>
  <c r="BF98"/>
  <c r="BE98"/>
  <c r="BD98"/>
  <c r="BC98"/>
  <c r="BB98"/>
  <c r="AX98"/>
  <c r="AW98"/>
  <c r="AV98"/>
  <c r="AC98"/>
  <c r="H98"/>
  <c r="BT97"/>
  <c r="BS97"/>
  <c r="BR97"/>
  <c r="BQ97"/>
  <c r="BP97"/>
  <c r="BO97"/>
  <c r="BN97"/>
  <c r="BM97"/>
  <c r="BL97"/>
  <c r="BK97"/>
  <c r="BJ97"/>
  <c r="BI97"/>
  <c r="BH97"/>
  <c r="BG97"/>
  <c r="BF97"/>
  <c r="BE97"/>
  <c r="BD97"/>
  <c r="BC97"/>
  <c r="BB97"/>
  <c r="AX97"/>
  <c r="AW97"/>
  <c r="AV97"/>
  <c r="AC97"/>
  <c r="H97"/>
  <c r="G97"/>
  <c r="BT96"/>
  <c r="BS96"/>
  <c r="BR96"/>
  <c r="BQ96"/>
  <c r="BP96"/>
  <c r="BO96"/>
  <c r="BN96"/>
  <c r="BM96"/>
  <c r="BL96" s="1"/>
  <c r="BK96"/>
  <c r="BJ96"/>
  <c r="BI96"/>
  <c r="BH96"/>
  <c r="BG96"/>
  <c r="BF96"/>
  <c r="BE96"/>
  <c r="BD96"/>
  <c r="BC96"/>
  <c r="BB96"/>
  <c r="BA96"/>
  <c r="AX96"/>
  <c r="AW96"/>
  <c r="AV96"/>
  <c r="AC96"/>
  <c r="H96"/>
  <c r="BT95"/>
  <c r="BS95"/>
  <c r="BR95"/>
  <c r="BQ95"/>
  <c r="BP95"/>
  <c r="BO95"/>
  <c r="BN95"/>
  <c r="BM95"/>
  <c r="BL95"/>
  <c r="BK95"/>
  <c r="BJ95"/>
  <c r="BI95"/>
  <c r="BH95"/>
  <c r="BG95"/>
  <c r="BF95"/>
  <c r="BE95"/>
  <c r="BD95"/>
  <c r="BC95"/>
  <c r="BB95"/>
  <c r="AX95"/>
  <c r="AW95"/>
  <c r="AV95"/>
  <c r="AC95"/>
  <c r="H95"/>
  <c r="G95"/>
  <c r="BT94"/>
  <c r="BS94"/>
  <c r="BR94"/>
  <c r="BQ94"/>
  <c r="BP94"/>
  <c r="BO94"/>
  <c r="BN94"/>
  <c r="BM94"/>
  <c r="BL94" s="1"/>
  <c r="BK94"/>
  <c r="BJ94"/>
  <c r="BI94"/>
  <c r="BH94"/>
  <c r="BG94"/>
  <c r="BF94"/>
  <c r="BE94"/>
  <c r="BD94"/>
  <c r="BC94"/>
  <c r="BB94"/>
  <c r="BA94"/>
  <c r="AX94"/>
  <c r="AW94"/>
  <c r="AV94"/>
  <c r="AC94"/>
  <c r="H94"/>
  <c r="G94"/>
  <c r="BT93"/>
  <c r="BS93"/>
  <c r="BR93"/>
  <c r="BQ93"/>
  <c r="BP93"/>
  <c r="BO93"/>
  <c r="BN93"/>
  <c r="BM93"/>
  <c r="BL93" s="1"/>
  <c r="BK93"/>
  <c r="BJ93"/>
  <c r="BI93"/>
  <c r="BH93"/>
  <c r="BG93"/>
  <c r="BF93"/>
  <c r="BE93"/>
  <c r="BD93"/>
  <c r="BC93"/>
  <c r="BB93"/>
  <c r="BA93"/>
  <c r="AX93"/>
  <c r="AW93"/>
  <c r="AV93"/>
  <c r="AC93"/>
  <c r="H93"/>
  <c r="BT92"/>
  <c r="BS92"/>
  <c r="BR92"/>
  <c r="BQ92"/>
  <c r="BP92"/>
  <c r="BO92"/>
  <c r="BN92"/>
  <c r="BM92"/>
  <c r="BL92"/>
  <c r="BK92"/>
  <c r="BJ92"/>
  <c r="BI92"/>
  <c r="BH92"/>
  <c r="BG92"/>
  <c r="BF92"/>
  <c r="BE92"/>
  <c r="BD92"/>
  <c r="BC92"/>
  <c r="BB92"/>
  <c r="AX92"/>
  <c r="AW92"/>
  <c r="AV92"/>
  <c r="AC92"/>
  <c r="H92"/>
  <c r="G92"/>
  <c r="BT91"/>
  <c r="BS91"/>
  <c r="BR91"/>
  <c r="BQ91"/>
  <c r="BP91"/>
  <c r="BO91"/>
  <c r="BN91"/>
  <c r="BM91"/>
  <c r="BL91" s="1"/>
  <c r="BK91"/>
  <c r="BJ91"/>
  <c r="BI91"/>
  <c r="BH91"/>
  <c r="BG91"/>
  <c r="BF91"/>
  <c r="BE91"/>
  <c r="BD91"/>
  <c r="BC91"/>
  <c r="BB91"/>
  <c r="BA91"/>
  <c r="AX91"/>
  <c r="AW91"/>
  <c r="AV91"/>
  <c r="AC91"/>
  <c r="H91"/>
  <c r="G91"/>
  <c r="BT90"/>
  <c r="BS90"/>
  <c r="BR90"/>
  <c r="BQ90"/>
  <c r="BP90"/>
  <c r="BO90"/>
  <c r="BN90"/>
  <c r="BM90"/>
  <c r="BL90" s="1"/>
  <c r="BK90"/>
  <c r="BJ90"/>
  <c r="BI90"/>
  <c r="BH90"/>
  <c r="BG90"/>
  <c r="BF90"/>
  <c r="BE90"/>
  <c r="BD90"/>
  <c r="BC90"/>
  <c r="BB90"/>
  <c r="BA90"/>
  <c r="AX90"/>
  <c r="AW90"/>
  <c r="AV90"/>
  <c r="AC90"/>
  <c r="H90"/>
  <c r="G90"/>
  <c r="BT89"/>
  <c r="BS89"/>
  <c r="BR89"/>
  <c r="BQ89"/>
  <c r="BP89"/>
  <c r="BO89"/>
  <c r="BN89"/>
  <c r="BM89"/>
  <c r="BL89" s="1"/>
  <c r="BK89"/>
  <c r="BJ89"/>
  <c r="BI89"/>
  <c r="BH89"/>
  <c r="BG89"/>
  <c r="BF89"/>
  <c r="BE89"/>
  <c r="BD89"/>
  <c r="BC89"/>
  <c r="BB89"/>
  <c r="BA89"/>
  <c r="AX89"/>
  <c r="AW89"/>
  <c r="AV89"/>
  <c r="AC89"/>
  <c r="H89"/>
  <c r="BT88"/>
  <c r="BS88"/>
  <c r="BR88"/>
  <c r="BQ88"/>
  <c r="BP88"/>
  <c r="BO88"/>
  <c r="BN88"/>
  <c r="BM88"/>
  <c r="BL88"/>
  <c r="BK88"/>
  <c r="BJ88"/>
  <c r="BI88"/>
  <c r="BH88"/>
  <c r="BG88"/>
  <c r="BF88"/>
  <c r="BE88"/>
  <c r="BD88"/>
  <c r="BC88"/>
  <c r="BB88"/>
  <c r="AX88"/>
  <c r="AW88"/>
  <c r="AV88"/>
  <c r="AC88"/>
  <c r="H88"/>
  <c r="G88"/>
  <c r="BT87"/>
  <c r="BS87"/>
  <c r="BR87"/>
  <c r="BQ87"/>
  <c r="BP87"/>
  <c r="BO87"/>
  <c r="BN87"/>
  <c r="BM87"/>
  <c r="BL87" s="1"/>
  <c r="BK87"/>
  <c r="BJ87"/>
  <c r="BI87"/>
  <c r="BH87"/>
  <c r="BG87"/>
  <c r="BF87"/>
  <c r="BE87"/>
  <c r="BD87"/>
  <c r="BC87"/>
  <c r="BB87"/>
  <c r="BA87"/>
  <c r="AX87"/>
  <c r="AW87"/>
  <c r="AV87"/>
  <c r="AC87"/>
  <c r="H87"/>
  <c r="BT86"/>
  <c r="BS86"/>
  <c r="BR86"/>
  <c r="BQ86"/>
  <c r="BP86"/>
  <c r="BO86"/>
  <c r="BN86"/>
  <c r="BM86"/>
  <c r="BL86"/>
  <c r="BK86"/>
  <c r="BJ86"/>
  <c r="BI86"/>
  <c r="BH86"/>
  <c r="BG86"/>
  <c r="BF86"/>
  <c r="BE86"/>
  <c r="BD86"/>
  <c r="BC86"/>
  <c r="BB86"/>
  <c r="AX86"/>
  <c r="AW86"/>
  <c r="AV86"/>
  <c r="AC86"/>
  <c r="H86"/>
  <c r="BT85"/>
  <c r="BS85"/>
  <c r="BR85"/>
  <c r="BQ85"/>
  <c r="BP85"/>
  <c r="BO85"/>
  <c r="BN85"/>
  <c r="BM85"/>
  <c r="BL85"/>
  <c r="BK85"/>
  <c r="BJ85"/>
  <c r="BI85"/>
  <c r="BH85"/>
  <c r="BG85"/>
  <c r="BF85"/>
  <c r="BE85"/>
  <c r="BD85"/>
  <c r="BC85"/>
  <c r="BB85"/>
  <c r="AX85"/>
  <c r="AW85"/>
  <c r="AV85"/>
  <c r="AC85"/>
  <c r="H85"/>
  <c r="G85"/>
  <c r="BT84"/>
  <c r="BS84"/>
  <c r="BR84"/>
  <c r="BQ84"/>
  <c r="BP84"/>
  <c r="BO84"/>
  <c r="BN84"/>
  <c r="BM84"/>
  <c r="BL84" s="1"/>
  <c r="BK84"/>
  <c r="BJ84"/>
  <c r="BI84"/>
  <c r="BH84"/>
  <c r="BG84"/>
  <c r="BF84"/>
  <c r="BE84"/>
  <c r="BD84"/>
  <c r="BC84"/>
  <c r="BB84"/>
  <c r="BA84"/>
  <c r="AX84"/>
  <c r="AW84"/>
  <c r="AV84"/>
  <c r="AC84"/>
  <c r="H84"/>
  <c r="G84"/>
  <c r="BT83"/>
  <c r="BS83"/>
  <c r="BR83"/>
  <c r="BQ83"/>
  <c r="BP83"/>
  <c r="BO83"/>
  <c r="BN83"/>
  <c r="BM83"/>
  <c r="BL83" s="1"/>
  <c r="BK83"/>
  <c r="BJ83"/>
  <c r="BI83"/>
  <c r="BH83"/>
  <c r="BG83"/>
  <c r="BF83"/>
  <c r="BE83"/>
  <c r="BD83"/>
  <c r="BC83"/>
  <c r="BB83"/>
  <c r="BA83"/>
  <c r="AX83"/>
  <c r="AW83"/>
  <c r="AV83"/>
  <c r="AC83"/>
  <c r="H83"/>
  <c r="BT82"/>
  <c r="BS82"/>
  <c r="BR82"/>
  <c r="BQ82"/>
  <c r="BP82"/>
  <c r="BO82"/>
  <c r="BN82"/>
  <c r="BM82"/>
  <c r="BL82"/>
  <c r="BK82"/>
  <c r="BJ82"/>
  <c r="BI82"/>
  <c r="BH82"/>
  <c r="BG82"/>
  <c r="BF82"/>
  <c r="BE82"/>
  <c r="BD82"/>
  <c r="BC82"/>
  <c r="BB82"/>
  <c r="AX82"/>
  <c r="AW82"/>
  <c r="AV82"/>
  <c r="AC82"/>
  <c r="H82"/>
  <c r="BT81"/>
  <c r="BS81"/>
  <c r="BR81"/>
  <c r="BQ81"/>
  <c r="BP81"/>
  <c r="BO81"/>
  <c r="BN81"/>
  <c r="BM81"/>
  <c r="BL81"/>
  <c r="BK81"/>
  <c r="BJ81"/>
  <c r="BI81"/>
  <c r="BH81"/>
  <c r="BG81"/>
  <c r="BF81"/>
  <c r="BE81"/>
  <c r="BD81"/>
  <c r="BC81"/>
  <c r="BB81"/>
  <c r="AX81"/>
  <c r="AW81"/>
  <c r="AV81"/>
  <c r="AC81"/>
  <c r="H81"/>
  <c r="G81"/>
  <c r="BT80"/>
  <c r="BS80"/>
  <c r="BR80"/>
  <c r="BQ80"/>
  <c r="BP80"/>
  <c r="BO80"/>
  <c r="BN80"/>
  <c r="BM80"/>
  <c r="BL80" s="1"/>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AX79"/>
  <c r="AW79"/>
  <c r="AV79"/>
  <c r="AC79"/>
  <c r="H79"/>
  <c r="BT78"/>
  <c r="BS78"/>
  <c r="BR78"/>
  <c r="BQ78"/>
  <c r="BP78"/>
  <c r="BO78"/>
  <c r="BN78"/>
  <c r="BM78"/>
  <c r="BL78"/>
  <c r="BK78"/>
  <c r="BJ78"/>
  <c r="BI78"/>
  <c r="BH78"/>
  <c r="BG78"/>
  <c r="BF78"/>
  <c r="BE78"/>
  <c r="BD78"/>
  <c r="BC78"/>
  <c r="BB78"/>
  <c r="AX78"/>
  <c r="AW78"/>
  <c r="AV78"/>
  <c r="AC78"/>
  <c r="H78"/>
  <c r="BT77"/>
  <c r="BS77"/>
  <c r="BR77"/>
  <c r="BQ77"/>
  <c r="BP77"/>
  <c r="BO77"/>
  <c r="BN77"/>
  <c r="BM77"/>
  <c r="BL77"/>
  <c r="BK77"/>
  <c r="BJ77"/>
  <c r="BI77"/>
  <c r="BH77"/>
  <c r="BG77"/>
  <c r="BF77"/>
  <c r="BE77"/>
  <c r="BD77"/>
  <c r="BC77"/>
  <c r="BB77"/>
  <c r="AX77"/>
  <c r="AW77"/>
  <c r="AV77"/>
  <c r="AC77"/>
  <c r="H77"/>
  <c r="G77"/>
  <c r="BT76"/>
  <c r="BS76"/>
  <c r="BR76"/>
  <c r="BQ76"/>
  <c r="BP76"/>
  <c r="BO76"/>
  <c r="BN76"/>
  <c r="BM76"/>
  <c r="BL76" s="1"/>
  <c r="BK76"/>
  <c r="BJ76"/>
  <c r="BI76"/>
  <c r="BH76"/>
  <c r="BG76"/>
  <c r="BF76"/>
  <c r="BE76"/>
  <c r="BD76"/>
  <c r="BC76"/>
  <c r="BB76"/>
  <c r="BA76"/>
  <c r="AX76"/>
  <c r="AW76"/>
  <c r="AV76"/>
  <c r="AC76"/>
  <c r="H76"/>
  <c r="BT75"/>
  <c r="BS75"/>
  <c r="BR75"/>
  <c r="BQ75"/>
  <c r="BP75"/>
  <c r="BO75"/>
  <c r="BN75"/>
  <c r="BM75"/>
  <c r="BL75"/>
  <c r="BK75"/>
  <c r="BJ75"/>
  <c r="BI75"/>
  <c r="BH75"/>
  <c r="BG75"/>
  <c r="BF75"/>
  <c r="BE75"/>
  <c r="BD75"/>
  <c r="BC75"/>
  <c r="BB75"/>
  <c r="AX75"/>
  <c r="AW75"/>
  <c r="AV75"/>
  <c r="AC75"/>
  <c r="H75"/>
  <c r="G75"/>
  <c r="BT74"/>
  <c r="BS74"/>
  <c r="BR74"/>
  <c r="BQ74"/>
  <c r="BP74"/>
  <c r="BO74"/>
  <c r="BN74"/>
  <c r="BM74"/>
  <c r="BL74" s="1"/>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c r="AX73"/>
  <c r="AW73"/>
  <c r="AV73"/>
  <c r="AC73"/>
  <c r="H73"/>
  <c r="BT72"/>
  <c r="BS72"/>
  <c r="BR72"/>
  <c r="BQ72"/>
  <c r="BP72"/>
  <c r="BO72"/>
  <c r="BN72"/>
  <c r="BM72"/>
  <c r="BL72"/>
  <c r="BK72"/>
  <c r="BJ72"/>
  <c r="BI72"/>
  <c r="BH72"/>
  <c r="BG72"/>
  <c r="BF72"/>
  <c r="BE72"/>
  <c r="BD72"/>
  <c r="BC72"/>
  <c r="BB72"/>
  <c r="AX72"/>
  <c r="AW72"/>
  <c r="AV72"/>
  <c r="AC72"/>
  <c r="H72"/>
  <c r="G72"/>
  <c r="BT71"/>
  <c r="BS71"/>
  <c r="BR71"/>
  <c r="BQ71"/>
  <c r="BP71"/>
  <c r="BO71"/>
  <c r="BN71"/>
  <c r="BM71"/>
  <c r="BL71" s="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c r="AX70"/>
  <c r="AW70"/>
  <c r="AV70"/>
  <c r="AC70"/>
  <c r="H70"/>
  <c r="G70"/>
  <c r="BT69"/>
  <c r="BS69"/>
  <c r="BR69"/>
  <c r="BQ69"/>
  <c r="BP69"/>
  <c r="BO69"/>
  <c r="BN69"/>
  <c r="BM69"/>
  <c r="BL69" s="1"/>
  <c r="BK69"/>
  <c r="BJ69"/>
  <c r="BI69"/>
  <c r="BH69"/>
  <c r="BG69"/>
  <c r="BF69"/>
  <c r="BE69"/>
  <c r="BD69"/>
  <c r="BC69"/>
  <c r="BB69"/>
  <c r="BA69"/>
  <c r="AX69"/>
  <c r="AW69"/>
  <c r="AV69"/>
  <c r="AC69"/>
  <c r="H69"/>
  <c r="BT68"/>
  <c r="BS68"/>
  <c r="BR68"/>
  <c r="BQ68"/>
  <c r="BP68"/>
  <c r="BO68"/>
  <c r="BN68"/>
  <c r="BM68"/>
  <c r="BL68"/>
  <c r="BK68"/>
  <c r="BJ68"/>
  <c r="BI68"/>
  <c r="BH68"/>
  <c r="BG68"/>
  <c r="BF68"/>
  <c r="BE68"/>
  <c r="BD68"/>
  <c r="BC68"/>
  <c r="BB68"/>
  <c r="AX68"/>
  <c r="AW68"/>
  <c r="AV68"/>
  <c r="AC68"/>
  <c r="H68"/>
  <c r="G68"/>
  <c r="BT67"/>
  <c r="BS67"/>
  <c r="BR67"/>
  <c r="BQ67"/>
  <c r="BP67"/>
  <c r="BO67"/>
  <c r="BN67"/>
  <c r="BM67"/>
  <c r="BL67" s="1"/>
  <c r="BK67"/>
  <c r="BJ67"/>
  <c r="BI67"/>
  <c r="BH67"/>
  <c r="BG67"/>
  <c r="BF67"/>
  <c r="BE67"/>
  <c r="BD67"/>
  <c r="BC67"/>
  <c r="BB67"/>
  <c r="BA67"/>
  <c r="AX67"/>
  <c r="AW67"/>
  <c r="AV67"/>
  <c r="AC67"/>
  <c r="H67"/>
  <c r="BT66"/>
  <c r="BS66"/>
  <c r="BR66"/>
  <c r="BQ66"/>
  <c r="BP66"/>
  <c r="BO66"/>
  <c r="BN66"/>
  <c r="BM66"/>
  <c r="BL66"/>
  <c r="BK66"/>
  <c r="BJ66"/>
  <c r="BI66"/>
  <c r="BH66"/>
  <c r="BG66"/>
  <c r="BF66"/>
  <c r="BE66"/>
  <c r="BD66"/>
  <c r="BC66"/>
  <c r="BB66"/>
  <c r="AX66"/>
  <c r="AW66"/>
  <c r="AV66"/>
  <c r="AC66"/>
  <c r="H66"/>
  <c r="BT65"/>
  <c r="BS65"/>
  <c r="BR65"/>
  <c r="BQ65"/>
  <c r="BP65"/>
  <c r="BO65"/>
  <c r="BN65"/>
  <c r="BM65"/>
  <c r="BL65"/>
  <c r="BK65"/>
  <c r="BJ65"/>
  <c r="BI65"/>
  <c r="BH65"/>
  <c r="BG65"/>
  <c r="BF65"/>
  <c r="BE65"/>
  <c r="BD65"/>
  <c r="BC65"/>
  <c r="BB65"/>
  <c r="AX65"/>
  <c r="AW65"/>
  <c r="AV65"/>
  <c r="AC65"/>
  <c r="H65"/>
  <c r="G65"/>
  <c r="BT64"/>
  <c r="BS64"/>
  <c r="BR64"/>
  <c r="BQ64"/>
  <c r="BP64"/>
  <c r="BO64"/>
  <c r="BN64"/>
  <c r="BM64"/>
  <c r="BL64" s="1"/>
  <c r="BK64"/>
  <c r="BJ64"/>
  <c r="BI64"/>
  <c r="BH64"/>
  <c r="BG64"/>
  <c r="BF64"/>
  <c r="BE64"/>
  <c r="BD64"/>
  <c r="BC64"/>
  <c r="BB64"/>
  <c r="BA64"/>
  <c r="AX64"/>
  <c r="AW64"/>
  <c r="AV64"/>
  <c r="AC64"/>
  <c r="H64"/>
  <c r="BT63"/>
  <c r="BS63"/>
  <c r="BR63"/>
  <c r="BQ63"/>
  <c r="BP63"/>
  <c r="BO63"/>
  <c r="BN63"/>
  <c r="BM63"/>
  <c r="BL63"/>
  <c r="BK63"/>
  <c r="BJ63"/>
  <c r="BI63"/>
  <c r="BH63"/>
  <c r="BG63"/>
  <c r="BF63"/>
  <c r="BE63"/>
  <c r="BD63"/>
  <c r="BC63"/>
  <c r="BB63"/>
  <c r="AX63"/>
  <c r="AW63"/>
  <c r="AV63"/>
  <c r="AC63"/>
  <c r="H63"/>
  <c r="BT62"/>
  <c r="BS62"/>
  <c r="BR62"/>
  <c r="BQ62"/>
  <c r="BP62"/>
  <c r="BO62"/>
  <c r="BN62"/>
  <c r="BM62"/>
  <c r="BL62"/>
  <c r="BK62"/>
  <c r="BJ62"/>
  <c r="BI62"/>
  <c r="BH62"/>
  <c r="BG62"/>
  <c r="BF62"/>
  <c r="BE62"/>
  <c r="BD62"/>
  <c r="BC62"/>
  <c r="BB62"/>
  <c r="AX62"/>
  <c r="AW62"/>
  <c r="AV62"/>
  <c r="AC62"/>
  <c r="H62"/>
  <c r="G62"/>
  <c r="BT61"/>
  <c r="BS61"/>
  <c r="BR61"/>
  <c r="BQ61"/>
  <c r="BP61"/>
  <c r="BO61"/>
  <c r="BN61"/>
  <c r="BM61"/>
  <c r="BL61" s="1"/>
  <c r="BK61"/>
  <c r="BJ61"/>
  <c r="BI61"/>
  <c r="BH61"/>
  <c r="BG61"/>
  <c r="BF61"/>
  <c r="BE61"/>
  <c r="BD61"/>
  <c r="BC61"/>
  <c r="BB61"/>
  <c r="BA61"/>
  <c r="AX61"/>
  <c r="AW61"/>
  <c r="AV61"/>
  <c r="AC61"/>
  <c r="H61"/>
  <c r="BT60"/>
  <c r="BS60"/>
  <c r="BR60"/>
  <c r="BQ60"/>
  <c r="BP60"/>
  <c r="BO60"/>
  <c r="BN60"/>
  <c r="BM60"/>
  <c r="BL60"/>
  <c r="BK60"/>
  <c r="BJ60"/>
  <c r="BI60"/>
  <c r="BH60"/>
  <c r="BG60"/>
  <c r="BF60"/>
  <c r="BE60"/>
  <c r="BD60"/>
  <c r="BC60"/>
  <c r="BB60"/>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BT57"/>
  <c r="BS57"/>
  <c r="BR57"/>
  <c r="BQ57"/>
  <c r="BP57"/>
  <c r="BO57"/>
  <c r="BN57"/>
  <c r="BM57"/>
  <c r="BL57"/>
  <c r="BK57"/>
  <c r="BJ57"/>
  <c r="BI57"/>
  <c r="BH57"/>
  <c r="BG57"/>
  <c r="BF57"/>
  <c r="BE57"/>
  <c r="BD57"/>
  <c r="BC57"/>
  <c r="BB57"/>
  <c r="AX57"/>
  <c r="AW57"/>
  <c r="AV57"/>
  <c r="AC57"/>
  <c r="H57"/>
  <c r="G57"/>
  <c r="BT56"/>
  <c r="BS56"/>
  <c r="BR56"/>
  <c r="BQ56"/>
  <c r="BP56"/>
  <c r="BO56"/>
  <c r="BN56"/>
  <c r="BM56"/>
  <c r="BL56" s="1"/>
  <c r="BK56"/>
  <c r="BJ56"/>
  <c r="BI56"/>
  <c r="BH56"/>
  <c r="BG56"/>
  <c r="BF56"/>
  <c r="BE56"/>
  <c r="BD56"/>
  <c r="BC56"/>
  <c r="BB56"/>
  <c r="BA56"/>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AX53"/>
  <c r="AW53"/>
  <c r="AV53"/>
  <c r="AC53"/>
  <c r="H53"/>
  <c r="G53"/>
  <c r="BT52"/>
  <c r="BS52"/>
  <c r="BR52"/>
  <c r="BQ52"/>
  <c r="BP52"/>
  <c r="BO52"/>
  <c r="BN52"/>
  <c r="BM52"/>
  <c r="BL52" s="1"/>
  <c r="BK52"/>
  <c r="BJ52"/>
  <c r="BI52"/>
  <c r="BH52"/>
  <c r="BG52"/>
  <c r="BF52"/>
  <c r="BE52"/>
  <c r="BD52"/>
  <c r="BC52"/>
  <c r="BB52"/>
  <c r="BA52"/>
  <c r="AX52"/>
  <c r="AW52"/>
  <c r="AV52"/>
  <c r="AC52"/>
  <c r="H52"/>
  <c r="BT51"/>
  <c r="BS51"/>
  <c r="BR51"/>
  <c r="BQ51"/>
  <c r="BP51"/>
  <c r="BO51"/>
  <c r="BN51"/>
  <c r="BM51"/>
  <c r="BL51"/>
  <c r="BK51"/>
  <c r="BJ51"/>
  <c r="BI51"/>
  <c r="BH51"/>
  <c r="BG51"/>
  <c r="BF51"/>
  <c r="BE51"/>
  <c r="BD51"/>
  <c r="BC51"/>
  <c r="BB51"/>
  <c r="AX51"/>
  <c r="AW51"/>
  <c r="AV51"/>
  <c r="AC51"/>
  <c r="H51"/>
  <c r="BT50"/>
  <c r="BS50"/>
  <c r="BR50"/>
  <c r="BQ50"/>
  <c r="BP50"/>
  <c r="BO50"/>
  <c r="BN50"/>
  <c r="BM50"/>
  <c r="BL50"/>
  <c r="BK50"/>
  <c r="BJ50"/>
  <c r="BI50"/>
  <c r="BH50"/>
  <c r="BG50"/>
  <c r="BF50"/>
  <c r="BE50"/>
  <c r="BD50"/>
  <c r="BC50"/>
  <c r="BB50"/>
  <c r="AX50"/>
  <c r="AW50"/>
  <c r="AV50"/>
  <c r="AC50"/>
  <c r="H50"/>
  <c r="G50"/>
  <c r="BT49"/>
  <c r="BS49"/>
  <c r="BR49"/>
  <c r="BQ49"/>
  <c r="BP49"/>
  <c r="BO49"/>
  <c r="BN49"/>
  <c r="BM49"/>
  <c r="BL49" s="1"/>
  <c r="BK49"/>
  <c r="BJ49"/>
  <c r="BI49"/>
  <c r="BH49"/>
  <c r="BG49"/>
  <c r="BF49"/>
  <c r="BE49"/>
  <c r="BD49"/>
  <c r="BC49"/>
  <c r="BB49"/>
  <c r="BA49"/>
  <c r="AX49"/>
  <c r="AW49"/>
  <c r="AV49"/>
  <c r="AC49"/>
  <c r="H49"/>
  <c r="BT48"/>
  <c r="BS48"/>
  <c r="BR48"/>
  <c r="BQ48"/>
  <c r="BP48"/>
  <c r="BO48"/>
  <c r="BN48"/>
  <c r="BM48"/>
  <c r="BL48"/>
  <c r="BK48"/>
  <c r="BJ48"/>
  <c r="BI48"/>
  <c r="BH48"/>
  <c r="BG48"/>
  <c r="BF48"/>
  <c r="BE48"/>
  <c r="BD48"/>
  <c r="BC48"/>
  <c r="BB48"/>
  <c r="AX48"/>
  <c r="AW48"/>
  <c r="AV48"/>
  <c r="AC48"/>
  <c r="H48"/>
  <c r="BT47"/>
  <c r="BS47"/>
  <c r="BR47"/>
  <c r="BQ47"/>
  <c r="BP47"/>
  <c r="BO47"/>
  <c r="BN47"/>
  <c r="BM47"/>
  <c r="BL47"/>
  <c r="BK47"/>
  <c r="BJ47"/>
  <c r="BI47"/>
  <c r="BH47"/>
  <c r="BG47"/>
  <c r="BF47"/>
  <c r="BE47"/>
  <c r="BD47"/>
  <c r="BC47"/>
  <c r="BB47"/>
  <c r="AX47"/>
  <c r="AW47"/>
  <c r="AV47"/>
  <c r="AC47"/>
  <c r="H47"/>
  <c r="BT46"/>
  <c r="BS46"/>
  <c r="BR46"/>
  <c r="BQ46"/>
  <c r="BP46"/>
  <c r="BO46"/>
  <c r="BN46"/>
  <c r="BM46"/>
  <c r="BL46"/>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BA45"/>
  <c r="AX45"/>
  <c r="AW45"/>
  <c r="AV45"/>
  <c r="AC45"/>
  <c r="H45"/>
  <c r="BT44"/>
  <c r="BS44"/>
  <c r="BR44"/>
  <c r="BQ44"/>
  <c r="BP44"/>
  <c r="BO44"/>
  <c r="BN44"/>
  <c r="BM44"/>
  <c r="BL44"/>
  <c r="BK44"/>
  <c r="BJ44"/>
  <c r="BI44"/>
  <c r="BH44"/>
  <c r="BG44"/>
  <c r="BF44"/>
  <c r="BE44"/>
  <c r="BD44"/>
  <c r="BC44"/>
  <c r="BB44"/>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BT41"/>
  <c r="BS41"/>
  <c r="BR41"/>
  <c r="BQ41"/>
  <c r="BP41"/>
  <c r="BO41"/>
  <c r="BN41"/>
  <c r="BM41"/>
  <c r="BL41"/>
  <c r="BK41"/>
  <c r="BJ41"/>
  <c r="BI41"/>
  <c r="BH41"/>
  <c r="BG41"/>
  <c r="BF41"/>
  <c r="BE41"/>
  <c r="BD41"/>
  <c r="BC41"/>
  <c r="BB41"/>
  <c r="AX41"/>
  <c r="AW41"/>
  <c r="AV41"/>
  <c r="AC41"/>
  <c r="H41"/>
  <c r="G41"/>
  <c r="BT40"/>
  <c r="BS40"/>
  <c r="BR40"/>
  <c r="BQ40"/>
  <c r="BP40"/>
  <c r="BO40"/>
  <c r="BN40"/>
  <c r="BM40"/>
  <c r="BL40" s="1"/>
  <c r="BK40"/>
  <c r="BJ40"/>
  <c r="BI40"/>
  <c r="BH40"/>
  <c r="BG40"/>
  <c r="BF40"/>
  <c r="BE40"/>
  <c r="BD40"/>
  <c r="BC40"/>
  <c r="BB40"/>
  <c r="BA40"/>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X38"/>
  <c r="AW38"/>
  <c r="AV38"/>
  <c r="AC38"/>
  <c r="H38"/>
  <c r="BT37"/>
  <c r="BS37"/>
  <c r="BR37"/>
  <c r="BQ37"/>
  <c r="BP37"/>
  <c r="BO37"/>
  <c r="BN37"/>
  <c r="BM37"/>
  <c r="BL37"/>
  <c r="BK37"/>
  <c r="BJ37"/>
  <c r="BI37"/>
  <c r="BH37"/>
  <c r="BG37"/>
  <c r="BF37"/>
  <c r="BE37"/>
  <c r="BD37"/>
  <c r="BC37"/>
  <c r="BB37"/>
  <c r="AX37"/>
  <c r="AW37"/>
  <c r="AV37"/>
  <c r="AC37"/>
  <c r="H37"/>
  <c r="G37"/>
  <c r="BT36"/>
  <c r="BS36"/>
  <c r="BR36"/>
  <c r="BQ36"/>
  <c r="BP36"/>
  <c r="BO36"/>
  <c r="BN36"/>
  <c r="BM36"/>
  <c r="BL36" s="1"/>
  <c r="BK36"/>
  <c r="BJ36"/>
  <c r="BI36"/>
  <c r="BH36"/>
  <c r="BG36"/>
  <c r="BF36"/>
  <c r="BE36"/>
  <c r="BD36"/>
  <c r="BC36"/>
  <c r="BB36"/>
  <c r="BA36"/>
  <c r="AX36"/>
  <c r="AW36"/>
  <c r="AV36"/>
  <c r="AC36"/>
  <c r="H36"/>
  <c r="BT35"/>
  <c r="BS35"/>
  <c r="BR35"/>
  <c r="BQ35"/>
  <c r="BP35"/>
  <c r="BO35"/>
  <c r="BN35"/>
  <c r="BM35"/>
  <c r="BL35"/>
  <c r="BK35"/>
  <c r="BJ35"/>
  <c r="BI35"/>
  <c r="BH35"/>
  <c r="BG35"/>
  <c r="BF35"/>
  <c r="BE35"/>
  <c r="BD35"/>
  <c r="BC35"/>
  <c r="BB35"/>
  <c r="AX35"/>
  <c r="AW35"/>
  <c r="AV35"/>
  <c r="AC35"/>
  <c r="H35"/>
  <c r="BT34"/>
  <c r="BS34"/>
  <c r="BR34"/>
  <c r="BQ34"/>
  <c r="BP34"/>
  <c r="BO34"/>
  <c r="BN34"/>
  <c r="BM34"/>
  <c r="BL34"/>
  <c r="BK34"/>
  <c r="BJ34"/>
  <c r="BI34"/>
  <c r="BH34"/>
  <c r="BG34"/>
  <c r="BF34"/>
  <c r="BE34"/>
  <c r="BD34"/>
  <c r="BC34"/>
  <c r="BB34"/>
  <c r="AX34"/>
  <c r="AW34"/>
  <c r="AV34"/>
  <c r="AC34"/>
  <c r="H34"/>
  <c r="G34"/>
  <c r="BT33"/>
  <c r="BS33"/>
  <c r="BR33"/>
  <c r="BQ33"/>
  <c r="BP33"/>
  <c r="BO33"/>
  <c r="BN33"/>
  <c r="BM33"/>
  <c r="BL33" s="1"/>
  <c r="BK33"/>
  <c r="BJ33"/>
  <c r="BI33"/>
  <c r="BH33"/>
  <c r="BG33"/>
  <c r="BF33"/>
  <c r="BE33"/>
  <c r="BD33"/>
  <c r="BC33"/>
  <c r="BB33"/>
  <c r="BA33"/>
  <c r="AX33"/>
  <c r="AW33"/>
  <c r="AV33"/>
  <c r="AC33"/>
  <c r="H33"/>
  <c r="BT32"/>
  <c r="BS32"/>
  <c r="BR32"/>
  <c r="BQ32"/>
  <c r="BP32"/>
  <c r="BO32"/>
  <c r="BN32"/>
  <c r="BM32"/>
  <c r="BL32"/>
  <c r="BK32"/>
  <c r="BJ32"/>
  <c r="BI32"/>
  <c r="BH32"/>
  <c r="BG32"/>
  <c r="BF32"/>
  <c r="BE32"/>
  <c r="BD32"/>
  <c r="BC32"/>
  <c r="BB32"/>
  <c r="AX32"/>
  <c r="AW32"/>
  <c r="AV32"/>
  <c r="AC32"/>
  <c r="H32"/>
  <c r="BT31"/>
  <c r="BS31"/>
  <c r="BR31"/>
  <c r="BQ31"/>
  <c r="BP31"/>
  <c r="BO31"/>
  <c r="BN31"/>
  <c r="BM31"/>
  <c r="BL31"/>
  <c r="BK31"/>
  <c r="BJ31"/>
  <c r="BI31"/>
  <c r="BH31"/>
  <c r="BG31"/>
  <c r="BF31"/>
  <c r="BE31"/>
  <c r="BD31"/>
  <c r="BC31"/>
  <c r="BB31"/>
  <c r="AX31"/>
  <c r="AW31"/>
  <c r="AV31"/>
  <c r="AC31"/>
  <c r="H31"/>
  <c r="BT30"/>
  <c r="BS30"/>
  <c r="BR30"/>
  <c r="BQ30"/>
  <c r="BP30"/>
  <c r="BO30"/>
  <c r="BN30"/>
  <c r="BM30"/>
  <c r="BL30"/>
  <c r="BK30"/>
  <c r="BJ30"/>
  <c r="BI30"/>
  <c r="BH30"/>
  <c r="BG30"/>
  <c r="BF30"/>
  <c r="BE30"/>
  <c r="BD30"/>
  <c r="BC30"/>
  <c r="BB30"/>
  <c r="AX30"/>
  <c r="AW30"/>
  <c r="AV30"/>
  <c r="AC30"/>
  <c r="H30"/>
  <c r="G30"/>
  <c r="BT29"/>
  <c r="BS29"/>
  <c r="BR29"/>
  <c r="BQ29"/>
  <c r="BP29"/>
  <c r="BO29"/>
  <c r="BN29"/>
  <c r="BM29"/>
  <c r="BL29" s="1"/>
  <c r="BK29"/>
  <c r="BJ29"/>
  <c r="BI29"/>
  <c r="BH29"/>
  <c r="BG29"/>
  <c r="BF29"/>
  <c r="BE29"/>
  <c r="BD29"/>
  <c r="BC29"/>
  <c r="BB29"/>
  <c r="BA29"/>
  <c r="AX29"/>
  <c r="AW29"/>
  <c r="AV29"/>
  <c r="AC29"/>
  <c r="H29"/>
  <c r="BT28"/>
  <c r="BS28"/>
  <c r="BR28"/>
  <c r="BQ28"/>
  <c r="BP28"/>
  <c r="BO28"/>
  <c r="BN28"/>
  <c r="BM28"/>
  <c r="BL28"/>
  <c r="BK28"/>
  <c r="BJ28"/>
  <c r="BI28"/>
  <c r="BH28"/>
  <c r="BG28"/>
  <c r="BF28"/>
  <c r="BE28"/>
  <c r="BD28"/>
  <c r="BC28"/>
  <c r="BB28"/>
  <c r="AX28"/>
  <c r="AW28"/>
  <c r="AV28"/>
  <c r="AC28"/>
  <c r="H28"/>
  <c r="G28"/>
  <c r="BT27"/>
  <c r="BS27"/>
  <c r="BR27"/>
  <c r="BQ27"/>
  <c r="BP27"/>
  <c r="BO27"/>
  <c r="BN27"/>
  <c r="BM27"/>
  <c r="BL27" s="1"/>
  <c r="BK27"/>
  <c r="BJ27"/>
  <c r="BI27"/>
  <c r="BH27"/>
  <c r="BG27"/>
  <c r="BF27"/>
  <c r="BE27"/>
  <c r="BD27"/>
  <c r="BC27"/>
  <c r="BB27"/>
  <c r="BA27"/>
  <c r="AX27"/>
  <c r="AW27"/>
  <c r="AV27"/>
  <c r="AC27"/>
  <c r="H27"/>
  <c r="G27"/>
  <c r="BT26"/>
  <c r="BS26"/>
  <c r="BR26"/>
  <c r="BQ26"/>
  <c r="BP26"/>
  <c r="BO26"/>
  <c r="BN26"/>
  <c r="BM26"/>
  <c r="BL26" s="1"/>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AX25"/>
  <c r="AW25"/>
  <c r="AV25"/>
  <c r="AC25"/>
  <c r="H25"/>
  <c r="G25"/>
  <c r="BT24"/>
  <c r="BS24"/>
  <c r="BR24"/>
  <c r="BQ24"/>
  <c r="BP24"/>
  <c r="BO24"/>
  <c r="BN24"/>
  <c r="BM24"/>
  <c r="BL24" s="1"/>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c r="AX23"/>
  <c r="AW23"/>
  <c r="AV23"/>
  <c r="AC23"/>
  <c r="H23"/>
  <c r="G23"/>
  <c r="BT22"/>
  <c r="BS22"/>
  <c r="BR22"/>
  <c r="BQ22"/>
  <c r="BP22"/>
  <c r="BO22"/>
  <c r="BN22"/>
  <c r="BM22"/>
  <c r="BL22" s="1"/>
  <c r="BK22"/>
  <c r="BJ22"/>
  <c r="BI22"/>
  <c r="BH22"/>
  <c r="BG22"/>
  <c r="BF22"/>
  <c r="BE22"/>
  <c r="BD22"/>
  <c r="BC22"/>
  <c r="BB22"/>
  <c r="BA22"/>
  <c r="AX22"/>
  <c r="AW22"/>
  <c r="AV22"/>
  <c r="AC22"/>
  <c r="H22"/>
  <c r="BT21"/>
  <c r="BS21"/>
  <c r="BR21"/>
  <c r="BQ21"/>
  <c r="BP21"/>
  <c r="BO21"/>
  <c r="BN21"/>
  <c r="BM21"/>
  <c r="BL21"/>
  <c r="BK21"/>
  <c r="BJ21"/>
  <c r="BI21"/>
  <c r="BH21"/>
  <c r="BG21"/>
  <c r="BF21"/>
  <c r="BE21"/>
  <c r="BD21"/>
  <c r="BC21"/>
  <c r="BB21"/>
  <c r="AX21"/>
  <c r="AW21"/>
  <c r="AV21"/>
  <c r="AC21"/>
  <c r="H21"/>
  <c r="G21"/>
  <c r="BT204"/>
  <c r="BS204"/>
  <c r="BR204"/>
  <c r="BQ204"/>
  <c r="BP204"/>
  <c r="BO204"/>
  <c r="BN204"/>
  <c r="BM204"/>
  <c r="BL204" s="1"/>
  <c r="BK204"/>
  <c r="BJ204"/>
  <c r="BI204"/>
  <c r="BH204"/>
  <c r="BG204"/>
  <c r="BF204"/>
  <c r="BE204"/>
  <c r="BD204"/>
  <c r="BC204"/>
  <c r="BB204"/>
  <c r="BA204"/>
  <c r="AX204"/>
  <c r="AW204"/>
  <c r="AV204"/>
  <c r="AC204"/>
  <c r="H204"/>
  <c r="G204" s="1"/>
  <c r="BT203"/>
  <c r="BS203"/>
  <c r="BR203"/>
  <c r="BQ203"/>
  <c r="BP203"/>
  <c r="BO203"/>
  <c r="BN203"/>
  <c r="BM203"/>
  <c r="BL203"/>
  <c r="BK203"/>
  <c r="BJ203"/>
  <c r="BI203"/>
  <c r="BH203"/>
  <c r="BG203"/>
  <c r="BF203"/>
  <c r="BE203"/>
  <c r="BD203"/>
  <c r="BC203"/>
  <c r="BB203"/>
  <c r="BA203" s="1"/>
  <c r="AX203"/>
  <c r="AW203"/>
  <c r="AV203"/>
  <c r="AC203"/>
  <c r="H203"/>
  <c r="G203" s="1"/>
  <c r="BT202"/>
  <c r="BS202"/>
  <c r="BR202"/>
  <c r="BQ202"/>
  <c r="BP202"/>
  <c r="BO202"/>
  <c r="BN202"/>
  <c r="BM202"/>
  <c r="BL202"/>
  <c r="BK202"/>
  <c r="BJ202"/>
  <c r="BI202"/>
  <c r="BH202"/>
  <c r="BG202"/>
  <c r="BF202"/>
  <c r="BE202"/>
  <c r="BD202"/>
  <c r="BC202"/>
  <c r="BB202"/>
  <c r="BA202" s="1"/>
  <c r="AZ202" s="1"/>
  <c r="AX202"/>
  <c r="AW202"/>
  <c r="AV202"/>
  <c r="AC202"/>
  <c r="H202"/>
  <c r="G202"/>
  <c r="BT201"/>
  <c r="BS201"/>
  <c r="BR201"/>
  <c r="BQ201"/>
  <c r="BP201"/>
  <c r="BO201"/>
  <c r="BN201"/>
  <c r="BM201"/>
  <c r="BK201"/>
  <c r="BJ201"/>
  <c r="BI201"/>
  <c r="BH201"/>
  <c r="BG201"/>
  <c r="BF201"/>
  <c r="BE201"/>
  <c r="BD201"/>
  <c r="BC201"/>
  <c r="BB201"/>
  <c r="BA201" s="1"/>
  <c r="AX201"/>
  <c r="AW201"/>
  <c r="AV201"/>
  <c r="AC201"/>
  <c r="H201"/>
  <c r="G201" s="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s="1"/>
  <c r="BK199"/>
  <c r="BJ199"/>
  <c r="BI199"/>
  <c r="BH199"/>
  <c r="BG199"/>
  <c r="BF199"/>
  <c r="BE199"/>
  <c r="BD199"/>
  <c r="BC199"/>
  <c r="BB199"/>
  <c r="BA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BT197"/>
  <c r="BS197"/>
  <c r="BR197"/>
  <c r="BQ197"/>
  <c r="BP197"/>
  <c r="BO197"/>
  <c r="BN197"/>
  <c r="BM197"/>
  <c r="BK197"/>
  <c r="BJ197"/>
  <c r="BI197"/>
  <c r="BH197"/>
  <c r="BG197"/>
  <c r="BF197"/>
  <c r="BE197"/>
  <c r="BD197"/>
  <c r="BC197"/>
  <c r="BB197"/>
  <c r="BA197" s="1"/>
  <c r="AX197"/>
  <c r="AW197"/>
  <c r="AV197"/>
  <c r="AC197"/>
  <c r="H197"/>
  <c r="G197" s="1"/>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s="1"/>
  <c r="BK195"/>
  <c r="BJ195"/>
  <c r="BI195"/>
  <c r="BH195"/>
  <c r="BG195"/>
  <c r="BF195"/>
  <c r="BE195"/>
  <c r="BD195"/>
  <c r="BC195"/>
  <c r="BB195"/>
  <c r="BA195"/>
  <c r="AX195"/>
  <c r="AW195"/>
  <c r="AV195"/>
  <c r="AC195"/>
  <c r="H195"/>
  <c r="G195"/>
  <c r="BT194"/>
  <c r="BS194"/>
  <c r="BR194"/>
  <c r="BQ194"/>
  <c r="BP194"/>
  <c r="BO194"/>
  <c r="BN194"/>
  <c r="BM194"/>
  <c r="BL194" s="1"/>
  <c r="BK194"/>
  <c r="BJ194"/>
  <c r="BI194"/>
  <c r="BH194"/>
  <c r="BG194"/>
  <c r="BF194"/>
  <c r="BE194"/>
  <c r="BD194"/>
  <c r="BC194"/>
  <c r="BB194"/>
  <c r="BA194"/>
  <c r="AZ194" s="1"/>
  <c r="AX194"/>
  <c r="AW194"/>
  <c r="AV194"/>
  <c r="AC194"/>
  <c r="H194"/>
  <c r="BT193"/>
  <c r="BS193"/>
  <c r="BR193"/>
  <c r="BQ193"/>
  <c r="BP193"/>
  <c r="BO193"/>
  <c r="BN193"/>
  <c r="BM193"/>
  <c r="BK193"/>
  <c r="BJ193"/>
  <c r="BI193"/>
  <c r="BH193"/>
  <c r="BG193"/>
  <c r="BF193"/>
  <c r="BE193"/>
  <c r="BD193"/>
  <c r="BC193"/>
  <c r="BB193"/>
  <c r="BA193" s="1"/>
  <c r="AX193"/>
  <c r="AW193"/>
  <c r="AV193"/>
  <c r="AC193"/>
  <c r="H193"/>
  <c r="G193" s="1"/>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s="1"/>
  <c r="BK191"/>
  <c r="BJ191"/>
  <c r="BI191"/>
  <c r="BH191"/>
  <c r="BG191"/>
  <c r="BF191"/>
  <c r="BE191"/>
  <c r="BD191"/>
  <c r="BC191"/>
  <c r="BB191"/>
  <c r="BA191"/>
  <c r="AX191"/>
  <c r="AW191"/>
  <c r="AV191"/>
  <c r="AC191"/>
  <c r="H191"/>
  <c r="G191"/>
  <c r="BT190"/>
  <c r="BS190"/>
  <c r="BR190"/>
  <c r="BQ190"/>
  <c r="BP190"/>
  <c r="BO190"/>
  <c r="BN190"/>
  <c r="BM190"/>
  <c r="BL190" s="1"/>
  <c r="BK190"/>
  <c r="BJ190"/>
  <c r="BI190"/>
  <c r="BH190"/>
  <c r="BG190"/>
  <c r="BF190"/>
  <c r="BE190"/>
  <c r="BD190"/>
  <c r="BC190"/>
  <c r="BB190"/>
  <c r="BA190"/>
  <c r="AX190"/>
  <c r="AW190"/>
  <c r="AV190"/>
  <c r="AC190"/>
  <c r="H190"/>
  <c r="BT189"/>
  <c r="BS189"/>
  <c r="BR189"/>
  <c r="BQ189"/>
  <c r="BP189"/>
  <c r="BO189"/>
  <c r="BN189"/>
  <c r="BM189"/>
  <c r="BK189"/>
  <c r="BJ189"/>
  <c r="BI189"/>
  <c r="BH189"/>
  <c r="BG189"/>
  <c r="BF189"/>
  <c r="BE189"/>
  <c r="BD189"/>
  <c r="BC189"/>
  <c r="BB189"/>
  <c r="BA189" s="1"/>
  <c r="AX189"/>
  <c r="AW189"/>
  <c r="AV189"/>
  <c r="AC189"/>
  <c r="H189"/>
  <c r="G189" s="1"/>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s="1"/>
  <c r="BK187"/>
  <c r="BJ187"/>
  <c r="BI187"/>
  <c r="BH187"/>
  <c r="BG187"/>
  <c r="BF187"/>
  <c r="BE187"/>
  <c r="BD187"/>
  <c r="BC187"/>
  <c r="BB187"/>
  <c r="BA187"/>
  <c r="AX187"/>
  <c r="AW187"/>
  <c r="AV187"/>
  <c r="AC187"/>
  <c r="H187"/>
  <c r="G187"/>
  <c r="BT186"/>
  <c r="BS186"/>
  <c r="BR186"/>
  <c r="BQ186"/>
  <c r="BP186"/>
  <c r="BO186"/>
  <c r="BN186"/>
  <c r="BM186"/>
  <c r="BL186" s="1"/>
  <c r="BK186"/>
  <c r="BJ186"/>
  <c r="BI186"/>
  <c r="BH186"/>
  <c r="BG186"/>
  <c r="BF186"/>
  <c r="BE186"/>
  <c r="BD186"/>
  <c r="BC186"/>
  <c r="BB186"/>
  <c r="BA186"/>
  <c r="AZ186" s="1"/>
  <c r="AX186"/>
  <c r="AW186"/>
  <c r="AV186"/>
  <c r="AC186"/>
  <c r="H186"/>
  <c r="BT185"/>
  <c r="BS185"/>
  <c r="BR185"/>
  <c r="BQ185"/>
  <c r="BP185"/>
  <c r="BO185"/>
  <c r="BN185"/>
  <c r="BM185"/>
  <c r="BK185"/>
  <c r="BJ185"/>
  <c r="BI185"/>
  <c r="BH185"/>
  <c r="BG185"/>
  <c r="BF185"/>
  <c r="BE185"/>
  <c r="BD185"/>
  <c r="BC185"/>
  <c r="BB185"/>
  <c r="BA185" s="1"/>
  <c r="AX185"/>
  <c r="AW185"/>
  <c r="AV185"/>
  <c r="AC185"/>
  <c r="H185"/>
  <c r="G185" s="1"/>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s="1"/>
  <c r="BK183"/>
  <c r="BJ183"/>
  <c r="BI183"/>
  <c r="BH183"/>
  <c r="BG183"/>
  <c r="BF183"/>
  <c r="BE183"/>
  <c r="BD183"/>
  <c r="BC183"/>
  <c r="BB183"/>
  <c r="BA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BT181"/>
  <c r="BS181"/>
  <c r="BR181"/>
  <c r="BQ181"/>
  <c r="BP181"/>
  <c r="BO181"/>
  <c r="BN181"/>
  <c r="BM181"/>
  <c r="BK181"/>
  <c r="BJ181"/>
  <c r="BI181"/>
  <c r="BH181"/>
  <c r="BG181"/>
  <c r="BF181"/>
  <c r="BE181"/>
  <c r="BD181"/>
  <c r="BC181"/>
  <c r="BB181"/>
  <c r="BA181" s="1"/>
  <c r="AX181"/>
  <c r="AW181"/>
  <c r="AV181"/>
  <c r="AC181"/>
  <c r="H181"/>
  <c r="G181" s="1"/>
  <c r="BT180"/>
  <c r="BS180"/>
  <c r="BR180"/>
  <c r="BQ180"/>
  <c r="BP180"/>
  <c r="BO180"/>
  <c r="BN180"/>
  <c r="BM180"/>
  <c r="BL180"/>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s="1"/>
  <c r="BK177"/>
  <c r="BJ177"/>
  <c r="BI177"/>
  <c r="BH177"/>
  <c r="BG177"/>
  <c r="BF177"/>
  <c r="BE177"/>
  <c r="BD177"/>
  <c r="BC177"/>
  <c r="BB177"/>
  <c r="BA177"/>
  <c r="AX177"/>
  <c r="AW177"/>
  <c r="AV177"/>
  <c r="AC177"/>
  <c r="H177"/>
  <c r="G177"/>
  <c r="BT176"/>
  <c r="BS176"/>
  <c r="BR176"/>
  <c r="BQ176"/>
  <c r="BP176"/>
  <c r="BO176"/>
  <c r="BN176"/>
  <c r="BM176"/>
  <c r="BL176" s="1"/>
  <c r="BK176"/>
  <c r="BJ176"/>
  <c r="BI176"/>
  <c r="BH176"/>
  <c r="BG176"/>
  <c r="BF176"/>
  <c r="BE176"/>
  <c r="BD176"/>
  <c r="BC176"/>
  <c r="BB176"/>
  <c r="BA176"/>
  <c r="AX176"/>
  <c r="AW176"/>
  <c r="AV176"/>
  <c r="AC176"/>
  <c r="H176"/>
  <c r="G176" s="1"/>
  <c r="BT175"/>
  <c r="BS175"/>
  <c r="BR175"/>
  <c r="BQ175"/>
  <c r="BP175"/>
  <c r="BO175"/>
  <c r="BN175"/>
  <c r="BM175"/>
  <c r="BL175"/>
  <c r="BK175"/>
  <c r="BJ175"/>
  <c r="BI175"/>
  <c r="BH175"/>
  <c r="BG175"/>
  <c r="BF175"/>
  <c r="BE175"/>
  <c r="BD175"/>
  <c r="BC175"/>
  <c r="BB175"/>
  <c r="BA175" s="1"/>
  <c r="AZ175" s="1"/>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c r="BK172"/>
  <c r="BJ172"/>
  <c r="BI172"/>
  <c r="BH172"/>
  <c r="BG172"/>
  <c r="BF172"/>
  <c r="BE172"/>
  <c r="BD172"/>
  <c r="BC172"/>
  <c r="BB172"/>
  <c r="BA172" s="1"/>
  <c r="AZ172" s="1"/>
  <c r="AX172"/>
  <c r="AW172"/>
  <c r="AV172"/>
  <c r="AC172"/>
  <c r="H172"/>
  <c r="G172"/>
  <c r="BT171"/>
  <c r="BS171"/>
  <c r="BR171"/>
  <c r="BQ171"/>
  <c r="BP171"/>
  <c r="BO171"/>
  <c r="BN171"/>
  <c r="BM171"/>
  <c r="BL171" s="1"/>
  <c r="BK171"/>
  <c r="BJ171"/>
  <c r="BI171"/>
  <c r="BH171"/>
  <c r="BG171"/>
  <c r="BF171"/>
  <c r="BE171"/>
  <c r="BD171"/>
  <c r="BC171"/>
  <c r="BB171"/>
  <c r="BA171"/>
  <c r="AZ171" s="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s="1"/>
  <c r="BK168"/>
  <c r="BJ168"/>
  <c r="BI168"/>
  <c r="BH168"/>
  <c r="BG168"/>
  <c r="BF168"/>
  <c r="BE168"/>
  <c r="BD168"/>
  <c r="BC168"/>
  <c r="BB168"/>
  <c r="BA168"/>
  <c r="AZ168" s="1"/>
  <c r="AX168"/>
  <c r="AW168"/>
  <c r="AV168"/>
  <c r="AC168"/>
  <c r="H168"/>
  <c r="G168" s="1"/>
  <c r="BT167"/>
  <c r="BS167"/>
  <c r="BR167"/>
  <c r="BQ167"/>
  <c r="BP167"/>
  <c r="BO167"/>
  <c r="BN167"/>
  <c r="BM167"/>
  <c r="BL167"/>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BA166" s="1"/>
  <c r="AX166"/>
  <c r="AW166"/>
  <c r="AV166"/>
  <c r="AC166"/>
  <c r="H166"/>
  <c r="G166" s="1"/>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s="1"/>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BA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s="1"/>
  <c r="BK160"/>
  <c r="BJ160"/>
  <c r="BI160"/>
  <c r="BH160"/>
  <c r="BG160"/>
  <c r="BF160"/>
  <c r="BE160"/>
  <c r="BD160"/>
  <c r="BC160"/>
  <c r="BB160"/>
  <c r="BA160"/>
  <c r="AX160"/>
  <c r="AW160"/>
  <c r="AV160"/>
  <c r="AC160"/>
  <c r="H160"/>
  <c r="G160" s="1"/>
  <c r="BT159"/>
  <c r="BS159"/>
  <c r="BR159"/>
  <c r="BQ159"/>
  <c r="BP159"/>
  <c r="BO159"/>
  <c r="BN159"/>
  <c r="BM159"/>
  <c r="BL159"/>
  <c r="BK159"/>
  <c r="BJ159"/>
  <c r="BI159"/>
  <c r="BH159"/>
  <c r="BG159"/>
  <c r="BF159"/>
  <c r="BE159"/>
  <c r="BD159"/>
  <c r="BC159"/>
  <c r="BB159"/>
  <c r="BA159" s="1"/>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c r="BK156"/>
  <c r="BJ156"/>
  <c r="BI156"/>
  <c r="BH156"/>
  <c r="BG156"/>
  <c r="BF156"/>
  <c r="BE156"/>
  <c r="BD156"/>
  <c r="BC156"/>
  <c r="BB156"/>
  <c r="BA156" s="1"/>
  <c r="AZ156" s="1"/>
  <c r="AX156"/>
  <c r="AW156"/>
  <c r="AV156"/>
  <c r="AC156"/>
  <c r="H156"/>
  <c r="G156"/>
  <c r="BT155"/>
  <c r="BS155"/>
  <c r="BR155"/>
  <c r="BQ155"/>
  <c r="BP155"/>
  <c r="BO155"/>
  <c r="BN155"/>
  <c r="BM155"/>
  <c r="BL155" s="1"/>
  <c r="BK155"/>
  <c r="BJ155"/>
  <c r="BI155"/>
  <c r="BH155"/>
  <c r="BG155"/>
  <c r="BF155"/>
  <c r="BE155"/>
  <c r="BD155"/>
  <c r="BC155"/>
  <c r="BB155"/>
  <c r="BA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s="1"/>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s="1"/>
  <c r="BK149"/>
  <c r="BJ149"/>
  <c r="BI149"/>
  <c r="BH149"/>
  <c r="BG149"/>
  <c r="BF149"/>
  <c r="BE149"/>
  <c r="BD149"/>
  <c r="BC149"/>
  <c r="BB149"/>
  <c r="BA149"/>
  <c r="AZ149" s="1"/>
  <c r="AX149"/>
  <c r="AW149"/>
  <c r="AV149"/>
  <c r="AC149"/>
  <c r="H149"/>
  <c r="G149" s="1"/>
  <c r="BT148"/>
  <c r="BS148"/>
  <c r="BR148"/>
  <c r="BQ148"/>
  <c r="BP148"/>
  <c r="BO148"/>
  <c r="BN148"/>
  <c r="BM148"/>
  <c r="BL148"/>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G145"/>
  <c r="BT144"/>
  <c r="BS144"/>
  <c r="BR144"/>
  <c r="BQ144"/>
  <c r="BP144"/>
  <c r="BO144"/>
  <c r="BN144"/>
  <c r="BM144"/>
  <c r="BL144" s="1"/>
  <c r="BK144"/>
  <c r="BJ144"/>
  <c r="BI144"/>
  <c r="BH144"/>
  <c r="BG144"/>
  <c r="BF144"/>
  <c r="BE144"/>
  <c r="BD144"/>
  <c r="BC144"/>
  <c r="BB144"/>
  <c r="BA144"/>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BA141"/>
  <c r="AX141"/>
  <c r="AW141"/>
  <c r="AV141"/>
  <c r="AC141"/>
  <c r="H141"/>
  <c r="G141" s="1"/>
  <c r="BT140"/>
  <c r="BS140"/>
  <c r="BR140"/>
  <c r="BQ140"/>
  <c r="BP140"/>
  <c r="BO140"/>
  <c r="BN140"/>
  <c r="BM140"/>
  <c r="BL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s="1"/>
  <c r="BK137"/>
  <c r="BJ137"/>
  <c r="BI137"/>
  <c r="BH137"/>
  <c r="BG137"/>
  <c r="BF137"/>
  <c r="BE137"/>
  <c r="BD137"/>
  <c r="BC137"/>
  <c r="BB137"/>
  <c r="BA137"/>
  <c r="AX137"/>
  <c r="AW137"/>
  <c r="AV137"/>
  <c r="AC137"/>
  <c r="H137"/>
  <c r="G137"/>
  <c r="BT136"/>
  <c r="BS136"/>
  <c r="BR136"/>
  <c r="BQ136"/>
  <c r="BP136"/>
  <c r="BO136"/>
  <c r="BN136"/>
  <c r="BM136"/>
  <c r="BL136" s="1"/>
  <c r="BK136"/>
  <c r="BJ136"/>
  <c r="BI136"/>
  <c r="BH136"/>
  <c r="BG136"/>
  <c r="BF136"/>
  <c r="BE136"/>
  <c r="BD136"/>
  <c r="BC136"/>
  <c r="BB136"/>
  <c r="BA136"/>
  <c r="AZ136" s="1"/>
  <c r="AX136"/>
  <c r="AW136"/>
  <c r="AV136"/>
  <c r="AC136"/>
  <c r="H136"/>
  <c r="BT135"/>
  <c r="BS135"/>
  <c r="BR135"/>
  <c r="BQ135"/>
  <c r="BP135"/>
  <c r="BO135"/>
  <c r="BN135"/>
  <c r="BM135"/>
  <c r="BK135"/>
  <c r="BJ135"/>
  <c r="BI135"/>
  <c r="BH135"/>
  <c r="BG135"/>
  <c r="BF135"/>
  <c r="BE135"/>
  <c r="BD135"/>
  <c r="BC135"/>
  <c r="BB135"/>
  <c r="BA135" s="1"/>
  <c r="AX135"/>
  <c r="AW135"/>
  <c r="AV135"/>
  <c r="AC135"/>
  <c r="H135"/>
  <c r="G135" s="1"/>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s="1"/>
  <c r="BK133"/>
  <c r="BJ133"/>
  <c r="BI133"/>
  <c r="BH133"/>
  <c r="BG133"/>
  <c r="BF133"/>
  <c r="BE133"/>
  <c r="BD133"/>
  <c r="BC133"/>
  <c r="BB133"/>
  <c r="BA133"/>
  <c r="AZ133" s="1"/>
  <c r="AX133"/>
  <c r="AW133"/>
  <c r="AV133"/>
  <c r="AC133"/>
  <c r="H133"/>
  <c r="G133" s="1"/>
  <c r="BT132"/>
  <c r="BS132"/>
  <c r="BR132"/>
  <c r="BQ132"/>
  <c r="BP132"/>
  <c r="BO132"/>
  <c r="BN132"/>
  <c r="BM132"/>
  <c r="BL132"/>
  <c r="BK132"/>
  <c r="BJ132"/>
  <c r="BI132"/>
  <c r="BH132"/>
  <c r="BG132"/>
  <c r="BF132"/>
  <c r="BE132"/>
  <c r="BD132"/>
  <c r="BC132"/>
  <c r="BB132"/>
  <c r="BA132" s="1"/>
  <c r="AZ132" s="1"/>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G129"/>
  <c r="BT128"/>
  <c r="BS128"/>
  <c r="BR128"/>
  <c r="BQ128"/>
  <c r="BP128"/>
  <c r="BO128"/>
  <c r="BN128"/>
  <c r="BM128"/>
  <c r="BL128" s="1"/>
  <c r="BK128"/>
  <c r="BJ128"/>
  <c r="BI128"/>
  <c r="BH128"/>
  <c r="BG128"/>
  <c r="BF128"/>
  <c r="BE128"/>
  <c r="BD128"/>
  <c r="BC128"/>
  <c r="BB128"/>
  <c r="BA128"/>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BA125"/>
  <c r="AX125"/>
  <c r="AW125"/>
  <c r="AV125"/>
  <c r="AC125"/>
  <c r="H125"/>
  <c r="G125" s="1"/>
  <c r="BT124"/>
  <c r="BS124"/>
  <c r="BR124"/>
  <c r="BQ124"/>
  <c r="BP124"/>
  <c r="BO124"/>
  <c r="BN124"/>
  <c r="BM124"/>
  <c r="BL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s="1"/>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s="1"/>
  <c r="BK121"/>
  <c r="BJ121"/>
  <c r="BI121"/>
  <c r="BH121"/>
  <c r="BG121"/>
  <c r="BF121"/>
  <c r="BE121"/>
  <c r="BD121"/>
  <c r="BC121"/>
  <c r="BB121"/>
  <c r="BA121"/>
  <c r="AX121"/>
  <c r="AW121"/>
  <c r="AV121"/>
  <c r="AC121"/>
  <c r="H121"/>
  <c r="G121"/>
  <c r="BT120"/>
  <c r="BS120"/>
  <c r="BR120"/>
  <c r="BQ120"/>
  <c r="BP120"/>
  <c r="BO120"/>
  <c r="BN120"/>
  <c r="BM120"/>
  <c r="BL120" s="1"/>
  <c r="BK120"/>
  <c r="BJ120"/>
  <c r="BI120"/>
  <c r="BH120"/>
  <c r="BG120"/>
  <c r="BF120"/>
  <c r="BE120"/>
  <c r="BD120"/>
  <c r="BC120"/>
  <c r="BB120"/>
  <c r="BA120"/>
  <c r="AZ120" s="1"/>
  <c r="AX120"/>
  <c r="AW120"/>
  <c r="AV120"/>
  <c r="AC120"/>
  <c r="H120"/>
  <c r="BT119"/>
  <c r="BS119"/>
  <c r="BR119"/>
  <c r="BQ119"/>
  <c r="BP119"/>
  <c r="BO119"/>
  <c r="BN119"/>
  <c r="BM119"/>
  <c r="BK119"/>
  <c r="BJ119"/>
  <c r="BI119"/>
  <c r="BH119"/>
  <c r="BG119"/>
  <c r="BF119"/>
  <c r="BE119"/>
  <c r="BD119"/>
  <c r="BC119"/>
  <c r="BB119"/>
  <c r="BA119" s="1"/>
  <c r="AX119"/>
  <c r="AW119"/>
  <c r="AV119"/>
  <c r="AC119"/>
  <c r="H119"/>
  <c r="G119" s="1"/>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s="1"/>
  <c r="BK117"/>
  <c r="BJ117"/>
  <c r="BI117"/>
  <c r="BH117"/>
  <c r="BG117"/>
  <c r="BF117"/>
  <c r="BE117"/>
  <c r="BD117"/>
  <c r="BC117"/>
  <c r="BB117"/>
  <c r="BA117"/>
  <c r="AZ117" s="1"/>
  <c r="AX117"/>
  <c r="AW117"/>
  <c r="AV117"/>
  <c r="AC117"/>
  <c r="H117"/>
  <c r="G117" s="1"/>
  <c r="BT116"/>
  <c r="BS116"/>
  <c r="BR116"/>
  <c r="BQ116"/>
  <c r="BP116"/>
  <c r="BO116"/>
  <c r="BN116"/>
  <c r="BM116"/>
  <c r="BL116"/>
  <c r="BK116"/>
  <c r="BJ116"/>
  <c r="BI116"/>
  <c r="BH116"/>
  <c r="BG116"/>
  <c r="BF116"/>
  <c r="BE116"/>
  <c r="BD116"/>
  <c r="BC116"/>
  <c r="BB116"/>
  <c r="BA116" s="1"/>
  <c r="AZ116" s="1"/>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G113"/>
  <c r="BT296"/>
  <c r="BS296"/>
  <c r="BR296"/>
  <c r="BQ296"/>
  <c r="BP296"/>
  <c r="BO296"/>
  <c r="BN296"/>
  <c r="BM296"/>
  <c r="BL296" s="1"/>
  <c r="BK296"/>
  <c r="BJ296"/>
  <c r="BI296"/>
  <c r="BH296"/>
  <c r="BG296"/>
  <c r="BF296"/>
  <c r="BE296"/>
  <c r="BD296"/>
  <c r="BC296"/>
  <c r="BB296"/>
  <c r="BA296"/>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X292"/>
  <c r="AW292"/>
  <c r="AV292"/>
  <c r="AC292"/>
  <c r="H292"/>
  <c r="G292" s="1"/>
  <c r="BT291"/>
  <c r="BS291"/>
  <c r="BR291"/>
  <c r="BQ291"/>
  <c r="BP291"/>
  <c r="BO291"/>
  <c r="BN291"/>
  <c r="BM291"/>
  <c r="BL291"/>
  <c r="BK291"/>
  <c r="BJ291"/>
  <c r="BI291"/>
  <c r="BH291"/>
  <c r="BG291"/>
  <c r="BF291"/>
  <c r="BE291"/>
  <c r="BD291"/>
  <c r="BC291"/>
  <c r="BB291"/>
  <c r="BA291" s="1"/>
  <c r="AZ291" s="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c r="BT289"/>
  <c r="BS289"/>
  <c r="BR289"/>
  <c r="BQ289"/>
  <c r="BP289"/>
  <c r="BO289"/>
  <c r="BN289"/>
  <c r="BM289"/>
  <c r="BL289" s="1"/>
  <c r="BK289"/>
  <c r="BJ289"/>
  <c r="BI289"/>
  <c r="BH289"/>
  <c r="BG289"/>
  <c r="BF289"/>
  <c r="BE289"/>
  <c r="BD289"/>
  <c r="BC289"/>
  <c r="BB289"/>
  <c r="BA289"/>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s="1"/>
  <c r="BT287"/>
  <c r="BS287"/>
  <c r="BR287"/>
  <c r="BQ287"/>
  <c r="BP287"/>
  <c r="BO287"/>
  <c r="BN287"/>
  <c r="BM287"/>
  <c r="BL287"/>
  <c r="BK287"/>
  <c r="BJ287"/>
  <c r="BI287"/>
  <c r="BH287"/>
  <c r="BG287"/>
  <c r="BF287"/>
  <c r="BE287"/>
  <c r="BD287"/>
  <c r="BC287"/>
  <c r="BB287"/>
  <c r="BA287" s="1"/>
  <c r="AZ287" s="1"/>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c r="AX285"/>
  <c r="AW285"/>
  <c r="AV285"/>
  <c r="AC285"/>
  <c r="H285"/>
  <c r="G285" s="1"/>
  <c r="BT284"/>
  <c r="BS284"/>
  <c r="BR284"/>
  <c r="BQ284"/>
  <c r="BP284"/>
  <c r="BO284"/>
  <c r="BN284"/>
  <c r="BM284"/>
  <c r="BL284"/>
  <c r="BK284"/>
  <c r="BJ284"/>
  <c r="BI284"/>
  <c r="BH284"/>
  <c r="BG284"/>
  <c r="BF284"/>
  <c r="BE284"/>
  <c r="BD284"/>
  <c r="BC284"/>
  <c r="BB284"/>
  <c r="BA284" s="1"/>
  <c r="AX284"/>
  <c r="AW284"/>
  <c r="AV284"/>
  <c r="AC284"/>
  <c r="H284"/>
  <c r="G284" s="1"/>
  <c r="BT283"/>
  <c r="BS283"/>
  <c r="BR283"/>
  <c r="BQ283"/>
  <c r="BP283"/>
  <c r="BO283"/>
  <c r="BN283"/>
  <c r="BM283"/>
  <c r="BL283"/>
  <c r="BK283"/>
  <c r="BJ283"/>
  <c r="BI283"/>
  <c r="BH283"/>
  <c r="BG283"/>
  <c r="BF283"/>
  <c r="BE283"/>
  <c r="BD283"/>
  <c r="BC283"/>
  <c r="BB283"/>
  <c r="BA283" s="1"/>
  <c r="AZ283" s="1"/>
  <c r="AX283"/>
  <c r="AW283"/>
  <c r="AV283"/>
  <c r="AC283"/>
  <c r="H283"/>
  <c r="G283"/>
  <c r="BT282"/>
  <c r="BS282"/>
  <c r="BR282"/>
  <c r="BQ282"/>
  <c r="BP282"/>
  <c r="BO282"/>
  <c r="BN282"/>
  <c r="BM282"/>
  <c r="BL282" s="1"/>
  <c r="BK282"/>
  <c r="BJ282"/>
  <c r="BI282"/>
  <c r="BH282"/>
  <c r="BG282"/>
  <c r="BF282"/>
  <c r="BE282"/>
  <c r="BD282"/>
  <c r="BC282"/>
  <c r="BB282"/>
  <c r="BA282"/>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c r="BT280"/>
  <c r="BS280"/>
  <c r="BR280"/>
  <c r="BQ280"/>
  <c r="BP280"/>
  <c r="BO280"/>
  <c r="BN280"/>
  <c r="BM280"/>
  <c r="BL280" s="1"/>
  <c r="BK280"/>
  <c r="BJ280"/>
  <c r="BI280"/>
  <c r="BH280"/>
  <c r="BG280"/>
  <c r="BF280"/>
  <c r="BE280"/>
  <c r="BD280"/>
  <c r="BC280"/>
  <c r="BB280"/>
  <c r="BA280"/>
  <c r="AZ280" s="1"/>
  <c r="AX280"/>
  <c r="AW280"/>
  <c r="AV280"/>
  <c r="AC280"/>
  <c r="H280"/>
  <c r="G280" s="1"/>
  <c r="BT279"/>
  <c r="BS279"/>
  <c r="BR279"/>
  <c r="BQ279"/>
  <c r="BP279"/>
  <c r="BO279"/>
  <c r="BN279"/>
  <c r="BM279"/>
  <c r="BL279"/>
  <c r="BK279"/>
  <c r="BJ279"/>
  <c r="BI279"/>
  <c r="BH279"/>
  <c r="BG279"/>
  <c r="BF279"/>
  <c r="BE279"/>
  <c r="BD279"/>
  <c r="BC279"/>
  <c r="BB279"/>
  <c r="BA279" s="1"/>
  <c r="AZ279" s="1"/>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X276"/>
  <c r="AW276"/>
  <c r="AV276"/>
  <c r="AC276"/>
  <c r="H276"/>
  <c r="G276" s="1"/>
  <c r="BT275"/>
  <c r="BS275"/>
  <c r="BR275"/>
  <c r="BQ275"/>
  <c r="BP275"/>
  <c r="BO275"/>
  <c r="BN275"/>
  <c r="BM275"/>
  <c r="BL275"/>
  <c r="BK275"/>
  <c r="BJ275"/>
  <c r="BI275"/>
  <c r="BH275"/>
  <c r="BG275"/>
  <c r="BF275"/>
  <c r="BE275"/>
  <c r="BD275"/>
  <c r="BC275"/>
  <c r="BB275"/>
  <c r="BA275" s="1"/>
  <c r="AZ275" s="1"/>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c r="BT273"/>
  <c r="BS273"/>
  <c r="BR273"/>
  <c r="BQ273"/>
  <c r="BP273"/>
  <c r="BO273"/>
  <c r="BN273"/>
  <c r="BM273"/>
  <c r="BL273" s="1"/>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c r="AX272"/>
  <c r="AW272"/>
  <c r="AV272"/>
  <c r="AC272"/>
  <c r="H272"/>
  <c r="G272" s="1"/>
  <c r="BT271"/>
  <c r="BS271"/>
  <c r="BR271"/>
  <c r="BQ271"/>
  <c r="BP271"/>
  <c r="BO271"/>
  <c r="BN271"/>
  <c r="BM271"/>
  <c r="BL271"/>
  <c r="BK271"/>
  <c r="BJ271"/>
  <c r="BI271"/>
  <c r="BH271"/>
  <c r="BG271"/>
  <c r="BF271"/>
  <c r="BE271"/>
  <c r="BD271"/>
  <c r="BC271"/>
  <c r="BB271"/>
  <c r="BA271" s="1"/>
  <c r="AZ271" s="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c r="BT269"/>
  <c r="BS269"/>
  <c r="BR269"/>
  <c r="BQ269"/>
  <c r="BP269"/>
  <c r="BO269"/>
  <c r="BN269"/>
  <c r="BM269"/>
  <c r="BL269" s="1"/>
  <c r="BK269"/>
  <c r="BJ269"/>
  <c r="BI269"/>
  <c r="BH269"/>
  <c r="BG269"/>
  <c r="BF269"/>
  <c r="BE269"/>
  <c r="BD269"/>
  <c r="BC269"/>
  <c r="BB269"/>
  <c r="BA269"/>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Z266" s="1"/>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X260"/>
  <c r="AW260"/>
  <c r="AV260"/>
  <c r="AC260"/>
  <c r="H260"/>
  <c r="G260" s="1"/>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Z256" s="1"/>
  <c r="AX256"/>
  <c r="AW256"/>
  <c r="AV256"/>
  <c r="AC256"/>
  <c r="H256"/>
  <c r="G256"/>
  <c r="BT255"/>
  <c r="BS255"/>
  <c r="BR255"/>
  <c r="BQ255"/>
  <c r="BP255"/>
  <c r="BO255"/>
  <c r="BN255"/>
  <c r="BM255"/>
  <c r="BL255" s="1"/>
  <c r="BK255"/>
  <c r="BJ255"/>
  <c r="BI255"/>
  <c r="BH255"/>
  <c r="BG255"/>
  <c r="BF255"/>
  <c r="BE255"/>
  <c r="BD255"/>
  <c r="BC255"/>
  <c r="BB255"/>
  <c r="BA255"/>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X252"/>
  <c r="AW252"/>
  <c r="AV252"/>
  <c r="AC252"/>
  <c r="H252"/>
  <c r="G252" s="1"/>
  <c r="BT251"/>
  <c r="BS251"/>
  <c r="BR251"/>
  <c r="BQ251"/>
  <c r="BP251"/>
  <c r="BO251"/>
  <c r="BN251"/>
  <c r="BM251"/>
  <c r="BL251"/>
  <c r="BK251"/>
  <c r="BJ251"/>
  <c r="BI251"/>
  <c r="BH251"/>
  <c r="BG251"/>
  <c r="BF251"/>
  <c r="BE251"/>
  <c r="BD251"/>
  <c r="BC251"/>
  <c r="BB251"/>
  <c r="BA251" s="1"/>
  <c r="AZ251" s="1"/>
  <c r="AX251"/>
  <c r="AW251"/>
  <c r="AV251"/>
  <c r="AC251"/>
  <c r="H251"/>
  <c r="G251"/>
  <c r="BT250"/>
  <c r="BS250"/>
  <c r="BR250"/>
  <c r="BQ250"/>
  <c r="BP250"/>
  <c r="BO250"/>
  <c r="BN250"/>
  <c r="BM250"/>
  <c r="BL250" s="1"/>
  <c r="BK250"/>
  <c r="BJ250"/>
  <c r="BI250"/>
  <c r="BH250"/>
  <c r="BG250"/>
  <c r="BF250"/>
  <c r="BE250"/>
  <c r="BD250"/>
  <c r="BC250"/>
  <c r="BB250"/>
  <c r="BA250"/>
  <c r="AZ250" s="1"/>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Z248" s="1"/>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X244"/>
  <c r="AW244"/>
  <c r="AV244"/>
  <c r="AC244"/>
  <c r="H244"/>
  <c r="G244" s="1"/>
  <c r="BT243"/>
  <c r="BS243"/>
  <c r="BR243"/>
  <c r="BQ243"/>
  <c r="BP243"/>
  <c r="BO243"/>
  <c r="BN243"/>
  <c r="BM243"/>
  <c r="BL243"/>
  <c r="BK243"/>
  <c r="BJ243"/>
  <c r="BI243"/>
  <c r="BH243"/>
  <c r="BG243"/>
  <c r="BF243"/>
  <c r="BE243"/>
  <c r="BD243"/>
  <c r="BC243"/>
  <c r="BB243"/>
  <c r="BA243" s="1"/>
  <c r="AZ243" s="1"/>
  <c r="AX243"/>
  <c r="AW243"/>
  <c r="AV243"/>
  <c r="AC243"/>
  <c r="H243"/>
  <c r="G243"/>
  <c r="BT242"/>
  <c r="BS242"/>
  <c r="BR242"/>
  <c r="BQ242"/>
  <c r="BP242"/>
  <c r="BO242"/>
  <c r="BN242"/>
  <c r="BM242"/>
  <c r="BL242" s="1"/>
  <c r="BK242"/>
  <c r="BJ242"/>
  <c r="BI242"/>
  <c r="BH242"/>
  <c r="BG242"/>
  <c r="BF242"/>
  <c r="BE242"/>
  <c r="BD242"/>
  <c r="BC242"/>
  <c r="BB242"/>
  <c r="BA242"/>
  <c r="AZ242" s="1"/>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Z240"/>
  <c r="AX240"/>
  <c r="AW240"/>
  <c r="AV240"/>
  <c r="AC240"/>
  <c r="H240"/>
  <c r="G240" s="1"/>
  <c r="BT239"/>
  <c r="BS239"/>
  <c r="BR239"/>
  <c r="BQ239"/>
  <c r="BP239"/>
  <c r="BO239"/>
  <c r="BN239"/>
  <c r="BM239"/>
  <c r="BL239"/>
  <c r="BK239"/>
  <c r="BJ239"/>
  <c r="BI239"/>
  <c r="BH239"/>
  <c r="BG239"/>
  <c r="BF239"/>
  <c r="BE239"/>
  <c r="BD239"/>
  <c r="BC239"/>
  <c r="BB239"/>
  <c r="BA239" s="1"/>
  <c r="AX239"/>
  <c r="AW239"/>
  <c r="AV239"/>
  <c r="AC239"/>
  <c r="H239"/>
  <c r="G239" s="1"/>
  <c r="BT238"/>
  <c r="BS238"/>
  <c r="BR238"/>
  <c r="BQ238"/>
  <c r="BP238"/>
  <c r="BO238"/>
  <c r="BN238"/>
  <c r="BM238"/>
  <c r="BL238"/>
  <c r="BK238"/>
  <c r="BJ238"/>
  <c r="BI238"/>
  <c r="BH238"/>
  <c r="BG238"/>
  <c r="BF238"/>
  <c r="BE238"/>
  <c r="BD238"/>
  <c r="BC238"/>
  <c r="BB238"/>
  <c r="BA238" s="1"/>
  <c r="AZ238" s="1"/>
  <c r="AX238"/>
  <c r="AW238"/>
  <c r="AV238"/>
  <c r="AC238"/>
  <c r="H238"/>
  <c r="G238"/>
  <c r="BT237"/>
  <c r="BS237"/>
  <c r="BR237"/>
  <c r="BQ237"/>
  <c r="BP237"/>
  <c r="BO237"/>
  <c r="BN237"/>
  <c r="BM237"/>
  <c r="BL237" s="1"/>
  <c r="BK237"/>
  <c r="BJ237"/>
  <c r="BI237"/>
  <c r="BH237"/>
  <c r="BG237"/>
  <c r="BF237"/>
  <c r="BE237"/>
  <c r="BD237"/>
  <c r="BC237"/>
  <c r="BB237"/>
  <c r="BA237"/>
  <c r="AX237"/>
  <c r="AW237"/>
  <c r="AV237"/>
  <c r="AC237"/>
  <c r="H237"/>
  <c r="G237"/>
  <c r="BT236"/>
  <c r="BS236"/>
  <c r="BR236"/>
  <c r="BQ236"/>
  <c r="BP236"/>
  <c r="BO236"/>
  <c r="BN236"/>
  <c r="BM236"/>
  <c r="BL236" s="1"/>
  <c r="BK236"/>
  <c r="BJ236"/>
  <c r="BI236"/>
  <c r="BH236"/>
  <c r="BG236"/>
  <c r="BF236"/>
  <c r="BE236"/>
  <c r="BD236"/>
  <c r="BC236"/>
  <c r="BB236"/>
  <c r="BA236"/>
  <c r="AX236"/>
  <c r="AW236"/>
  <c r="AV236"/>
  <c r="AC236"/>
  <c r="H236"/>
  <c r="G236"/>
  <c r="BT235"/>
  <c r="BS235"/>
  <c r="BR235"/>
  <c r="BQ235"/>
  <c r="BP235"/>
  <c r="BO235"/>
  <c r="BN235"/>
  <c r="BM235"/>
  <c r="BL235" s="1"/>
  <c r="BK235"/>
  <c r="BJ235"/>
  <c r="BI235"/>
  <c r="BH235"/>
  <c r="BG235"/>
  <c r="BF235"/>
  <c r="BE235"/>
  <c r="BD235"/>
  <c r="BC235"/>
  <c r="BB235"/>
  <c r="BA235"/>
  <c r="AZ235" s="1"/>
  <c r="AX235"/>
  <c r="AW235"/>
  <c r="AV235"/>
  <c r="AC235"/>
  <c r="H235"/>
  <c r="G235" s="1"/>
  <c r="BT234"/>
  <c r="BS234"/>
  <c r="BR234"/>
  <c r="BQ234"/>
  <c r="BP234"/>
  <c r="BO234"/>
  <c r="BN234"/>
  <c r="BM234"/>
  <c r="BL234"/>
  <c r="BK234"/>
  <c r="BJ234"/>
  <c r="BI234"/>
  <c r="BH234"/>
  <c r="BG234"/>
  <c r="BF234"/>
  <c r="BE234"/>
  <c r="BD234"/>
  <c r="BC234"/>
  <c r="BB234"/>
  <c r="BA234" s="1"/>
  <c r="AZ234" s="1"/>
  <c r="AX234"/>
  <c r="AW234"/>
  <c r="AV234"/>
  <c r="AC234"/>
  <c r="H234"/>
  <c r="G234"/>
  <c r="BT233"/>
  <c r="BS233"/>
  <c r="BR233"/>
  <c r="BQ233"/>
  <c r="BP233"/>
  <c r="BO233"/>
  <c r="BN233"/>
  <c r="BM233"/>
  <c r="BL233" s="1"/>
  <c r="BK233"/>
  <c r="BJ233"/>
  <c r="BI233"/>
  <c r="BH233"/>
  <c r="BG233"/>
  <c r="BF233"/>
  <c r="BE233"/>
  <c r="BD233"/>
  <c r="BC233"/>
  <c r="BB233"/>
  <c r="BA233"/>
  <c r="AX233"/>
  <c r="AW233"/>
  <c r="AV233"/>
  <c r="AC233"/>
  <c r="H233"/>
  <c r="G233"/>
  <c r="BT232"/>
  <c r="BS232"/>
  <c r="BR232"/>
  <c r="BQ232"/>
  <c r="BP232"/>
  <c r="BO232"/>
  <c r="BN232"/>
  <c r="BM232"/>
  <c r="BL232" s="1"/>
  <c r="BK232"/>
  <c r="BJ232"/>
  <c r="BI232"/>
  <c r="BH232"/>
  <c r="BG232"/>
  <c r="BF232"/>
  <c r="BE232"/>
  <c r="BD232"/>
  <c r="BC232"/>
  <c r="BB232"/>
  <c r="BA232"/>
  <c r="AZ232" s="1"/>
  <c r="AX232"/>
  <c r="AW232"/>
  <c r="AV232"/>
  <c r="AC232"/>
  <c r="H232"/>
  <c r="G232" s="1"/>
  <c r="BT231"/>
  <c r="BS231"/>
  <c r="BR231"/>
  <c r="BQ231"/>
  <c r="BP231"/>
  <c r="BO231"/>
  <c r="BN231"/>
  <c r="BM231"/>
  <c r="BL231"/>
  <c r="BK231"/>
  <c r="BJ231"/>
  <c r="BI231"/>
  <c r="BH231"/>
  <c r="BG231"/>
  <c r="BF231"/>
  <c r="BE231"/>
  <c r="BD231"/>
  <c r="BC231"/>
  <c r="BB231"/>
  <c r="BA231" s="1"/>
  <c r="AX231"/>
  <c r="AW231"/>
  <c r="AV231"/>
  <c r="AC231"/>
  <c r="H231"/>
  <c r="G231" s="1"/>
  <c r="BT230"/>
  <c r="BS230"/>
  <c r="BR230"/>
  <c r="BQ230"/>
  <c r="BP230"/>
  <c r="BO230"/>
  <c r="BN230"/>
  <c r="BM230"/>
  <c r="BL230"/>
  <c r="BK230"/>
  <c r="BJ230"/>
  <c r="BI230"/>
  <c r="BH230"/>
  <c r="BG230"/>
  <c r="BF230"/>
  <c r="BE230"/>
  <c r="BD230"/>
  <c r="BC230"/>
  <c r="BB230"/>
  <c r="BA230" s="1"/>
  <c r="AZ230" s="1"/>
  <c r="AX230"/>
  <c r="AW230"/>
  <c r="AV230"/>
  <c r="AC230"/>
  <c r="H230"/>
  <c r="G230"/>
  <c r="BT229"/>
  <c r="BS229"/>
  <c r="BR229"/>
  <c r="BQ229"/>
  <c r="BP229"/>
  <c r="BO229"/>
  <c r="BN229"/>
  <c r="BM229"/>
  <c r="BL229" s="1"/>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c r="AX228"/>
  <c r="AW228"/>
  <c r="AV228"/>
  <c r="AC228"/>
  <c r="H228"/>
  <c r="G228"/>
  <c r="BT227"/>
  <c r="BS227"/>
  <c r="BR227"/>
  <c r="BQ227"/>
  <c r="BP227"/>
  <c r="BO227"/>
  <c r="BN227"/>
  <c r="BM227"/>
  <c r="BL227" s="1"/>
  <c r="BK227"/>
  <c r="BJ227"/>
  <c r="BI227"/>
  <c r="BH227"/>
  <c r="BG227"/>
  <c r="BF227"/>
  <c r="BE227"/>
  <c r="BD227"/>
  <c r="BC227"/>
  <c r="BB227"/>
  <c r="BA227"/>
  <c r="AX227"/>
  <c r="AW227"/>
  <c r="AV227"/>
  <c r="AC227"/>
  <c r="H227"/>
  <c r="G227" s="1"/>
  <c r="BT226"/>
  <c r="BS226"/>
  <c r="BR226"/>
  <c r="BQ226"/>
  <c r="BP226"/>
  <c r="BO226"/>
  <c r="BN226"/>
  <c r="BM226"/>
  <c r="BL226"/>
  <c r="BK226"/>
  <c r="BJ226"/>
  <c r="BI226"/>
  <c r="BH226"/>
  <c r="BG226"/>
  <c r="BF226"/>
  <c r="BE226"/>
  <c r="BD226"/>
  <c r="BC226"/>
  <c r="BB226"/>
  <c r="BA226" s="1"/>
  <c r="AZ226" s="1"/>
  <c r="AX226"/>
  <c r="AW226"/>
  <c r="AV226"/>
  <c r="AC226"/>
  <c r="H226"/>
  <c r="G226"/>
  <c r="BT225"/>
  <c r="BS225"/>
  <c r="BR225"/>
  <c r="BQ225"/>
  <c r="BP225"/>
  <c r="BO225"/>
  <c r="BN225"/>
  <c r="BM225"/>
  <c r="BL225" s="1"/>
  <c r="BK225"/>
  <c r="BJ225"/>
  <c r="BI225"/>
  <c r="BH225"/>
  <c r="BG225"/>
  <c r="BF225"/>
  <c r="BE225"/>
  <c r="BD225"/>
  <c r="BC225"/>
  <c r="BB225"/>
  <c r="BA225"/>
  <c r="AX225"/>
  <c r="AW225"/>
  <c r="AV225"/>
  <c r="AC225"/>
  <c r="H225"/>
  <c r="G225"/>
  <c r="BT224"/>
  <c r="BS224"/>
  <c r="BR224"/>
  <c r="BQ224"/>
  <c r="BP224"/>
  <c r="BO224"/>
  <c r="BN224"/>
  <c r="BM224"/>
  <c r="BL224" s="1"/>
  <c r="BK224"/>
  <c r="BJ224"/>
  <c r="BI224"/>
  <c r="BH224"/>
  <c r="BG224"/>
  <c r="BF224"/>
  <c r="BE224"/>
  <c r="BD224"/>
  <c r="BC224"/>
  <c r="BB224"/>
  <c r="BA224"/>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Z222" s="1"/>
  <c r="AX222"/>
  <c r="AW222"/>
  <c r="AV222"/>
  <c r="AC222"/>
  <c r="H222"/>
  <c r="G222"/>
  <c r="BT221"/>
  <c r="BS221"/>
  <c r="BR221"/>
  <c r="BQ221"/>
  <c r="BP221"/>
  <c r="BO221"/>
  <c r="BN221"/>
  <c r="BM221"/>
  <c r="BL221" s="1"/>
  <c r="BK221"/>
  <c r="BJ221"/>
  <c r="BI221"/>
  <c r="BH221"/>
  <c r="BG221"/>
  <c r="BF221"/>
  <c r="BE221"/>
  <c r="BD221"/>
  <c r="BC221"/>
  <c r="BB221"/>
  <c r="BA221"/>
  <c r="AX221"/>
  <c r="AW221"/>
  <c r="AV221"/>
  <c r="AC221"/>
  <c r="H221"/>
  <c r="G221"/>
  <c r="BT220"/>
  <c r="BS220"/>
  <c r="BR220"/>
  <c r="BQ220"/>
  <c r="BP220"/>
  <c r="BO220"/>
  <c r="BN220"/>
  <c r="BM220"/>
  <c r="BL220" s="1"/>
  <c r="BK220"/>
  <c r="BJ220"/>
  <c r="BI220"/>
  <c r="BH220"/>
  <c r="BG220"/>
  <c r="BF220"/>
  <c r="BE220"/>
  <c r="BD220"/>
  <c r="BC220"/>
  <c r="BB220"/>
  <c r="BA220"/>
  <c r="AX220"/>
  <c r="AW220"/>
  <c r="AV220"/>
  <c r="AC220"/>
  <c r="H220"/>
  <c r="G220"/>
  <c r="BT219"/>
  <c r="BS219"/>
  <c r="BR219"/>
  <c r="BQ219"/>
  <c r="BP219"/>
  <c r="BO219"/>
  <c r="BN219"/>
  <c r="BM219"/>
  <c r="BL219" s="1"/>
  <c r="BK219"/>
  <c r="BJ219"/>
  <c r="BI219"/>
  <c r="BH219"/>
  <c r="BG219"/>
  <c r="BF219"/>
  <c r="BE219"/>
  <c r="BD219"/>
  <c r="BC219"/>
  <c r="BB219"/>
  <c r="BA219"/>
  <c r="AZ219" s="1"/>
  <c r="AX219"/>
  <c r="AW219"/>
  <c r="AV219"/>
  <c r="AC219"/>
  <c r="H219"/>
  <c r="G219" s="1"/>
  <c r="BT218"/>
  <c r="BS218"/>
  <c r="BR218"/>
  <c r="BQ218"/>
  <c r="BP218"/>
  <c r="BO218"/>
  <c r="BN218"/>
  <c r="BM218"/>
  <c r="BL218"/>
  <c r="BK218"/>
  <c r="BJ218"/>
  <c r="BI218"/>
  <c r="BH218"/>
  <c r="BG218"/>
  <c r="BF218"/>
  <c r="BE218"/>
  <c r="BD218"/>
  <c r="BC218"/>
  <c r="BB218"/>
  <c r="BA218" s="1"/>
  <c r="AZ218" s="1"/>
  <c r="AX218"/>
  <c r="AW218"/>
  <c r="AV218"/>
  <c r="AC218"/>
  <c r="H218"/>
  <c r="G218"/>
  <c r="BT217"/>
  <c r="BS217"/>
  <c r="BR217"/>
  <c r="BQ217"/>
  <c r="BP217"/>
  <c r="BO217"/>
  <c r="BN217"/>
  <c r="BM217"/>
  <c r="BL217" s="1"/>
  <c r="BK217"/>
  <c r="BJ217"/>
  <c r="BI217"/>
  <c r="BH217"/>
  <c r="BG217"/>
  <c r="BF217"/>
  <c r="BE217"/>
  <c r="BD217"/>
  <c r="BC217"/>
  <c r="BB217"/>
  <c r="BA217"/>
  <c r="AX217"/>
  <c r="AW217"/>
  <c r="AV217"/>
  <c r="AC217"/>
  <c r="H217"/>
  <c r="G217"/>
  <c r="BT216"/>
  <c r="BS216"/>
  <c r="BR216"/>
  <c r="BQ216"/>
  <c r="BP216"/>
  <c r="BO216"/>
  <c r="BN216"/>
  <c r="BM216"/>
  <c r="BL216" s="1"/>
  <c r="BK216"/>
  <c r="BJ216"/>
  <c r="BI216"/>
  <c r="BH216"/>
  <c r="BG216"/>
  <c r="BF216"/>
  <c r="BE216"/>
  <c r="BD216"/>
  <c r="BC216"/>
  <c r="BB216"/>
  <c r="BA216"/>
  <c r="AZ216" s="1"/>
  <c r="AX216"/>
  <c r="AW216"/>
  <c r="AV216"/>
  <c r="AC216"/>
  <c r="H216"/>
  <c r="G216" s="1"/>
  <c r="BT215"/>
  <c r="BS215"/>
  <c r="BR215"/>
  <c r="BQ215"/>
  <c r="BP215"/>
  <c r="BO215"/>
  <c r="BN215"/>
  <c r="BM215"/>
  <c r="BL215"/>
  <c r="BK215"/>
  <c r="BJ215"/>
  <c r="BI215"/>
  <c r="BH215"/>
  <c r="BG215"/>
  <c r="BF215"/>
  <c r="BE215"/>
  <c r="BD215"/>
  <c r="BC215"/>
  <c r="BB215"/>
  <c r="BA215" s="1"/>
  <c r="AX215"/>
  <c r="AW215"/>
  <c r="AV215"/>
  <c r="AC215"/>
  <c r="H215"/>
  <c r="G215" s="1"/>
  <c r="BT214"/>
  <c r="BS214"/>
  <c r="BR214"/>
  <c r="BQ214"/>
  <c r="BP214"/>
  <c r="BO214"/>
  <c r="BN214"/>
  <c r="BM214"/>
  <c r="BL214"/>
  <c r="BK214"/>
  <c r="BJ214"/>
  <c r="BI214"/>
  <c r="BH214"/>
  <c r="BG214"/>
  <c r="BF214"/>
  <c r="BE214"/>
  <c r="BD214"/>
  <c r="BC214"/>
  <c r="BB214"/>
  <c r="BA214" s="1"/>
  <c r="AZ214" s="1"/>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c r="BT212"/>
  <c r="BS212"/>
  <c r="BR212"/>
  <c r="BQ212"/>
  <c r="BP212"/>
  <c r="BO212"/>
  <c r="BN212"/>
  <c r="BM212"/>
  <c r="BL212" s="1"/>
  <c r="BK212"/>
  <c r="BJ212"/>
  <c r="BI212"/>
  <c r="BH212"/>
  <c r="BG212"/>
  <c r="BF212"/>
  <c r="BE212"/>
  <c r="BD212"/>
  <c r="BC212"/>
  <c r="BB212"/>
  <c r="BA212"/>
  <c r="AX212"/>
  <c r="AW212"/>
  <c r="AV212"/>
  <c r="AC212"/>
  <c r="H212"/>
  <c r="G212"/>
  <c r="BT211"/>
  <c r="BS211"/>
  <c r="BR211"/>
  <c r="BQ211"/>
  <c r="BP211"/>
  <c r="BO211"/>
  <c r="BN211"/>
  <c r="BM211"/>
  <c r="BL211" s="1"/>
  <c r="BK211"/>
  <c r="BJ211"/>
  <c r="BI211"/>
  <c r="BH211"/>
  <c r="BG211"/>
  <c r="BF211"/>
  <c r="BE211"/>
  <c r="BD211"/>
  <c r="BC211"/>
  <c r="BB211"/>
  <c r="BA211"/>
  <c r="AX211"/>
  <c r="AW211"/>
  <c r="AV211"/>
  <c r="AC211"/>
  <c r="H211"/>
  <c r="G211" s="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c r="AX208"/>
  <c r="AW208"/>
  <c r="AV208"/>
  <c r="AC208"/>
  <c r="H208"/>
  <c r="G208" s="1"/>
  <c r="BT207"/>
  <c r="BS207"/>
  <c r="BR207"/>
  <c r="BQ207"/>
  <c r="BP207"/>
  <c r="BO207"/>
  <c r="BN207"/>
  <c r="BM207"/>
  <c r="BL207"/>
  <c r="BK207"/>
  <c r="BJ207"/>
  <c r="BI207"/>
  <c r="BH207"/>
  <c r="BG207"/>
  <c r="BF207"/>
  <c r="BE207"/>
  <c r="BD207"/>
  <c r="BC207"/>
  <c r="BB207"/>
  <c r="BA207" s="1"/>
  <c r="AX207"/>
  <c r="AW207"/>
  <c r="AV207"/>
  <c r="AC207"/>
  <c r="H207"/>
  <c r="G207" s="1"/>
  <c r="BT206"/>
  <c r="BS206"/>
  <c r="BR206"/>
  <c r="BQ206"/>
  <c r="BP206"/>
  <c r="BO206"/>
  <c r="BN206"/>
  <c r="BM206"/>
  <c r="BL206"/>
  <c r="BK206"/>
  <c r="BJ206"/>
  <c r="BI206"/>
  <c r="BH206"/>
  <c r="BG206"/>
  <c r="BF206"/>
  <c r="BE206"/>
  <c r="BD206"/>
  <c r="BC206"/>
  <c r="BB206"/>
  <c r="BA206" s="1"/>
  <c r="AZ206" s="1"/>
  <c r="AX206"/>
  <c r="AW206"/>
  <c r="AV206"/>
  <c r="AC206"/>
  <c r="H206"/>
  <c r="G206"/>
  <c r="BT205"/>
  <c r="BS205"/>
  <c r="BR205"/>
  <c r="BQ205"/>
  <c r="BP205"/>
  <c r="BO205"/>
  <c r="BN205"/>
  <c r="BM205"/>
  <c r="BL205" s="1"/>
  <c r="BK205"/>
  <c r="BJ205"/>
  <c r="BI205"/>
  <c r="BH205"/>
  <c r="BG205"/>
  <c r="BF205"/>
  <c r="BE205"/>
  <c r="BD205"/>
  <c r="BC205"/>
  <c r="BB205"/>
  <c r="BA205"/>
  <c r="AX205"/>
  <c r="AW205"/>
  <c r="AV205"/>
  <c r="AC205"/>
  <c r="H205"/>
  <c r="G205"/>
  <c r="BT388"/>
  <c r="BS388"/>
  <c r="BR388"/>
  <c r="BQ388"/>
  <c r="BP388"/>
  <c r="BO388"/>
  <c r="BN388"/>
  <c r="BM388"/>
  <c r="BL388" s="1"/>
  <c r="BK388"/>
  <c r="BJ388"/>
  <c r="BI388"/>
  <c r="BH388"/>
  <c r="BG388"/>
  <c r="BF388"/>
  <c r="BE388"/>
  <c r="BD388"/>
  <c r="BC388"/>
  <c r="BB388"/>
  <c r="BA388"/>
  <c r="AX388"/>
  <c r="AW388"/>
  <c r="AV388"/>
  <c r="AC388"/>
  <c r="H388"/>
  <c r="G388"/>
  <c r="BT387"/>
  <c r="BS387"/>
  <c r="BR387"/>
  <c r="BQ387"/>
  <c r="BP387"/>
  <c r="BO387"/>
  <c r="BN387"/>
  <c r="BM387"/>
  <c r="BL387" s="1"/>
  <c r="BK387"/>
  <c r="BJ387"/>
  <c r="BI387"/>
  <c r="BH387"/>
  <c r="BG387"/>
  <c r="BF387"/>
  <c r="BE387"/>
  <c r="BD387"/>
  <c r="BC387"/>
  <c r="BB387"/>
  <c r="BA387"/>
  <c r="AZ387" s="1"/>
  <c r="AX387"/>
  <c r="AW387"/>
  <c r="AV387"/>
  <c r="AC387"/>
  <c r="H387"/>
  <c r="G387" s="1"/>
  <c r="BT386"/>
  <c r="BS386"/>
  <c r="BR386"/>
  <c r="BQ386"/>
  <c r="BP386"/>
  <c r="BO386"/>
  <c r="BN386"/>
  <c r="BM386"/>
  <c r="BL386"/>
  <c r="BK386"/>
  <c r="BJ386"/>
  <c r="BI386"/>
  <c r="BH386"/>
  <c r="BG386"/>
  <c r="BF386"/>
  <c r="BE386"/>
  <c r="BD386"/>
  <c r="BC386"/>
  <c r="BB386"/>
  <c r="BA386" s="1"/>
  <c r="AZ386" s="1"/>
  <c r="AX386"/>
  <c r="AW386"/>
  <c r="AV386"/>
  <c r="AC386"/>
  <c r="H386"/>
  <c r="G386"/>
  <c r="BT385"/>
  <c r="BS385"/>
  <c r="BR385"/>
  <c r="BQ385"/>
  <c r="BP385"/>
  <c r="BO385"/>
  <c r="BN385"/>
  <c r="BM385"/>
  <c r="BL385" s="1"/>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s="1"/>
  <c r="AZ384" s="1"/>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s="1"/>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s="1"/>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s="1"/>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s="1"/>
  <c r="AX375"/>
  <c r="AW375"/>
  <c r="AV375"/>
  <c r="AC375"/>
  <c r="H375"/>
  <c r="G375" s="1"/>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s="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s="1"/>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s="1"/>
  <c r="AZ368" s="1"/>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s="1"/>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s="1"/>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s="1"/>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s="1"/>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s="1"/>
  <c r="BT351"/>
  <c r="BS351"/>
  <c r="BR351"/>
  <c r="BQ351"/>
  <c r="BP351"/>
  <c r="BO351"/>
  <c r="BN351"/>
  <c r="BM351"/>
  <c r="BL351"/>
  <c r="BK351"/>
  <c r="BJ351"/>
  <c r="BI351"/>
  <c r="BH351"/>
  <c r="BG351"/>
  <c r="BF351"/>
  <c r="BE351"/>
  <c r="BD351"/>
  <c r="BC351"/>
  <c r="BB351"/>
  <c r="BA351" s="1"/>
  <c r="AX351"/>
  <c r="AW351"/>
  <c r="AV351"/>
  <c r="AC351"/>
  <c r="H351"/>
  <c r="BT350"/>
  <c r="BS350"/>
  <c r="BR350"/>
  <c r="BQ350"/>
  <c r="BP350"/>
  <c r="BO350"/>
  <c r="BN350"/>
  <c r="BM350"/>
  <c r="BL350" s="1"/>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s="1"/>
  <c r="BT335"/>
  <c r="BS335"/>
  <c r="BR335"/>
  <c r="BQ335"/>
  <c r="BP335"/>
  <c r="BO335"/>
  <c r="BN335"/>
  <c r="BM335"/>
  <c r="BL335"/>
  <c r="BK335"/>
  <c r="BJ335"/>
  <c r="BI335"/>
  <c r="BH335"/>
  <c r="BG335"/>
  <c r="BF335"/>
  <c r="BE335"/>
  <c r="BD335"/>
  <c r="BC335"/>
  <c r="BB335"/>
  <c r="BA335" s="1"/>
  <c r="AX335"/>
  <c r="AW335"/>
  <c r="AV335"/>
  <c r="AC335"/>
  <c r="H335"/>
  <c r="BT334"/>
  <c r="BS334"/>
  <c r="BR334"/>
  <c r="BQ334"/>
  <c r="BP334"/>
  <c r="BO334"/>
  <c r="BN334"/>
  <c r="BM334"/>
  <c r="BL334" s="1"/>
  <c r="BK334"/>
  <c r="BJ334"/>
  <c r="BI334"/>
  <c r="BH334"/>
  <c r="BG334"/>
  <c r="BF334"/>
  <c r="BE334"/>
  <c r="BD334"/>
  <c r="BC334"/>
  <c r="BB334"/>
  <c r="BA334"/>
  <c r="AX334"/>
  <c r="AW334"/>
  <c r="AV334"/>
  <c r="AC334"/>
  <c r="H334"/>
  <c r="BT333"/>
  <c r="BS333"/>
  <c r="BR333"/>
  <c r="BQ333"/>
  <c r="BP333"/>
  <c r="BO333"/>
  <c r="BN333"/>
  <c r="BM333"/>
  <c r="BK333"/>
  <c r="BJ333"/>
  <c r="BI333"/>
  <c r="BH333"/>
  <c r="BG333"/>
  <c r="BF333"/>
  <c r="BE333"/>
  <c r="BD333"/>
  <c r="BC333"/>
  <c r="BB333"/>
  <c r="BA333" s="1"/>
  <c r="AX333"/>
  <c r="AW333"/>
  <c r="AV333"/>
  <c r="AC333"/>
  <c r="H333"/>
  <c r="G333" s="1"/>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L319"/>
  <c r="BK319"/>
  <c r="BJ319"/>
  <c r="BI319"/>
  <c r="BH319"/>
  <c r="BG319"/>
  <c r="BF319"/>
  <c r="BE319"/>
  <c r="BD319"/>
  <c r="BC319"/>
  <c r="BB319"/>
  <c r="BA319" s="1"/>
  <c r="AX319"/>
  <c r="AW319"/>
  <c r="AV319"/>
  <c r="AC319"/>
  <c r="H319"/>
  <c r="BT318"/>
  <c r="BS318"/>
  <c r="BR318"/>
  <c r="BQ318"/>
  <c r="BP318"/>
  <c r="BO318"/>
  <c r="BN318"/>
  <c r="BM318"/>
  <c r="BL318" s="1"/>
  <c r="BK318"/>
  <c r="BJ318"/>
  <c r="BI318"/>
  <c r="BH318"/>
  <c r="BG318"/>
  <c r="BF318"/>
  <c r="BE318"/>
  <c r="BD318"/>
  <c r="BC318"/>
  <c r="BB318"/>
  <c r="BA318"/>
  <c r="AZ318" s="1"/>
  <c r="AX318"/>
  <c r="AW318"/>
  <c r="AV318"/>
  <c r="AC318"/>
  <c r="H318"/>
  <c r="BT317"/>
  <c r="BS317"/>
  <c r="BR317"/>
  <c r="BQ317"/>
  <c r="BP317"/>
  <c r="BO317"/>
  <c r="BN317"/>
  <c r="BM317"/>
  <c r="BK317"/>
  <c r="BJ317"/>
  <c r="BI317"/>
  <c r="BH317"/>
  <c r="BG317"/>
  <c r="BF317"/>
  <c r="BE317"/>
  <c r="BD317"/>
  <c r="BC317"/>
  <c r="BB317"/>
  <c r="BA317" s="1"/>
  <c r="AX317"/>
  <c r="AW317"/>
  <c r="AV317"/>
  <c r="AC317"/>
  <c r="H317"/>
  <c r="G317" s="1"/>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s="1"/>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s="1"/>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s="1"/>
  <c r="AX309"/>
  <c r="AW309"/>
  <c r="AV309"/>
  <c r="AC309"/>
  <c r="H309"/>
  <c r="G309" s="1"/>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s="1"/>
  <c r="AZ480" s="1"/>
  <c r="AX480"/>
  <c r="AW480"/>
  <c r="AV480"/>
  <c r="AC480"/>
  <c r="H480"/>
  <c r="G480"/>
  <c r="BT479"/>
  <c r="BS479"/>
  <c r="BR479"/>
  <c r="BQ479"/>
  <c r="BP479"/>
  <c r="BO479"/>
  <c r="BN479"/>
  <c r="BM479"/>
  <c r="BL479" s="1"/>
  <c r="BK479"/>
  <c r="BJ479"/>
  <c r="BI479"/>
  <c r="BH479"/>
  <c r="BG479"/>
  <c r="BF479"/>
  <c r="BE479"/>
  <c r="BD479"/>
  <c r="BC479"/>
  <c r="BB479"/>
  <c r="BA479"/>
  <c r="AX479"/>
  <c r="AW479"/>
  <c r="AV479"/>
  <c r="AC479"/>
  <c r="H479"/>
  <c r="G479"/>
  <c r="BT478"/>
  <c r="BS478"/>
  <c r="BR478"/>
  <c r="BQ478"/>
  <c r="BP478"/>
  <c r="BO478"/>
  <c r="BN478"/>
  <c r="BM478"/>
  <c r="BL478" s="1"/>
  <c r="BK478"/>
  <c r="BJ478"/>
  <c r="BI478"/>
  <c r="BH478"/>
  <c r="BG478"/>
  <c r="BF478"/>
  <c r="BE478"/>
  <c r="BD478"/>
  <c r="BC478"/>
  <c r="BB478"/>
  <c r="BA478"/>
  <c r="AZ478" s="1"/>
  <c r="AX478"/>
  <c r="AW478"/>
  <c r="AV478"/>
  <c r="AC478"/>
  <c r="H478"/>
  <c r="G478" s="1"/>
  <c r="BT477"/>
  <c r="BS477"/>
  <c r="BR477"/>
  <c r="BQ477"/>
  <c r="BP477"/>
  <c r="BO477"/>
  <c r="BN477"/>
  <c r="BM477"/>
  <c r="BL477"/>
  <c r="BK477"/>
  <c r="BJ477"/>
  <c r="BI477"/>
  <c r="BH477"/>
  <c r="BG477"/>
  <c r="BF477"/>
  <c r="BE477"/>
  <c r="BD477"/>
  <c r="BC477"/>
  <c r="BB477"/>
  <c r="BA477" s="1"/>
  <c r="AX477"/>
  <c r="AW477"/>
  <c r="AV477"/>
  <c r="AC477"/>
  <c r="H477"/>
  <c r="G477" s="1"/>
  <c r="BT476"/>
  <c r="BS476"/>
  <c r="BR476"/>
  <c r="BQ476"/>
  <c r="BP476"/>
  <c r="BO476"/>
  <c r="BN476"/>
  <c r="BM476"/>
  <c r="BL476"/>
  <c r="BK476"/>
  <c r="BJ476"/>
  <c r="BI476"/>
  <c r="BH476"/>
  <c r="BG476"/>
  <c r="BF476"/>
  <c r="BE476"/>
  <c r="BD476"/>
  <c r="BC476"/>
  <c r="BB476"/>
  <c r="BA476" s="1"/>
  <c r="AZ476" s="1"/>
  <c r="AX476"/>
  <c r="AW476"/>
  <c r="AV476"/>
  <c r="AC476"/>
  <c r="H476"/>
  <c r="G476"/>
  <c r="BT475"/>
  <c r="BS475"/>
  <c r="BR475"/>
  <c r="BQ475"/>
  <c r="BP475"/>
  <c r="BO475"/>
  <c r="BN475"/>
  <c r="BM475"/>
  <c r="BL475" s="1"/>
  <c r="BK475"/>
  <c r="BJ475"/>
  <c r="BI475"/>
  <c r="BH475"/>
  <c r="BG475"/>
  <c r="BF475"/>
  <c r="BE475"/>
  <c r="BD475"/>
  <c r="BC475"/>
  <c r="BB475"/>
  <c r="BA475"/>
  <c r="AX475"/>
  <c r="AW475"/>
  <c r="AV475"/>
  <c r="AC475"/>
  <c r="H475"/>
  <c r="G475"/>
  <c r="BT474"/>
  <c r="BS474"/>
  <c r="BR474"/>
  <c r="BQ474"/>
  <c r="BP474"/>
  <c r="BO474"/>
  <c r="BN474"/>
  <c r="BM474"/>
  <c r="BL474" s="1"/>
  <c r="BK474"/>
  <c r="BJ474"/>
  <c r="BI474"/>
  <c r="BH474"/>
  <c r="BG474"/>
  <c r="BF474"/>
  <c r="BE474"/>
  <c r="BD474"/>
  <c r="BC474"/>
  <c r="BB474"/>
  <c r="BA474"/>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Z472" s="1"/>
  <c r="AX472"/>
  <c r="AW472"/>
  <c r="AV472"/>
  <c r="AC472"/>
  <c r="H472"/>
  <c r="G472"/>
  <c r="BT471"/>
  <c r="BS471"/>
  <c r="BR471"/>
  <c r="BQ471"/>
  <c r="BP471"/>
  <c r="BO471"/>
  <c r="BN471"/>
  <c r="BM471"/>
  <c r="BL471" s="1"/>
  <c r="BK471"/>
  <c r="BJ471"/>
  <c r="BI471"/>
  <c r="BH471"/>
  <c r="BG471"/>
  <c r="BF471"/>
  <c r="BE471"/>
  <c r="BD471"/>
  <c r="BC471"/>
  <c r="BB471"/>
  <c r="BA471"/>
  <c r="AX471"/>
  <c r="AW471"/>
  <c r="AV471"/>
  <c r="AC471"/>
  <c r="H471"/>
  <c r="G471"/>
  <c r="BT470"/>
  <c r="BS470"/>
  <c r="BR470"/>
  <c r="BQ470"/>
  <c r="BP470"/>
  <c r="BO470"/>
  <c r="BN470"/>
  <c r="BM470"/>
  <c r="BL470" s="1"/>
  <c r="BK470"/>
  <c r="BJ470"/>
  <c r="BI470"/>
  <c r="BH470"/>
  <c r="BG470"/>
  <c r="BF470"/>
  <c r="BE470"/>
  <c r="BD470"/>
  <c r="BC470"/>
  <c r="BB470"/>
  <c r="BA470"/>
  <c r="AX470"/>
  <c r="AW470"/>
  <c r="AV470"/>
  <c r="AC470"/>
  <c r="H470"/>
  <c r="G470" s="1"/>
  <c r="BT469"/>
  <c r="BS469"/>
  <c r="BR469"/>
  <c r="BQ469"/>
  <c r="BP469"/>
  <c r="BO469"/>
  <c r="BN469"/>
  <c r="BM469"/>
  <c r="BL469"/>
  <c r="BK469"/>
  <c r="BJ469"/>
  <c r="BI469"/>
  <c r="BH469"/>
  <c r="BG469"/>
  <c r="BF469"/>
  <c r="BE469"/>
  <c r="BD469"/>
  <c r="BC469"/>
  <c r="BB469"/>
  <c r="BA469" s="1"/>
  <c r="AX469"/>
  <c r="AW469"/>
  <c r="AV469"/>
  <c r="AC469"/>
  <c r="H469"/>
  <c r="G469" s="1"/>
  <c r="BT468"/>
  <c r="BS468"/>
  <c r="BR468"/>
  <c r="BQ468"/>
  <c r="BP468"/>
  <c r="BO468"/>
  <c r="BN468"/>
  <c r="BM468"/>
  <c r="BL468"/>
  <c r="BK468"/>
  <c r="BJ468"/>
  <c r="BI468"/>
  <c r="BH468"/>
  <c r="BG468"/>
  <c r="BF468"/>
  <c r="BE468"/>
  <c r="BD468"/>
  <c r="BC468"/>
  <c r="BB468"/>
  <c r="BA468" s="1"/>
  <c r="AZ468" s="1"/>
  <c r="AX468"/>
  <c r="AW468"/>
  <c r="AV468"/>
  <c r="AC468"/>
  <c r="H468"/>
  <c r="G468"/>
  <c r="BT467"/>
  <c r="BS467"/>
  <c r="BR467"/>
  <c r="BQ467"/>
  <c r="BP467"/>
  <c r="BO467"/>
  <c r="BN467"/>
  <c r="BM467"/>
  <c r="BL467" s="1"/>
  <c r="BK467"/>
  <c r="BJ467"/>
  <c r="BI467"/>
  <c r="BH467"/>
  <c r="BG467"/>
  <c r="BF467"/>
  <c r="BE467"/>
  <c r="BD467"/>
  <c r="BC467"/>
  <c r="BB467"/>
  <c r="BA467"/>
  <c r="AX467"/>
  <c r="AW467"/>
  <c r="AV467"/>
  <c r="AC467"/>
  <c r="H467"/>
  <c r="G467"/>
  <c r="BT466"/>
  <c r="BS466"/>
  <c r="BR466"/>
  <c r="BQ466"/>
  <c r="BP466"/>
  <c r="BO466"/>
  <c r="BN466"/>
  <c r="BM466"/>
  <c r="BL466" s="1"/>
  <c r="BK466"/>
  <c r="BJ466"/>
  <c r="BI466"/>
  <c r="BH466"/>
  <c r="BG466"/>
  <c r="BF466"/>
  <c r="BE466"/>
  <c r="BD466"/>
  <c r="BC466"/>
  <c r="BB466"/>
  <c r="BA466"/>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s="1"/>
  <c r="BT464"/>
  <c r="BS464"/>
  <c r="BR464"/>
  <c r="BQ464"/>
  <c r="BP464"/>
  <c r="BO464"/>
  <c r="BN464"/>
  <c r="BM464"/>
  <c r="BL464"/>
  <c r="BK464"/>
  <c r="BJ464"/>
  <c r="BI464"/>
  <c r="BH464"/>
  <c r="BG464"/>
  <c r="BF464"/>
  <c r="BE464"/>
  <c r="BD464"/>
  <c r="BC464"/>
  <c r="BB464"/>
  <c r="BA464" s="1"/>
  <c r="AZ464" s="1"/>
  <c r="AX464"/>
  <c r="AW464"/>
  <c r="AV464"/>
  <c r="AC464"/>
  <c r="H464"/>
  <c r="G464"/>
  <c r="BT463"/>
  <c r="BS463"/>
  <c r="BR463"/>
  <c r="BQ463"/>
  <c r="BP463"/>
  <c r="BO463"/>
  <c r="BN463"/>
  <c r="BM463"/>
  <c r="BL463" s="1"/>
  <c r="BK463"/>
  <c r="BJ463"/>
  <c r="BI463"/>
  <c r="BH463"/>
  <c r="BG463"/>
  <c r="BF463"/>
  <c r="BE463"/>
  <c r="BD463"/>
  <c r="BC463"/>
  <c r="BB463"/>
  <c r="BA463"/>
  <c r="AX463"/>
  <c r="AW463"/>
  <c r="AV463"/>
  <c r="AC463"/>
  <c r="H463"/>
  <c r="G463"/>
  <c r="BT462"/>
  <c r="BS462"/>
  <c r="BR462"/>
  <c r="BQ462"/>
  <c r="BP462"/>
  <c r="BO462"/>
  <c r="BN462"/>
  <c r="BM462"/>
  <c r="BL462" s="1"/>
  <c r="BK462"/>
  <c r="BJ462"/>
  <c r="BI462"/>
  <c r="BH462"/>
  <c r="BG462"/>
  <c r="BF462"/>
  <c r="BE462"/>
  <c r="BD462"/>
  <c r="BC462"/>
  <c r="BB462"/>
  <c r="BA462"/>
  <c r="AX462"/>
  <c r="AW462"/>
  <c r="AV462"/>
  <c r="AC462"/>
  <c r="H462"/>
  <c r="G462" s="1"/>
  <c r="BT461"/>
  <c r="BS461"/>
  <c r="BR461"/>
  <c r="BQ461"/>
  <c r="BP461"/>
  <c r="BO461"/>
  <c r="BN461"/>
  <c r="BM461"/>
  <c r="BL461"/>
  <c r="BK461"/>
  <c r="BJ461"/>
  <c r="BI461"/>
  <c r="BH461"/>
  <c r="BG461"/>
  <c r="BF461"/>
  <c r="BE461"/>
  <c r="BD461"/>
  <c r="BC461"/>
  <c r="BB461"/>
  <c r="BA461" s="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c r="AX459"/>
  <c r="AW459"/>
  <c r="AV459"/>
  <c r="AC459"/>
  <c r="H459"/>
  <c r="G459"/>
  <c r="BT458"/>
  <c r="BS458"/>
  <c r="BR458"/>
  <c r="BQ458"/>
  <c r="BP458"/>
  <c r="BO458"/>
  <c r="BN458"/>
  <c r="BM458"/>
  <c r="BL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X457"/>
  <c r="AW457"/>
  <c r="AV457"/>
  <c r="AC457"/>
  <c r="H457"/>
  <c r="G457" s="1"/>
  <c r="BT456"/>
  <c r="BS456"/>
  <c r="BR456"/>
  <c r="BQ456"/>
  <c r="BP456"/>
  <c r="BO456"/>
  <c r="BN456"/>
  <c r="BM456"/>
  <c r="BL456"/>
  <c r="BK456"/>
  <c r="BJ456"/>
  <c r="BI456"/>
  <c r="BH456"/>
  <c r="BG456"/>
  <c r="BF456"/>
  <c r="BE456"/>
  <c r="BD456"/>
  <c r="BC456"/>
  <c r="BB456"/>
  <c r="BA456" s="1"/>
  <c r="AX456"/>
  <c r="AW456"/>
  <c r="AV456"/>
  <c r="AC456"/>
  <c r="H456"/>
  <c r="G456" s="1"/>
  <c r="BT455"/>
  <c r="BS455"/>
  <c r="BR455"/>
  <c r="BQ455"/>
  <c r="BP455"/>
  <c r="BO455"/>
  <c r="BN455"/>
  <c r="BM455"/>
  <c r="BL455"/>
  <c r="BK455"/>
  <c r="BJ455"/>
  <c r="BI455"/>
  <c r="BH455"/>
  <c r="BG455"/>
  <c r="BF455"/>
  <c r="BE455"/>
  <c r="BD455"/>
  <c r="BC455"/>
  <c r="BB455"/>
  <c r="BA455" s="1"/>
  <c r="AX455"/>
  <c r="AW455"/>
  <c r="AV455"/>
  <c r="AC455"/>
  <c r="H455"/>
  <c r="G455" s="1"/>
  <c r="BT454"/>
  <c r="BS454"/>
  <c r="BR454"/>
  <c r="BQ454"/>
  <c r="BP454"/>
  <c r="BO454"/>
  <c r="BN454"/>
  <c r="BM454"/>
  <c r="BL454"/>
  <c r="BK454"/>
  <c r="BJ454"/>
  <c r="BI454"/>
  <c r="BH454"/>
  <c r="BG454"/>
  <c r="BF454"/>
  <c r="BE454"/>
  <c r="BD454"/>
  <c r="BC454"/>
  <c r="BB454"/>
  <c r="BA454" s="1"/>
  <c r="AX454"/>
  <c r="AW454"/>
  <c r="AV454"/>
  <c r="AC454"/>
  <c r="H454"/>
  <c r="G454" s="1"/>
  <c r="BT453"/>
  <c r="BS453"/>
  <c r="BR453"/>
  <c r="BQ453"/>
  <c r="BP453"/>
  <c r="BO453"/>
  <c r="BN453"/>
  <c r="BM453"/>
  <c r="BL453"/>
  <c r="BK453"/>
  <c r="BJ453"/>
  <c r="BI453"/>
  <c r="BH453"/>
  <c r="BG453"/>
  <c r="BF453"/>
  <c r="BE453"/>
  <c r="BD453"/>
  <c r="BC453"/>
  <c r="BB453"/>
  <c r="BA453" s="1"/>
  <c r="AZ453" s="1"/>
  <c r="AX453"/>
  <c r="AW453"/>
  <c r="AV453"/>
  <c r="AC453"/>
  <c r="H453"/>
  <c r="G453"/>
  <c r="BT452"/>
  <c r="BS452"/>
  <c r="BR452"/>
  <c r="BQ452"/>
  <c r="BP452"/>
  <c r="BO452"/>
  <c r="BN452"/>
  <c r="BM452"/>
  <c r="BL452" s="1"/>
  <c r="BK452"/>
  <c r="BJ452"/>
  <c r="BI452"/>
  <c r="BH452"/>
  <c r="BG452"/>
  <c r="BF452"/>
  <c r="BE452"/>
  <c r="BD452"/>
  <c r="BC452"/>
  <c r="BB452"/>
  <c r="BA452"/>
  <c r="AX452"/>
  <c r="AW452"/>
  <c r="AV452"/>
  <c r="AC452"/>
  <c r="H452"/>
  <c r="G452"/>
  <c r="BT451"/>
  <c r="BS451"/>
  <c r="BR451"/>
  <c r="BQ451"/>
  <c r="BP451"/>
  <c r="BO451"/>
  <c r="BN451"/>
  <c r="BM451"/>
  <c r="BL451" s="1"/>
  <c r="BK451"/>
  <c r="BJ451"/>
  <c r="BI451"/>
  <c r="BH451"/>
  <c r="BG451"/>
  <c r="BF451"/>
  <c r="BE451"/>
  <c r="BD451"/>
  <c r="BC451"/>
  <c r="BB451"/>
  <c r="BA451"/>
  <c r="AX451"/>
  <c r="AW451"/>
  <c r="AV451"/>
  <c r="AC451"/>
  <c r="H451"/>
  <c r="G451" s="1"/>
  <c r="BT450"/>
  <c r="BS450"/>
  <c r="BR450"/>
  <c r="BQ450"/>
  <c r="BP450"/>
  <c r="BO450"/>
  <c r="BN450"/>
  <c r="BM450"/>
  <c r="BL450"/>
  <c r="BK450"/>
  <c r="BJ450"/>
  <c r="BI450"/>
  <c r="BH450"/>
  <c r="BG450"/>
  <c r="BF450"/>
  <c r="BE450"/>
  <c r="BD450"/>
  <c r="BC450"/>
  <c r="BB450"/>
  <c r="BA450" s="1"/>
  <c r="AX450"/>
  <c r="AW450"/>
  <c r="AV450"/>
  <c r="AC450"/>
  <c r="H450"/>
  <c r="G450" s="1"/>
  <c r="BT449"/>
  <c r="BS449"/>
  <c r="BR449"/>
  <c r="BQ449"/>
  <c r="BP449"/>
  <c r="BO449"/>
  <c r="BN449"/>
  <c r="BM449"/>
  <c r="BL449"/>
  <c r="BK449"/>
  <c r="BJ449"/>
  <c r="BI449"/>
  <c r="BH449"/>
  <c r="BG449"/>
  <c r="BF449"/>
  <c r="BE449"/>
  <c r="BD449"/>
  <c r="BC449"/>
  <c r="BB449"/>
  <c r="BA449" s="1"/>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c r="BT447"/>
  <c r="BS447"/>
  <c r="BR447"/>
  <c r="BQ447"/>
  <c r="BP447"/>
  <c r="BO447"/>
  <c r="BN447"/>
  <c r="BM447"/>
  <c r="BL447" s="1"/>
  <c r="BK447"/>
  <c r="BJ447"/>
  <c r="BI447"/>
  <c r="BH447"/>
  <c r="BG447"/>
  <c r="BF447"/>
  <c r="BE447"/>
  <c r="BD447"/>
  <c r="BC447"/>
  <c r="BB447"/>
  <c r="BA447"/>
  <c r="AX447"/>
  <c r="AW447"/>
  <c r="AV447"/>
  <c r="AC447"/>
  <c r="H447"/>
  <c r="G447" s="1"/>
  <c r="BT446"/>
  <c r="BS446"/>
  <c r="BR446"/>
  <c r="BQ446"/>
  <c r="BP446"/>
  <c r="BO446"/>
  <c r="BN446"/>
  <c r="BM446"/>
  <c r="BL446"/>
  <c r="BK446"/>
  <c r="BJ446"/>
  <c r="BI446"/>
  <c r="BH446"/>
  <c r="BG446"/>
  <c r="BF446"/>
  <c r="BE446"/>
  <c r="BD446"/>
  <c r="BC446"/>
  <c r="BB446"/>
  <c r="BA446" s="1"/>
  <c r="AX446"/>
  <c r="AW446"/>
  <c r="AV446"/>
  <c r="AC446"/>
  <c r="H446"/>
  <c r="G446" s="1"/>
  <c r="BT445"/>
  <c r="BS445"/>
  <c r="BR445"/>
  <c r="BQ445"/>
  <c r="BP445"/>
  <c r="BO445"/>
  <c r="BN445"/>
  <c r="BM445"/>
  <c r="BL445"/>
  <c r="BK445"/>
  <c r="BJ445"/>
  <c r="BI445"/>
  <c r="BH445"/>
  <c r="BG445"/>
  <c r="BF445"/>
  <c r="BE445"/>
  <c r="BD445"/>
  <c r="BC445"/>
  <c r="BB445"/>
  <c r="BA445" s="1"/>
  <c r="AZ445" s="1"/>
  <c r="AX445"/>
  <c r="AW445"/>
  <c r="AV445"/>
  <c r="AC445"/>
  <c r="H445"/>
  <c r="G445"/>
  <c r="BT444"/>
  <c r="BS444"/>
  <c r="BR444"/>
  <c r="BQ444"/>
  <c r="BP444"/>
  <c r="BO444"/>
  <c r="BN444"/>
  <c r="BM444"/>
  <c r="BL444" s="1"/>
  <c r="BK444"/>
  <c r="BJ444"/>
  <c r="BI444"/>
  <c r="BH444"/>
  <c r="BG444"/>
  <c r="BF444"/>
  <c r="BE444"/>
  <c r="BD444"/>
  <c r="BC444"/>
  <c r="BB444"/>
  <c r="BA444"/>
  <c r="AX444"/>
  <c r="AW444"/>
  <c r="AV444"/>
  <c r="AC444"/>
  <c r="H444"/>
  <c r="G444"/>
  <c r="BT443"/>
  <c r="BS443"/>
  <c r="BR443"/>
  <c r="BQ443"/>
  <c r="BP443"/>
  <c r="BO443"/>
  <c r="BN443"/>
  <c r="BM443"/>
  <c r="BL443" s="1"/>
  <c r="BK443"/>
  <c r="BJ443"/>
  <c r="BI443"/>
  <c r="BH443"/>
  <c r="BG443"/>
  <c r="BF443"/>
  <c r="BE443"/>
  <c r="BD443"/>
  <c r="BC443"/>
  <c r="BB443"/>
  <c r="BA443"/>
  <c r="AZ443" s="1"/>
  <c r="AX443"/>
  <c r="AW443"/>
  <c r="AV443"/>
  <c r="AC443"/>
  <c r="H443"/>
  <c r="G443" s="1"/>
  <c r="BT442"/>
  <c r="BS442"/>
  <c r="BR442"/>
  <c r="BQ442"/>
  <c r="BP442"/>
  <c r="BO442"/>
  <c r="BN442"/>
  <c r="BM442"/>
  <c r="BL442"/>
  <c r="BK442"/>
  <c r="BJ442"/>
  <c r="BI442"/>
  <c r="BH442"/>
  <c r="BG442"/>
  <c r="BF442"/>
  <c r="BE442"/>
  <c r="BD442"/>
  <c r="BC442"/>
  <c r="BB442"/>
  <c r="BA442" s="1"/>
  <c r="AX442"/>
  <c r="AW442"/>
  <c r="AV442"/>
  <c r="AC442"/>
  <c r="H442"/>
  <c r="G442" s="1"/>
  <c r="BT441"/>
  <c r="BS441"/>
  <c r="BR441"/>
  <c r="BQ441"/>
  <c r="BP441"/>
  <c r="BO441"/>
  <c r="BN441"/>
  <c r="BM441"/>
  <c r="BL441"/>
  <c r="BK441"/>
  <c r="BJ441"/>
  <c r="BI441"/>
  <c r="BH441"/>
  <c r="BG441"/>
  <c r="BF441"/>
  <c r="BE441"/>
  <c r="BD441"/>
  <c r="BC441"/>
  <c r="BB441"/>
  <c r="BA441" s="1"/>
  <c r="AX441"/>
  <c r="AW441"/>
  <c r="AV441"/>
  <c r="AC441"/>
  <c r="H441"/>
  <c r="G441" s="1"/>
  <c r="BT440"/>
  <c r="BS440"/>
  <c r="BR440"/>
  <c r="BQ440"/>
  <c r="BP440"/>
  <c r="BO440"/>
  <c r="BN440"/>
  <c r="BM440"/>
  <c r="BL440"/>
  <c r="BK440"/>
  <c r="BJ440"/>
  <c r="BI440"/>
  <c r="BH440"/>
  <c r="BG440"/>
  <c r="BF440"/>
  <c r="BE440"/>
  <c r="BD440"/>
  <c r="BC440"/>
  <c r="BB440"/>
  <c r="BA440" s="1"/>
  <c r="AZ440" s="1"/>
  <c r="AX440"/>
  <c r="AW440"/>
  <c r="AV440"/>
  <c r="AC440"/>
  <c r="H440"/>
  <c r="G440"/>
  <c r="BT439"/>
  <c r="BS439"/>
  <c r="BR439"/>
  <c r="BQ439"/>
  <c r="BP439"/>
  <c r="BO439"/>
  <c r="BN439"/>
  <c r="BM439"/>
  <c r="BL439" s="1"/>
  <c r="BK439"/>
  <c r="BJ439"/>
  <c r="BI439"/>
  <c r="BH439"/>
  <c r="BG439"/>
  <c r="BF439"/>
  <c r="BE439"/>
  <c r="BD439"/>
  <c r="BC439"/>
  <c r="BB439"/>
  <c r="BA439"/>
  <c r="AX439"/>
  <c r="AW439"/>
  <c r="AV439"/>
  <c r="AC439"/>
  <c r="H439"/>
  <c r="G439"/>
  <c r="BT438"/>
  <c r="BS438"/>
  <c r="BR438"/>
  <c r="BQ438"/>
  <c r="BP438"/>
  <c r="BO438"/>
  <c r="BN438"/>
  <c r="BM438"/>
  <c r="BL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s="1"/>
  <c r="BT436"/>
  <c r="BS436"/>
  <c r="BR436"/>
  <c r="BQ436"/>
  <c r="BP436"/>
  <c r="BO436"/>
  <c r="BN436"/>
  <c r="BM436"/>
  <c r="BL436"/>
  <c r="BK436"/>
  <c r="BJ436"/>
  <c r="BI436"/>
  <c r="BH436"/>
  <c r="BG436"/>
  <c r="BF436"/>
  <c r="BE436"/>
  <c r="BD436"/>
  <c r="BC436"/>
  <c r="BB436"/>
  <c r="BA436" s="1"/>
  <c r="AX436"/>
  <c r="AW436"/>
  <c r="AV436"/>
  <c r="AC436"/>
  <c r="H436"/>
  <c r="G436" s="1"/>
  <c r="BT435"/>
  <c r="BS435"/>
  <c r="BR435"/>
  <c r="BQ435"/>
  <c r="BP435"/>
  <c r="BO435"/>
  <c r="BN435"/>
  <c r="BM435"/>
  <c r="BL435"/>
  <c r="BK435"/>
  <c r="BJ435"/>
  <c r="BI435"/>
  <c r="BH435"/>
  <c r="BG435"/>
  <c r="BF435"/>
  <c r="BE435"/>
  <c r="BD435"/>
  <c r="BC435"/>
  <c r="BB435"/>
  <c r="BA435" s="1"/>
  <c r="AZ435" s="1"/>
  <c r="AX435"/>
  <c r="AW435"/>
  <c r="AV435"/>
  <c r="AC435"/>
  <c r="H435"/>
  <c r="G435"/>
  <c r="BT434"/>
  <c r="BS434"/>
  <c r="BR434"/>
  <c r="BQ434"/>
  <c r="BP434"/>
  <c r="BO434"/>
  <c r="BN434"/>
  <c r="BM434"/>
  <c r="BL434" s="1"/>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c r="BT432"/>
  <c r="BS432"/>
  <c r="BR432"/>
  <c r="BQ432"/>
  <c r="BP432"/>
  <c r="BO432"/>
  <c r="BN432"/>
  <c r="BM432"/>
  <c r="BL432" s="1"/>
  <c r="BK432"/>
  <c r="BJ432"/>
  <c r="BI432"/>
  <c r="BH432"/>
  <c r="BG432"/>
  <c r="BF432"/>
  <c r="BE432"/>
  <c r="BD432"/>
  <c r="BC432"/>
  <c r="BB432"/>
  <c r="BA432"/>
  <c r="AZ432" s="1"/>
  <c r="AX432"/>
  <c r="AW432"/>
  <c r="AV432"/>
  <c r="AC432"/>
  <c r="H432"/>
  <c r="G432" s="1"/>
  <c r="BT431"/>
  <c r="BS431"/>
  <c r="BR431"/>
  <c r="BQ431"/>
  <c r="BP431"/>
  <c r="BO431"/>
  <c r="BN431"/>
  <c r="BM431"/>
  <c r="BL431"/>
  <c r="BK431"/>
  <c r="BJ431"/>
  <c r="BI431"/>
  <c r="BH431"/>
  <c r="BG431"/>
  <c r="BF431"/>
  <c r="BE431"/>
  <c r="BD431"/>
  <c r="BC431"/>
  <c r="BB431"/>
  <c r="BA431" s="1"/>
  <c r="AX431"/>
  <c r="AW431"/>
  <c r="AV431"/>
  <c r="AC431"/>
  <c r="H431"/>
  <c r="G431" s="1"/>
  <c r="BT430"/>
  <c r="BS430"/>
  <c r="BR430"/>
  <c r="BQ430"/>
  <c r="BP430"/>
  <c r="BO430"/>
  <c r="BN430"/>
  <c r="BM430"/>
  <c r="BL430"/>
  <c r="BK430"/>
  <c r="BJ430"/>
  <c r="BI430"/>
  <c r="BH430"/>
  <c r="BG430"/>
  <c r="BF430"/>
  <c r="BE430"/>
  <c r="BD430"/>
  <c r="BC430"/>
  <c r="BB430"/>
  <c r="BA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c r="BT427"/>
  <c r="BS427"/>
  <c r="BR427"/>
  <c r="BQ427"/>
  <c r="BP427"/>
  <c r="BO427"/>
  <c r="BN427"/>
  <c r="BM427"/>
  <c r="BL427" s="1"/>
  <c r="BK427"/>
  <c r="BJ427"/>
  <c r="BI427"/>
  <c r="BH427"/>
  <c r="BG427"/>
  <c r="BF427"/>
  <c r="BE427"/>
  <c r="BD427"/>
  <c r="BC427"/>
  <c r="BB427"/>
  <c r="BA427"/>
  <c r="AZ427" s="1"/>
  <c r="AX427"/>
  <c r="AW427"/>
  <c r="AV427"/>
  <c r="AC427"/>
  <c r="H427"/>
  <c r="G427" s="1"/>
  <c r="BT426"/>
  <c r="BS426"/>
  <c r="BR426"/>
  <c r="BQ426"/>
  <c r="BP426"/>
  <c r="BO426"/>
  <c r="BN426"/>
  <c r="BM426"/>
  <c r="BL426"/>
  <c r="BK426"/>
  <c r="BJ426"/>
  <c r="BI426"/>
  <c r="BH426"/>
  <c r="BG426"/>
  <c r="BF426"/>
  <c r="BE426"/>
  <c r="BD426"/>
  <c r="BC426"/>
  <c r="BB426"/>
  <c r="BA426" s="1"/>
  <c r="AX426"/>
  <c r="AW426"/>
  <c r="AV426"/>
  <c r="AC426"/>
  <c r="H426"/>
  <c r="G426" s="1"/>
  <c r="BT425"/>
  <c r="BS425"/>
  <c r="BR425"/>
  <c r="BQ425"/>
  <c r="BP425"/>
  <c r="BO425"/>
  <c r="BN425"/>
  <c r="BM425"/>
  <c r="BL425"/>
  <c r="BK425"/>
  <c r="BJ425"/>
  <c r="BI425"/>
  <c r="BH425"/>
  <c r="BG425"/>
  <c r="BF425"/>
  <c r="BE425"/>
  <c r="BD425"/>
  <c r="BC425"/>
  <c r="BB425"/>
  <c r="BA425" s="1"/>
  <c r="AZ425" s="1"/>
  <c r="AX425"/>
  <c r="AW425"/>
  <c r="AV425"/>
  <c r="AC425"/>
  <c r="H425"/>
  <c r="G425"/>
  <c r="BT424"/>
  <c r="BS424"/>
  <c r="BR424"/>
  <c r="BQ424"/>
  <c r="BP424"/>
  <c r="BO424"/>
  <c r="BN424"/>
  <c r="BM424"/>
  <c r="BL424" s="1"/>
  <c r="BK424"/>
  <c r="BJ424"/>
  <c r="BI424"/>
  <c r="BH424"/>
  <c r="BG424"/>
  <c r="BF424"/>
  <c r="BE424"/>
  <c r="BD424"/>
  <c r="BC424"/>
  <c r="BB424"/>
  <c r="BA424"/>
  <c r="AX424"/>
  <c r="AW424"/>
  <c r="AV424"/>
  <c r="AC424"/>
  <c r="H424"/>
  <c r="G424" s="1"/>
  <c r="BT423"/>
  <c r="BS423"/>
  <c r="BR423"/>
  <c r="BQ423"/>
  <c r="BP423"/>
  <c r="BO423"/>
  <c r="BN423"/>
  <c r="BM423"/>
  <c r="BL423"/>
  <c r="BK423"/>
  <c r="BJ423"/>
  <c r="BI423"/>
  <c r="BH423"/>
  <c r="BG423"/>
  <c r="BF423"/>
  <c r="BE423"/>
  <c r="BD423"/>
  <c r="BC423"/>
  <c r="BB423"/>
  <c r="BA423" s="1"/>
  <c r="AX423"/>
  <c r="AW423"/>
  <c r="AV423"/>
  <c r="AC423"/>
  <c r="H423"/>
  <c r="G423" s="1"/>
  <c r="BT422"/>
  <c r="BS422"/>
  <c r="BR422"/>
  <c r="BQ422"/>
  <c r="BP422"/>
  <c r="BO422"/>
  <c r="BN422"/>
  <c r="BM422"/>
  <c r="BL422"/>
  <c r="BK422"/>
  <c r="BJ422"/>
  <c r="BI422"/>
  <c r="BH422"/>
  <c r="BG422"/>
  <c r="BF422"/>
  <c r="BE422"/>
  <c r="BD422"/>
  <c r="BC422"/>
  <c r="BB422"/>
  <c r="BA422" s="1"/>
  <c r="AX422"/>
  <c r="AW422"/>
  <c r="AV422"/>
  <c r="AC422"/>
  <c r="H422"/>
  <c r="G422" s="1"/>
  <c r="BT421"/>
  <c r="BS421"/>
  <c r="BR421"/>
  <c r="BQ421"/>
  <c r="BP421"/>
  <c r="BO421"/>
  <c r="BN421"/>
  <c r="BM421"/>
  <c r="BL421"/>
  <c r="BK421"/>
  <c r="BJ421"/>
  <c r="BI421"/>
  <c r="BH421"/>
  <c r="BG421"/>
  <c r="BF421"/>
  <c r="BE421"/>
  <c r="BD421"/>
  <c r="BC421"/>
  <c r="BB421"/>
  <c r="BA421" s="1"/>
  <c r="AZ421" s="1"/>
  <c r="AX421"/>
  <c r="AW421"/>
  <c r="AV421"/>
  <c r="AC421"/>
  <c r="H421"/>
  <c r="G421"/>
  <c r="BT420"/>
  <c r="BS420"/>
  <c r="BR420"/>
  <c r="BQ420"/>
  <c r="BP420"/>
  <c r="BO420"/>
  <c r="BN420"/>
  <c r="BM420"/>
  <c r="BL420" s="1"/>
  <c r="BK420"/>
  <c r="BJ420"/>
  <c r="BI420"/>
  <c r="BH420"/>
  <c r="BG420"/>
  <c r="BF420"/>
  <c r="BE420"/>
  <c r="BD420"/>
  <c r="BC420"/>
  <c r="BB420"/>
  <c r="BA420"/>
  <c r="AX420"/>
  <c r="AW420"/>
  <c r="AV420"/>
  <c r="AC420"/>
  <c r="H420"/>
  <c r="G420" s="1"/>
  <c r="BT419"/>
  <c r="BS419"/>
  <c r="BR419"/>
  <c r="BQ419"/>
  <c r="BP419"/>
  <c r="BO419"/>
  <c r="BN419"/>
  <c r="BM419"/>
  <c r="BL419"/>
  <c r="BK419"/>
  <c r="BJ419"/>
  <c r="BI419"/>
  <c r="BH419"/>
  <c r="BG419"/>
  <c r="BF419"/>
  <c r="BE419"/>
  <c r="BD419"/>
  <c r="BC419"/>
  <c r="BB419"/>
  <c r="BA419" s="1"/>
  <c r="AZ419" s="1"/>
  <c r="AX419"/>
  <c r="AW419"/>
  <c r="AV419"/>
  <c r="AC419"/>
  <c r="H419"/>
  <c r="G419"/>
  <c r="BT418"/>
  <c r="BS418"/>
  <c r="BR418"/>
  <c r="BQ418"/>
  <c r="BP418"/>
  <c r="BO418"/>
  <c r="BN418"/>
  <c r="BM418"/>
  <c r="BL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Z417" s="1"/>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X415"/>
  <c r="AW415"/>
  <c r="AV415"/>
  <c r="AC415"/>
  <c r="H415"/>
  <c r="G415"/>
  <c r="BT414"/>
  <c r="BS414"/>
  <c r="BR414"/>
  <c r="BQ414"/>
  <c r="BP414"/>
  <c r="BO414"/>
  <c r="BN414"/>
  <c r="BM414"/>
  <c r="BL414" s="1"/>
  <c r="BK414"/>
  <c r="BJ414"/>
  <c r="BI414"/>
  <c r="BH414"/>
  <c r="BG414"/>
  <c r="BF414"/>
  <c r="BE414"/>
  <c r="BD414"/>
  <c r="BC414"/>
  <c r="BB414"/>
  <c r="BA414"/>
  <c r="AX414"/>
  <c r="AW414"/>
  <c r="AV414"/>
  <c r="AC414"/>
  <c r="H414"/>
  <c r="G414"/>
  <c r="BT413"/>
  <c r="BS413"/>
  <c r="BR413"/>
  <c r="BQ413"/>
  <c r="BP413"/>
  <c r="BO413"/>
  <c r="BN413"/>
  <c r="BM413"/>
  <c r="BL413" s="1"/>
  <c r="BK413"/>
  <c r="BJ413"/>
  <c r="BI413"/>
  <c r="BH413"/>
  <c r="BG413"/>
  <c r="BF413"/>
  <c r="BE413"/>
  <c r="BD413"/>
  <c r="BC413"/>
  <c r="BB413"/>
  <c r="BA413"/>
  <c r="AX413"/>
  <c r="AW413"/>
  <c r="AV413"/>
  <c r="AC413"/>
  <c r="H413"/>
  <c r="G413" s="1"/>
  <c r="BT412"/>
  <c r="BS412"/>
  <c r="BR412"/>
  <c r="BQ412"/>
  <c r="BP412"/>
  <c r="BO412"/>
  <c r="BN412"/>
  <c r="BM412"/>
  <c r="BL412"/>
  <c r="BK412"/>
  <c r="BJ412"/>
  <c r="BI412"/>
  <c r="BH412"/>
  <c r="BG412"/>
  <c r="BF412"/>
  <c r="BE412"/>
  <c r="BD412"/>
  <c r="BC412"/>
  <c r="BB412"/>
  <c r="BA412" s="1"/>
  <c r="AZ412" s="1"/>
  <c r="AX412"/>
  <c r="AW412"/>
  <c r="AV412"/>
  <c r="AC412"/>
  <c r="H412"/>
  <c r="G412"/>
  <c r="BT411"/>
  <c r="BS411"/>
  <c r="BR411"/>
  <c r="BQ411"/>
  <c r="BP411"/>
  <c r="BO411"/>
  <c r="BN411"/>
  <c r="BM411"/>
  <c r="BL411" s="1"/>
  <c r="BK411"/>
  <c r="BJ411"/>
  <c r="BI411"/>
  <c r="BH411"/>
  <c r="BG411"/>
  <c r="BF411"/>
  <c r="BE411"/>
  <c r="BD411"/>
  <c r="BC411"/>
  <c r="BB411"/>
  <c r="BA411"/>
  <c r="AZ411" s="1"/>
  <c r="AX411"/>
  <c r="AW411"/>
  <c r="AV411"/>
  <c r="AC411"/>
  <c r="H411"/>
  <c r="G411" s="1"/>
  <c r="BT410"/>
  <c r="BS410"/>
  <c r="BR410"/>
  <c r="BQ410"/>
  <c r="BP410"/>
  <c r="BO410"/>
  <c r="BN410"/>
  <c r="BM410"/>
  <c r="BL410"/>
  <c r="BK410"/>
  <c r="BJ410"/>
  <c r="BI410"/>
  <c r="BH410"/>
  <c r="BG410"/>
  <c r="BF410"/>
  <c r="BE410"/>
  <c r="BD410"/>
  <c r="BC410"/>
  <c r="BB410"/>
  <c r="BA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X407"/>
  <c r="AW407"/>
  <c r="AV407"/>
  <c r="AC407"/>
  <c r="H407"/>
  <c r="G407" s="1"/>
  <c r="BT406"/>
  <c r="BS406"/>
  <c r="BR406"/>
  <c r="BQ406"/>
  <c r="BP406"/>
  <c r="BO406"/>
  <c r="BN406"/>
  <c r="BM406"/>
  <c r="BL406"/>
  <c r="BK406"/>
  <c r="BJ406"/>
  <c r="BI406"/>
  <c r="BH406"/>
  <c r="BG406"/>
  <c r="BF406"/>
  <c r="BE406"/>
  <c r="BD406"/>
  <c r="BC406"/>
  <c r="BB406"/>
  <c r="BA406" s="1"/>
  <c r="AZ406" s="1"/>
  <c r="AX406"/>
  <c r="AW406"/>
  <c r="AV406"/>
  <c r="AC406"/>
  <c r="H406"/>
  <c r="G406"/>
  <c r="BT405"/>
  <c r="BS405"/>
  <c r="BR405"/>
  <c r="BQ405"/>
  <c r="BP405"/>
  <c r="BO405"/>
  <c r="BN405"/>
  <c r="BM405"/>
  <c r="BL405" s="1"/>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c r="AZ402" s="1"/>
  <c r="AX402"/>
  <c r="AW402"/>
  <c r="AV402"/>
  <c r="AC402"/>
  <c r="H402"/>
  <c r="G402" s="1"/>
  <c r="BT401"/>
  <c r="BS401"/>
  <c r="BR401"/>
  <c r="BQ401"/>
  <c r="BP401"/>
  <c r="BO401"/>
  <c r="BN401"/>
  <c r="BM401"/>
  <c r="BL401"/>
  <c r="BK401"/>
  <c r="BJ401"/>
  <c r="BI401"/>
  <c r="BH401"/>
  <c r="BG401"/>
  <c r="BF401"/>
  <c r="BE401"/>
  <c r="BD401"/>
  <c r="BC401"/>
  <c r="BB401"/>
  <c r="BA401" s="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X399"/>
  <c r="AW399"/>
  <c r="AV399"/>
  <c r="AC399"/>
  <c r="H399"/>
  <c r="G399"/>
  <c r="BT398"/>
  <c r="BS398"/>
  <c r="BR398"/>
  <c r="BQ398"/>
  <c r="BP398"/>
  <c r="BO398"/>
  <c r="BN398"/>
  <c r="BM398"/>
  <c r="BL398" s="1"/>
  <c r="BK398"/>
  <c r="BJ398"/>
  <c r="BI398"/>
  <c r="BH398"/>
  <c r="BG398"/>
  <c r="BF398"/>
  <c r="BE398"/>
  <c r="BD398"/>
  <c r="BC398"/>
  <c r="BB398"/>
  <c r="BA398"/>
  <c r="AX398"/>
  <c r="AW398"/>
  <c r="AV398"/>
  <c r="AC398"/>
  <c r="H398"/>
  <c r="G398"/>
  <c r="BT397"/>
  <c r="BS397"/>
  <c r="BR397"/>
  <c r="BQ397"/>
  <c r="BP397"/>
  <c r="BO397"/>
  <c r="BN397"/>
  <c r="BM397"/>
  <c r="BL397" s="1"/>
  <c r="BK397"/>
  <c r="BJ397"/>
  <c r="BI397"/>
  <c r="BH397"/>
  <c r="BG397"/>
  <c r="BF397"/>
  <c r="BE397"/>
  <c r="BD397"/>
  <c r="BC397"/>
  <c r="BB397"/>
  <c r="BA397"/>
  <c r="AX397"/>
  <c r="AW397"/>
  <c r="AV397"/>
  <c r="AC397"/>
  <c r="H397"/>
  <c r="G397" s="1"/>
  <c r="BT396"/>
  <c r="BS396"/>
  <c r="BR396"/>
  <c r="BQ396"/>
  <c r="BP396"/>
  <c r="BO396"/>
  <c r="BN396"/>
  <c r="BM396"/>
  <c r="BL396"/>
  <c r="BK396"/>
  <c r="BJ396"/>
  <c r="BI396"/>
  <c r="BH396"/>
  <c r="BG396"/>
  <c r="BF396"/>
  <c r="BE396"/>
  <c r="BD396"/>
  <c r="BC396"/>
  <c r="BB396"/>
  <c r="BA396" s="1"/>
  <c r="AZ396" s="1"/>
  <c r="AX396"/>
  <c r="AW396"/>
  <c r="AV396"/>
  <c r="AC396"/>
  <c r="H396"/>
  <c r="G396"/>
  <c r="BT395"/>
  <c r="BS395"/>
  <c r="BR395"/>
  <c r="BQ395"/>
  <c r="BP395"/>
  <c r="BO395"/>
  <c r="BN395"/>
  <c r="BM395"/>
  <c r="BL395" s="1"/>
  <c r="BK395"/>
  <c r="BJ395"/>
  <c r="BI395"/>
  <c r="BH395"/>
  <c r="BG395"/>
  <c r="BF395"/>
  <c r="BE395"/>
  <c r="BD395"/>
  <c r="BC395"/>
  <c r="BB395"/>
  <c r="BA395"/>
  <c r="AZ395" s="1"/>
  <c r="AX395"/>
  <c r="AW395"/>
  <c r="AV395"/>
  <c r="AC395"/>
  <c r="H395"/>
  <c r="G395" s="1"/>
  <c r="BT394"/>
  <c r="BS394"/>
  <c r="BR394"/>
  <c r="BQ394"/>
  <c r="BP394"/>
  <c r="BO394"/>
  <c r="BN394"/>
  <c r="BM394"/>
  <c r="BL394"/>
  <c r="BK394"/>
  <c r="BJ394"/>
  <c r="BI394"/>
  <c r="BH394"/>
  <c r="BG394"/>
  <c r="BF394"/>
  <c r="BE394"/>
  <c r="BD394"/>
  <c r="BC394"/>
  <c r="BB394"/>
  <c r="BA394" s="1"/>
  <c r="AX394"/>
  <c r="AW394"/>
  <c r="AV394"/>
  <c r="AC394"/>
  <c r="H394"/>
  <c r="G394" s="1"/>
  <c r="BT393"/>
  <c r="BS393"/>
  <c r="BR393"/>
  <c r="BQ393"/>
  <c r="BP393"/>
  <c r="BO393"/>
  <c r="BN393"/>
  <c r="BM393"/>
  <c r="BL393"/>
  <c r="BK393"/>
  <c r="BJ393"/>
  <c r="BI393"/>
  <c r="BH393"/>
  <c r="BG393"/>
  <c r="BF393"/>
  <c r="BE393"/>
  <c r="BD393"/>
  <c r="BC393"/>
  <c r="BB393"/>
  <c r="BA393" s="1"/>
  <c r="AZ393" s="1"/>
  <c r="AX393"/>
  <c r="AW393"/>
  <c r="AV393"/>
  <c r="AC393"/>
  <c r="H393"/>
  <c r="G393"/>
  <c r="BT392"/>
  <c r="BS392"/>
  <c r="BR392"/>
  <c r="BQ392"/>
  <c r="BP392"/>
  <c r="BO392"/>
  <c r="BN392"/>
  <c r="BM392"/>
  <c r="BL392" s="1"/>
  <c r="BK392"/>
  <c r="BJ392"/>
  <c r="BI392"/>
  <c r="BH392"/>
  <c r="BG392"/>
  <c r="BF392"/>
  <c r="BE392"/>
  <c r="BD392"/>
  <c r="BC392"/>
  <c r="BB392"/>
  <c r="BA392"/>
  <c r="AX392"/>
  <c r="AW392"/>
  <c r="AV392"/>
  <c r="AC392"/>
  <c r="H392"/>
  <c r="G392" s="1"/>
  <c r="BT391"/>
  <c r="BS391"/>
  <c r="BR391"/>
  <c r="BQ391"/>
  <c r="BP391"/>
  <c r="BO391"/>
  <c r="BN391"/>
  <c r="BM391"/>
  <c r="BL391"/>
  <c r="BK391"/>
  <c r="BJ391"/>
  <c r="BI391"/>
  <c r="BH391"/>
  <c r="BG391"/>
  <c r="BF391"/>
  <c r="BE391"/>
  <c r="BD391"/>
  <c r="BC391"/>
  <c r="BB391"/>
  <c r="BA391" s="1"/>
  <c r="AX391"/>
  <c r="AW391"/>
  <c r="AV391"/>
  <c r="AC391"/>
  <c r="H391"/>
  <c r="G391" s="1"/>
  <c r="BT390"/>
  <c r="BS390"/>
  <c r="BR390"/>
  <c r="BQ390"/>
  <c r="BP390"/>
  <c r="BO390"/>
  <c r="BN390"/>
  <c r="BM390"/>
  <c r="BL390"/>
  <c r="BK390"/>
  <c r="BJ390"/>
  <c r="BI390"/>
  <c r="BH390"/>
  <c r="BG390"/>
  <c r="BF390"/>
  <c r="BE390"/>
  <c r="BD390"/>
  <c r="BC390"/>
  <c r="BB390"/>
  <c r="BA390" s="1"/>
  <c r="AX390"/>
  <c r="AW390"/>
  <c r="AV390"/>
  <c r="AC390"/>
  <c r="H390"/>
  <c r="G390" s="1"/>
  <c r="BT389"/>
  <c r="BS389"/>
  <c r="BR389"/>
  <c r="BQ389"/>
  <c r="BP389"/>
  <c r="BO389"/>
  <c r="BN389"/>
  <c r="BM389"/>
  <c r="BL389"/>
  <c r="BK389"/>
  <c r="BJ389"/>
  <c r="BI389"/>
  <c r="BH389"/>
  <c r="BG389"/>
  <c r="BF389"/>
  <c r="BE389"/>
  <c r="BD389"/>
  <c r="BC389"/>
  <c r="BB389"/>
  <c r="BA389" s="1"/>
  <c r="AZ389" s="1"/>
  <c r="AX389"/>
  <c r="AW389"/>
  <c r="AV389"/>
  <c r="AC389"/>
  <c r="H389"/>
  <c r="G389"/>
  <c r="H62" i="40"/>
  <c r="I62" s="1"/>
  <c r="C62" s="1"/>
  <c r="H61"/>
  <c r="I61" s="1"/>
  <c r="C61" s="1"/>
  <c r="H60"/>
  <c r="H59"/>
  <c r="H58"/>
  <c r="I58" s="1"/>
  <c r="C58" s="1"/>
  <c r="H57"/>
  <c r="I57"/>
  <c r="C57" s="1"/>
  <c r="H56"/>
  <c r="I56" s="1"/>
  <c r="C56" s="1"/>
  <c r="H55"/>
  <c r="I55" s="1"/>
  <c r="C55" s="1"/>
  <c r="H54"/>
  <c r="I54" s="1"/>
  <c r="C54" s="1"/>
  <c r="H63" i="39"/>
  <c r="I63" s="1"/>
  <c r="C63" s="1"/>
  <c r="H59"/>
  <c r="I59" s="1"/>
  <c r="C59" s="1"/>
  <c r="H67"/>
  <c r="I67"/>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R26" i="31"/>
  <c r="S26" s="1"/>
  <c r="R27"/>
  <c r="R28"/>
  <c r="S28"/>
  <c r="R29"/>
  <c r="R30"/>
  <c r="S30" s="1"/>
  <c r="R31"/>
  <c r="R32"/>
  <c r="S32"/>
  <c r="R33"/>
  <c r="R34"/>
  <c r="S34" s="1"/>
  <c r="R35"/>
  <c r="R36"/>
  <c r="S36"/>
  <c r="R37"/>
  <c r="R38"/>
  <c r="S38" s="1"/>
  <c r="R39"/>
  <c r="R40"/>
  <c r="S40"/>
  <c r="R41"/>
  <c r="R42"/>
  <c r="S42" s="1"/>
  <c r="R43"/>
  <c r="R44"/>
  <c r="S44"/>
  <c r="R45"/>
  <c r="R46"/>
  <c r="S46" s="1"/>
  <c r="R47"/>
  <c r="R48"/>
  <c r="S48"/>
  <c r="R49"/>
  <c r="R50"/>
  <c r="S50" s="1"/>
  <c r="R51"/>
  <c r="R52"/>
  <c r="S52"/>
  <c r="R53"/>
  <c r="R54"/>
  <c r="S54" s="1"/>
  <c r="R55"/>
  <c r="R56"/>
  <c r="S56"/>
  <c r="R57"/>
  <c r="R58"/>
  <c r="S58" s="1"/>
  <c r="R59"/>
  <c r="R60"/>
  <c r="S60"/>
  <c r="R61"/>
  <c r="R62"/>
  <c r="S62" s="1"/>
  <c r="R63"/>
  <c r="R64"/>
  <c r="S64"/>
  <c r="R65"/>
  <c r="R66"/>
  <c r="S66" s="1"/>
  <c r="R67"/>
  <c r="R68"/>
  <c r="S68"/>
  <c r="R69"/>
  <c r="R70"/>
  <c r="S70" s="1"/>
  <c r="R71"/>
  <c r="R72"/>
  <c r="S72"/>
  <c r="R73"/>
  <c r="R74"/>
  <c r="S74" s="1"/>
  <c r="R75"/>
  <c r="R76"/>
  <c r="S76"/>
  <c r="R77"/>
  <c r="R78"/>
  <c r="S78" s="1"/>
  <c r="R79"/>
  <c r="R80"/>
  <c r="S80"/>
  <c r="R81"/>
  <c r="R82"/>
  <c r="S82" s="1"/>
  <c r="R83"/>
  <c r="R84"/>
  <c r="S84"/>
  <c r="R85"/>
  <c r="R86"/>
  <c r="S86" s="1"/>
  <c r="R87"/>
  <c r="R88"/>
  <c r="S88"/>
  <c r="R89"/>
  <c r="R90"/>
  <c r="S90" s="1"/>
  <c r="R91"/>
  <c r="R92"/>
  <c r="S92"/>
  <c r="R93"/>
  <c r="R94"/>
  <c r="S94" s="1"/>
  <c r="R95"/>
  <c r="R96"/>
  <c r="S96"/>
  <c r="R97"/>
  <c r="R98"/>
  <c r="S98" s="1"/>
  <c r="R99"/>
  <c r="R100"/>
  <c r="S100"/>
  <c r="R101"/>
  <c r="R102"/>
  <c r="S102" s="1"/>
  <c r="R103"/>
  <c r="R104"/>
  <c r="S104"/>
  <c r="R105"/>
  <c r="R106"/>
  <c r="S106" s="1"/>
  <c r="R107"/>
  <c r="R108"/>
  <c r="S108"/>
  <c r="R109"/>
  <c r="R110"/>
  <c r="S110" s="1"/>
  <c r="R111"/>
  <c r="R112"/>
  <c r="S112"/>
  <c r="R113"/>
  <c r="R114"/>
  <c r="S114" s="1"/>
  <c r="R115"/>
  <c r="R116"/>
  <c r="S116"/>
  <c r="R117"/>
  <c r="R118"/>
  <c r="S118" s="1"/>
  <c r="R119"/>
  <c r="R120"/>
  <c r="S120"/>
  <c r="R121"/>
  <c r="R122"/>
  <c r="S122" s="1"/>
  <c r="R123"/>
  <c r="R124"/>
  <c r="S124"/>
  <c r="R125"/>
  <c r="R126"/>
  <c r="S126" s="1"/>
  <c r="R127"/>
  <c r="R128"/>
  <c r="S128"/>
  <c r="R129"/>
  <c r="R130"/>
  <c r="S130" s="1"/>
  <c r="R131"/>
  <c r="R132"/>
  <c r="S132"/>
  <c r="R133"/>
  <c r="R134"/>
  <c r="S134" s="1"/>
  <c r="R135"/>
  <c r="R136"/>
  <c r="S136"/>
  <c r="R137"/>
  <c r="R138"/>
  <c r="S138" s="1"/>
  <c r="R139"/>
  <c r="R140"/>
  <c r="S140"/>
  <c r="R141"/>
  <c r="R142"/>
  <c r="S142" s="1"/>
  <c r="R143"/>
  <c r="R144"/>
  <c r="S144"/>
  <c r="R145"/>
  <c r="R146"/>
  <c r="S146" s="1"/>
  <c r="R147"/>
  <c r="R148"/>
  <c r="S148"/>
  <c r="R149"/>
  <c r="R150"/>
  <c r="S150" s="1"/>
  <c r="R151"/>
  <c r="R152"/>
  <c r="S152"/>
  <c r="R153"/>
  <c r="R154"/>
  <c r="S154" s="1"/>
  <c r="R155"/>
  <c r="R156"/>
  <c r="S156"/>
  <c r="R157"/>
  <c r="R158"/>
  <c r="S158" s="1"/>
  <c r="R159"/>
  <c r="R160"/>
  <c r="S160"/>
  <c r="R161"/>
  <c r="R162"/>
  <c r="S162" s="1"/>
  <c r="R163"/>
  <c r="R164"/>
  <c r="S164"/>
  <c r="R165"/>
  <c r="R166"/>
  <c r="S166" s="1"/>
  <c r="R167"/>
  <c r="R168"/>
  <c r="S168"/>
  <c r="R169"/>
  <c r="R170"/>
  <c r="S170" s="1"/>
  <c r="R171"/>
  <c r="R172"/>
  <c r="S172"/>
  <c r="R173"/>
  <c r="R174"/>
  <c r="S174" s="1"/>
  <c r="R175"/>
  <c r="R176"/>
  <c r="S176"/>
  <c r="R177"/>
  <c r="R178"/>
  <c r="S178" s="1"/>
  <c r="R179"/>
  <c r="R180"/>
  <c r="S180"/>
  <c r="R181"/>
  <c r="R182"/>
  <c r="S182" s="1"/>
  <c r="R183"/>
  <c r="R184"/>
  <c r="S184"/>
  <c r="R185"/>
  <c r="R186"/>
  <c r="S186" s="1"/>
  <c r="R187"/>
  <c r="R188"/>
  <c r="S188"/>
  <c r="R189"/>
  <c r="R190"/>
  <c r="S190" s="1"/>
  <c r="R191"/>
  <c r="R192"/>
  <c r="S192"/>
  <c r="R193"/>
  <c r="R194"/>
  <c r="S194" s="1"/>
  <c r="R195"/>
  <c r="R196"/>
  <c r="S196"/>
  <c r="R197"/>
  <c r="R198"/>
  <c r="S198" s="1"/>
  <c r="R199"/>
  <c r="R200"/>
  <c r="S200"/>
  <c r="R201"/>
  <c r="R202"/>
  <c r="S202" s="1"/>
  <c r="R203"/>
  <c r="R204"/>
  <c r="S204"/>
  <c r="R205"/>
  <c r="R206"/>
  <c r="S206" s="1"/>
  <c r="R207"/>
  <c r="R208"/>
  <c r="S208"/>
  <c r="R209"/>
  <c r="R210"/>
  <c r="S210" s="1"/>
  <c r="R211"/>
  <c r="R212"/>
  <c r="S212"/>
  <c r="R213"/>
  <c r="R214"/>
  <c r="S214" s="1"/>
  <c r="R215"/>
  <c r="R216"/>
  <c r="S216"/>
  <c r="R217"/>
  <c r="R218"/>
  <c r="S218" s="1"/>
  <c r="R219"/>
  <c r="R220"/>
  <c r="S220"/>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s="1"/>
  <c r="R429"/>
  <c r="R430"/>
  <c r="S430"/>
  <c r="R431"/>
  <c r="R432"/>
  <c r="S432" s="1"/>
  <c r="R433"/>
  <c r="R434"/>
  <c r="S434"/>
  <c r="R435"/>
  <c r="R436"/>
  <c r="S436" s="1"/>
  <c r="R437"/>
  <c r="R438"/>
  <c r="S438"/>
  <c r="R439"/>
  <c r="R440"/>
  <c r="S440" s="1"/>
  <c r="R441"/>
  <c r="R442"/>
  <c r="S442"/>
  <c r="R443"/>
  <c r="R444"/>
  <c r="S444" s="1"/>
  <c r="R445"/>
  <c r="R446"/>
  <c r="S446"/>
  <c r="R447"/>
  <c r="R448"/>
  <c r="S448" s="1"/>
  <c r="R449"/>
  <c r="R450"/>
  <c r="S450"/>
  <c r="R451"/>
  <c r="R452"/>
  <c r="S452" s="1"/>
  <c r="R453"/>
  <c r="R454"/>
  <c r="S454"/>
  <c r="R455"/>
  <c r="R456"/>
  <c r="S456" s="1"/>
  <c r="R457"/>
  <c r="R458"/>
  <c r="S458"/>
  <c r="R459"/>
  <c r="R460"/>
  <c r="S460" s="1"/>
  <c r="R461"/>
  <c r="R462"/>
  <c r="S462"/>
  <c r="R463"/>
  <c r="R464"/>
  <c r="S464" s="1"/>
  <c r="R465"/>
  <c r="R466"/>
  <c r="S466"/>
  <c r="R467"/>
  <c r="R468"/>
  <c r="S468" s="1"/>
  <c r="R469"/>
  <c r="R470"/>
  <c r="S470"/>
  <c r="R471"/>
  <c r="R472"/>
  <c r="S472" s="1"/>
  <c r="R473"/>
  <c r="R474"/>
  <c r="R475"/>
  <c r="R476"/>
  <c r="R477"/>
  <c r="R478"/>
  <c r="R479"/>
  <c r="R480"/>
  <c r="R481"/>
  <c r="R482"/>
  <c r="R483"/>
  <c r="R484"/>
  <c r="R485"/>
  <c r="R486"/>
  <c r="R487"/>
  <c r="R488"/>
  <c r="R489"/>
  <c r="R490"/>
  <c r="R491"/>
  <c r="R492"/>
  <c r="S492"/>
  <c r="R493"/>
  <c r="R494"/>
  <c r="R495"/>
  <c r="R496"/>
  <c r="R497"/>
  <c r="R498"/>
  <c r="S498" s="1"/>
  <c r="R499"/>
  <c r="R500"/>
  <c r="S500"/>
  <c r="R501"/>
  <c r="R502"/>
  <c r="S502" s="1"/>
  <c r="R503"/>
  <c r="R504"/>
  <c r="S504"/>
  <c r="R505"/>
  <c r="R506"/>
  <c r="S506" s="1"/>
  <c r="R507"/>
  <c r="R508"/>
  <c r="S508"/>
  <c r="R509"/>
  <c r="R510"/>
  <c r="S510" s="1"/>
  <c r="R511"/>
  <c r="R512"/>
  <c r="S512"/>
  <c r="R513"/>
  <c r="R514"/>
  <c r="S514" s="1"/>
  <c r="R515"/>
  <c r="R516"/>
  <c r="S516"/>
  <c r="R517"/>
  <c r="R518"/>
  <c r="S518" s="1"/>
  <c r="R519"/>
  <c r="R520"/>
  <c r="S520"/>
  <c r="R521"/>
  <c r="R522"/>
  <c r="S522" s="1"/>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c r="L24" i="4"/>
  <c r="A2" i="55"/>
  <c r="B55" i="63" s="1"/>
  <c r="N3" i="54"/>
  <c r="B42" i="63" s="1"/>
  <c r="A2" i="9"/>
  <c r="T16" i="4"/>
  <c r="D14"/>
  <c r="M4" i="9"/>
  <c r="L4"/>
  <c r="G36" i="4"/>
  <c r="K2" i="54"/>
  <c r="B23" i="63" s="1"/>
  <c r="A3" i="51"/>
  <c r="R41" i="4"/>
  <c r="Q41"/>
  <c r="P41"/>
  <c r="O41"/>
  <c r="N41"/>
  <c r="M41"/>
  <c r="L41"/>
  <c r="K40"/>
  <c r="T40"/>
  <c r="F23"/>
  <c r="D19"/>
  <c r="I19"/>
  <c r="H19"/>
  <c r="G41" i="46" s="1"/>
  <c r="G19" i="4"/>
  <c r="F9" i="1"/>
  <c r="F19" i="4"/>
  <c r="F8" i="1"/>
  <c r="E19" i="4"/>
  <c r="F7" i="1"/>
  <c r="I20" i="73" s="1"/>
  <c r="B2" i="52"/>
  <c r="B15" s="1"/>
  <c r="I2" i="46"/>
  <c r="N12" s="1"/>
  <c r="A7"/>
  <c r="F41" i="4"/>
  <c r="J52" i="40"/>
  <c r="H61" i="49"/>
  <c r="H39" i="46"/>
  <c r="H38"/>
  <c r="H37"/>
  <c r="H36"/>
  <c r="H35"/>
  <c r="H34"/>
  <c r="H33"/>
  <c r="J20"/>
  <c r="C18"/>
  <c r="G17"/>
  <c r="F15"/>
  <c r="E15"/>
  <c r="D15"/>
  <c r="C15"/>
  <c r="C12" s="1"/>
  <c r="C10"/>
  <c r="C11" s="1"/>
  <c r="C9"/>
  <c r="E19" i="6"/>
  <c r="E32"/>
  <c r="E20"/>
  <c r="C9" i="72" s="1"/>
  <c r="E21" i="6"/>
  <c r="K8" i="1" s="1"/>
  <c r="E22" i="6"/>
  <c r="E23"/>
  <c r="E24"/>
  <c r="E25"/>
  <c r="E26"/>
  <c r="D38" i="4"/>
  <c r="C39" s="1"/>
  <c r="C35"/>
  <c r="E16" i="12"/>
  <c r="F14"/>
  <c r="F15"/>
  <c r="F17"/>
  <c r="E19"/>
  <c r="E21"/>
  <c r="E22"/>
  <c r="F23"/>
  <c r="F24"/>
  <c r="F25"/>
  <c r="C43" i="9"/>
  <c r="K47" s="1"/>
  <c r="B65" i="63"/>
  <c r="I73" i="9"/>
  <c r="F73"/>
  <c r="P73" s="1"/>
  <c r="D107"/>
  <c r="C107" s="1"/>
  <c r="C105" s="1"/>
  <c r="C110" s="1"/>
  <c r="C17"/>
  <c r="D17"/>
  <c r="C18"/>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c r="F40"/>
  <c r="AA40"/>
  <c r="F42"/>
  <c r="AA42"/>
  <c r="H10"/>
  <c r="AB10"/>
  <c r="H11"/>
  <c r="AB11"/>
  <c r="H36"/>
  <c r="AB36"/>
  <c r="H40"/>
  <c r="AB40"/>
  <c r="H42"/>
  <c r="AB42"/>
  <c r="J10"/>
  <c r="AC10"/>
  <c r="J11"/>
  <c r="AC11"/>
  <c r="J36"/>
  <c r="AC36"/>
  <c r="J40"/>
  <c r="AC40"/>
  <c r="J42"/>
  <c r="AC42"/>
  <c r="F35" i="44"/>
  <c r="M21"/>
  <c r="F20"/>
  <c r="C6" i="43"/>
  <c r="K9"/>
  <c r="J9"/>
  <c r="I9"/>
  <c r="H9"/>
  <c r="G9"/>
  <c r="F9"/>
  <c r="E9"/>
  <c r="D9"/>
  <c r="C9"/>
  <c r="BC13" i="3"/>
  <c r="BB13"/>
  <c r="BR13"/>
  <c r="B24" i="1"/>
  <c r="E77" i="9"/>
  <c r="O75" s="1"/>
  <c r="L75"/>
  <c r="F77"/>
  <c r="P75"/>
  <c r="O74"/>
  <c r="O73"/>
  <c r="E66"/>
  <c r="O72"/>
  <c r="F74"/>
  <c r="P74"/>
  <c r="N67"/>
  <c r="K44"/>
  <c r="K43"/>
  <c r="B31" i="1"/>
  <c r="E10" i="11" s="1"/>
  <c r="B22" i="1"/>
  <c r="B23"/>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c r="C30" i="40"/>
  <c r="G12" i="1"/>
  <c r="D95" i="9"/>
  <c r="C95"/>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c r="G48"/>
  <c r="H48"/>
  <c r="E48"/>
  <c r="F48"/>
  <c r="I55" i="34"/>
  <c r="J55"/>
  <c r="G55"/>
  <c r="H55"/>
  <c r="E55"/>
  <c r="F55"/>
  <c r="I50" i="40"/>
  <c r="J50"/>
  <c r="G50"/>
  <c r="H50"/>
  <c r="E50"/>
  <c r="F50"/>
  <c r="I55" i="39"/>
  <c r="J55"/>
  <c r="G55"/>
  <c r="H55"/>
  <c r="E55"/>
  <c r="F55"/>
  <c r="I42" i="36"/>
  <c r="J42"/>
  <c r="G42"/>
  <c r="H42"/>
  <c r="E42"/>
  <c r="F42"/>
  <c r="I44" i="35"/>
  <c r="J44"/>
  <c r="G44"/>
  <c r="H44"/>
  <c r="E44"/>
  <c r="F44"/>
  <c r="I54" i="33"/>
  <c r="J54" s="1"/>
  <c r="G54"/>
  <c r="E54"/>
  <c r="F54" s="1"/>
  <c r="H14" i="3"/>
  <c r="AC14"/>
  <c r="G14"/>
  <c r="H15"/>
  <c r="AC15"/>
  <c r="G15" s="1"/>
  <c r="H16"/>
  <c r="AC16"/>
  <c r="H17"/>
  <c r="AC17"/>
  <c r="H18"/>
  <c r="AC18"/>
  <c r="BB18"/>
  <c r="BC18"/>
  <c r="BD18"/>
  <c r="BE18"/>
  <c r="BF18"/>
  <c r="BG18"/>
  <c r="BH18"/>
  <c r="BI18"/>
  <c r="BJ18"/>
  <c r="BK18"/>
  <c r="BM18"/>
  <c r="BN18"/>
  <c r="BO18"/>
  <c r="BP18"/>
  <c r="BR18"/>
  <c r="BS18"/>
  <c r="BT18"/>
  <c r="H19"/>
  <c r="AC19"/>
  <c r="G19" s="1"/>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s="1"/>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s="1"/>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s="1"/>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s="1"/>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s="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s="1"/>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s="1"/>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s="1"/>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s="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s="1"/>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s="1"/>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s="1"/>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s="1"/>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D87"/>
  <c r="E87"/>
  <c r="F87" s="1"/>
  <c r="G87" s="1"/>
  <c r="H87" s="1"/>
  <c r="I87" s="1"/>
  <c r="J87" s="1"/>
  <c r="K87" s="1"/>
  <c r="L87" s="1"/>
  <c r="M87" s="1"/>
  <c r="H34" i="37"/>
  <c r="AB34"/>
  <c r="D101"/>
  <c r="F34"/>
  <c r="D99"/>
  <c r="E99"/>
  <c r="H42" i="34"/>
  <c r="J42"/>
  <c r="F42"/>
  <c r="J38"/>
  <c r="D114"/>
  <c r="F38"/>
  <c r="D112"/>
  <c r="E112"/>
  <c r="F112" s="1"/>
  <c r="G112"/>
  <c r="H112" s="1"/>
  <c r="I112" s="1"/>
  <c r="J112" s="1"/>
  <c r="K112" s="1"/>
  <c r="L112" s="1"/>
  <c r="M112" s="1"/>
  <c r="F40" i="33"/>
  <c r="J41"/>
  <c r="AC41" s="1"/>
  <c r="D113"/>
  <c r="D111"/>
  <c r="E111" s="1"/>
  <c r="F111" s="1"/>
  <c r="S515" i="31"/>
  <c r="S517"/>
  <c r="S519"/>
  <c r="S521"/>
  <c r="S523"/>
  <c r="F41" i="21"/>
  <c r="J41"/>
  <c r="AC41" s="1"/>
  <c r="H41"/>
  <c r="U41" s="1"/>
  <c r="D83" i="39"/>
  <c r="E83"/>
  <c r="F83" s="1"/>
  <c r="G83" s="1"/>
  <c r="H83" s="1"/>
  <c r="I83" s="1"/>
  <c r="J83" s="1"/>
  <c r="K83" s="1"/>
  <c r="L83" s="1"/>
  <c r="M83" s="1"/>
  <c r="D78" i="40"/>
  <c r="F13"/>
  <c r="S13" s="1"/>
  <c r="B122"/>
  <c r="F42" s="1"/>
  <c r="AA42"/>
  <c r="B120"/>
  <c r="B118"/>
  <c r="F40" s="1"/>
  <c r="AA40" s="1"/>
  <c r="D117"/>
  <c r="E117"/>
  <c r="F117" s="1"/>
  <c r="G117"/>
  <c r="H117" s="1"/>
  <c r="I117" s="1"/>
  <c r="J117" s="1"/>
  <c r="K117" s="1"/>
  <c r="L117" s="1"/>
  <c r="M117" s="1"/>
  <c r="D115"/>
  <c r="J38"/>
  <c r="AC38" s="1"/>
  <c r="E115"/>
  <c r="F115" s="1"/>
  <c r="G115" s="1"/>
  <c r="H115" s="1"/>
  <c r="I115" s="1"/>
  <c r="J115" s="1"/>
  <c r="K115" s="1"/>
  <c r="L115" s="1"/>
  <c r="M115" s="1"/>
  <c r="H38"/>
  <c r="AB38"/>
  <c r="D113"/>
  <c r="E113"/>
  <c r="F113" s="1"/>
  <c r="M109"/>
  <c r="L109"/>
  <c r="K109"/>
  <c r="J109"/>
  <c r="I109"/>
  <c r="H109"/>
  <c r="G109"/>
  <c r="F109"/>
  <c r="E109"/>
  <c r="D109"/>
  <c r="C109"/>
  <c r="B107"/>
  <c r="B105"/>
  <c r="F34" s="1"/>
  <c r="AA34"/>
  <c r="B103"/>
  <c r="D102"/>
  <c r="E102" s="1"/>
  <c r="F102" s="1"/>
  <c r="G102" s="1"/>
  <c r="H102" s="1"/>
  <c r="I102" s="1"/>
  <c r="J102" s="1"/>
  <c r="K102" s="1"/>
  <c r="L102" s="1"/>
  <c r="M102" s="1"/>
  <c r="D100"/>
  <c r="E100" s="1"/>
  <c r="D98"/>
  <c r="E98" s="1"/>
  <c r="B97"/>
  <c r="D94"/>
  <c r="D92"/>
  <c r="D90"/>
  <c r="H21"/>
  <c r="AB21" s="1"/>
  <c r="D88"/>
  <c r="E88" s="1"/>
  <c r="F88" s="1"/>
  <c r="D86"/>
  <c r="E86" s="1"/>
  <c r="F86" s="1"/>
  <c r="G86" s="1"/>
  <c r="J17"/>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s="1"/>
  <c r="D126" i="39"/>
  <c r="E126" s="1"/>
  <c r="F126" s="1"/>
  <c r="G126" s="1"/>
  <c r="H126" s="1"/>
  <c r="I126" s="1"/>
  <c r="J126" s="1"/>
  <c r="K126" s="1"/>
  <c r="L126" s="1"/>
  <c r="M126" s="1"/>
  <c r="D122"/>
  <c r="E122" s="1"/>
  <c r="F122" s="1"/>
  <c r="G122" s="1"/>
  <c r="H122" s="1"/>
  <c r="I122" s="1"/>
  <c r="J122" s="1"/>
  <c r="K122" s="1"/>
  <c r="L122" s="1"/>
  <c r="M122" s="1"/>
  <c r="B116"/>
  <c r="D111"/>
  <c r="E111"/>
  <c r="F111" s="1"/>
  <c r="G111" s="1"/>
  <c r="H111" s="1"/>
  <c r="I111" s="1"/>
  <c r="J111" s="1"/>
  <c r="K111" s="1"/>
  <c r="L111" s="1"/>
  <c r="M111" s="1"/>
  <c r="D109"/>
  <c r="E109"/>
  <c r="F109" s="1"/>
  <c r="G109" s="1"/>
  <c r="H109" s="1"/>
  <c r="I109" s="1"/>
  <c r="J109" s="1"/>
  <c r="K109" s="1"/>
  <c r="L109" s="1"/>
  <c r="M109" s="1"/>
  <c r="D107"/>
  <c r="E107"/>
  <c r="F107" s="1"/>
  <c r="G107" s="1"/>
  <c r="H107" s="1"/>
  <c r="I107" s="1"/>
  <c r="J107" s="1"/>
  <c r="K107" s="1"/>
  <c r="L107" s="1"/>
  <c r="M107" s="1"/>
  <c r="D103"/>
  <c r="D101"/>
  <c r="E101" s="1"/>
  <c r="F101" s="1"/>
  <c r="G101" s="1"/>
  <c r="Q41"/>
  <c r="Z41" s="1"/>
  <c r="Q42"/>
  <c r="Z42" s="1"/>
  <c r="Q43"/>
  <c r="Z43" s="1"/>
  <c r="Q44"/>
  <c r="Z44"/>
  <c r="Q45"/>
  <c r="Z45"/>
  <c r="Q46"/>
  <c r="Z46"/>
  <c r="Q47"/>
  <c r="Z47"/>
  <c r="Q40"/>
  <c r="Z40"/>
  <c r="Q38"/>
  <c r="Z38"/>
  <c r="Q39"/>
  <c r="Z39"/>
  <c r="M118"/>
  <c r="L118"/>
  <c r="K118"/>
  <c r="J118"/>
  <c r="I118"/>
  <c r="H118"/>
  <c r="G118"/>
  <c r="F118"/>
  <c r="E118"/>
  <c r="D118"/>
  <c r="C118"/>
  <c r="B133"/>
  <c r="B131"/>
  <c r="B129"/>
  <c r="D128"/>
  <c r="D124"/>
  <c r="E124"/>
  <c r="F124" s="1"/>
  <c r="G124" s="1"/>
  <c r="H124" s="1"/>
  <c r="I124" s="1"/>
  <c r="J124" s="1"/>
  <c r="K124" s="1"/>
  <c r="L124" s="1"/>
  <c r="M124" s="1"/>
  <c r="B106"/>
  <c r="D99"/>
  <c r="E99" s="1"/>
  <c r="F99" s="1"/>
  <c r="G99" s="1"/>
  <c r="D97"/>
  <c r="D95"/>
  <c r="E95"/>
  <c r="F95" s="1"/>
  <c r="G95" s="1"/>
  <c r="D93"/>
  <c r="E93"/>
  <c r="F93" s="1"/>
  <c r="G93" s="1"/>
  <c r="D91"/>
  <c r="E91"/>
  <c r="F91" s="1"/>
  <c r="G91" s="1"/>
  <c r="B88"/>
  <c r="B86"/>
  <c r="B84"/>
  <c r="M81"/>
  <c r="L81"/>
  <c r="K81"/>
  <c r="J81"/>
  <c r="I81"/>
  <c r="H81"/>
  <c r="G81"/>
  <c r="F81"/>
  <c r="E81"/>
  <c r="D81"/>
  <c r="C81"/>
  <c r="P50"/>
  <c r="P49"/>
  <c r="V48"/>
  <c r="T48"/>
  <c r="R48"/>
  <c r="P48"/>
  <c r="Q37"/>
  <c r="Z37"/>
  <c r="Q36"/>
  <c r="Z36"/>
  <c r="Q34"/>
  <c r="Z34"/>
  <c r="Q33"/>
  <c r="Z33"/>
  <c r="Q29"/>
  <c r="Z29"/>
  <c r="Q27"/>
  <c r="Z27"/>
  <c r="Q25"/>
  <c r="Z25"/>
  <c r="Q23"/>
  <c r="Z23"/>
  <c r="Q21"/>
  <c r="Z21"/>
  <c r="Q19"/>
  <c r="Z19"/>
  <c r="Q17"/>
  <c r="Z17"/>
  <c r="Q16"/>
  <c r="Z16"/>
  <c r="Q15"/>
  <c r="Z15"/>
  <c r="Q14"/>
  <c r="Z14"/>
  <c r="Q13"/>
  <c r="Z13"/>
  <c r="Q12"/>
  <c r="Z12"/>
  <c r="Q11"/>
  <c r="Z11"/>
  <c r="U10"/>
  <c r="C9"/>
  <c r="C70" s="1"/>
  <c r="C20" i="36"/>
  <c r="C20" i="35"/>
  <c r="C16" i="36"/>
  <c r="C16" i="35"/>
  <c r="C14" i="36"/>
  <c r="C14" i="35"/>
  <c r="B80" i="37"/>
  <c r="H25"/>
  <c r="U25" s="1"/>
  <c r="B110"/>
  <c r="J39" s="1"/>
  <c r="B108"/>
  <c r="C23"/>
  <c r="C19"/>
  <c r="C17"/>
  <c r="C15"/>
  <c r="B112"/>
  <c r="D107"/>
  <c r="E107"/>
  <c r="D105"/>
  <c r="E105"/>
  <c r="H36"/>
  <c r="D103"/>
  <c r="J35"/>
  <c r="AC35"/>
  <c r="F97"/>
  <c r="E97"/>
  <c r="D97"/>
  <c r="C97"/>
  <c r="D96"/>
  <c r="E96"/>
  <c r="D94"/>
  <c r="M90"/>
  <c r="L90"/>
  <c r="K90"/>
  <c r="J90"/>
  <c r="I90"/>
  <c r="H90"/>
  <c r="G90"/>
  <c r="F90"/>
  <c r="E90"/>
  <c r="D90"/>
  <c r="C90"/>
  <c r="D89"/>
  <c r="B86"/>
  <c r="B84"/>
  <c r="H27"/>
  <c r="U27" s="1"/>
  <c r="B82"/>
  <c r="J26" s="1"/>
  <c r="D79"/>
  <c r="E79"/>
  <c r="D75"/>
  <c r="E75"/>
  <c r="F75" s="1"/>
  <c r="D73"/>
  <c r="E73" s="1"/>
  <c r="F73" s="1"/>
  <c r="G73" s="1"/>
  <c r="D71"/>
  <c r="E71" s="1"/>
  <c r="F71" s="1"/>
  <c r="G71" s="1"/>
  <c r="F15"/>
  <c r="AA15" s="1"/>
  <c r="B68"/>
  <c r="H14" s="1"/>
  <c r="B66"/>
  <c r="B64"/>
  <c r="D63"/>
  <c r="E63"/>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c r="Q34"/>
  <c r="Z34"/>
  <c r="Q33"/>
  <c r="Z33"/>
  <c r="Q32"/>
  <c r="Z32"/>
  <c r="Q31"/>
  <c r="Z31"/>
  <c r="J31"/>
  <c r="Q30"/>
  <c r="Z30" s="1"/>
  <c r="J30"/>
  <c r="W30" s="1"/>
  <c r="H30"/>
  <c r="AB30" s="1"/>
  <c r="F30"/>
  <c r="Q29"/>
  <c r="Z29"/>
  <c r="H29"/>
  <c r="U29"/>
  <c r="Q28"/>
  <c r="Z28"/>
  <c r="Q27"/>
  <c r="Z27"/>
  <c r="Q26"/>
  <c r="Z26"/>
  <c r="H26"/>
  <c r="AB26" s="1"/>
  <c r="F26"/>
  <c r="AA26" s="1"/>
  <c r="Q25"/>
  <c r="Z25" s="1"/>
  <c r="J25"/>
  <c r="W25" s="1"/>
  <c r="F25"/>
  <c r="AA25" s="1"/>
  <c r="Q23"/>
  <c r="Z23" s="1"/>
  <c r="Q19"/>
  <c r="Z19" s="1"/>
  <c r="Q17"/>
  <c r="Z17" s="1"/>
  <c r="Q15"/>
  <c r="Z15" s="1"/>
  <c r="Q14"/>
  <c r="Z14" s="1"/>
  <c r="Q13"/>
  <c r="Z13" s="1"/>
  <c r="Q12"/>
  <c r="Z12" s="1"/>
  <c r="Q11"/>
  <c r="Z11" s="1"/>
  <c r="Q10"/>
  <c r="Z10" s="1"/>
  <c r="F10"/>
  <c r="AA10" s="1"/>
  <c r="Q9"/>
  <c r="Z9" s="1"/>
  <c r="J8"/>
  <c r="W8" s="1"/>
  <c r="H8"/>
  <c r="AB8" s="1"/>
  <c r="F8"/>
  <c r="C7"/>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B91"/>
  <c r="F32"/>
  <c r="S32" s="1"/>
  <c r="B95"/>
  <c r="H34" s="1"/>
  <c r="D83"/>
  <c r="E83" s="1"/>
  <c r="F83" s="1"/>
  <c r="G83" s="1"/>
  <c r="H83" s="1"/>
  <c r="I83" s="1"/>
  <c r="J83" s="1"/>
  <c r="K83" s="1"/>
  <c r="L83" s="1"/>
  <c r="M83" s="1"/>
  <c r="D78"/>
  <c r="J26"/>
  <c r="W26"/>
  <c r="B75"/>
  <c r="B73"/>
  <c r="J24" s="1"/>
  <c r="B71"/>
  <c r="D70"/>
  <c r="H22"/>
  <c r="AB22"/>
  <c r="D68"/>
  <c r="E68"/>
  <c r="D64"/>
  <c r="E64"/>
  <c r="F64" s="1"/>
  <c r="G64" s="1"/>
  <c r="J16"/>
  <c r="D62"/>
  <c r="E62" s="1"/>
  <c r="F62" s="1"/>
  <c r="B59"/>
  <c r="B57"/>
  <c r="J12"/>
  <c r="B55"/>
  <c r="F54"/>
  <c r="G54" s="1"/>
  <c r="H54" s="1"/>
  <c r="I54" s="1"/>
  <c r="J10"/>
  <c r="W10" s="1"/>
  <c r="C51"/>
  <c r="J9" s="1"/>
  <c r="AC9" s="1"/>
  <c r="P37"/>
  <c r="P36"/>
  <c r="V35"/>
  <c r="T35"/>
  <c r="R35"/>
  <c r="P35"/>
  <c r="Q34"/>
  <c r="Z34"/>
  <c r="Q33"/>
  <c r="Z33"/>
  <c r="Q32"/>
  <c r="Z32"/>
  <c r="Q31"/>
  <c r="Z31"/>
  <c r="Q30"/>
  <c r="Z30"/>
  <c r="Q29"/>
  <c r="Z29"/>
  <c r="Q28"/>
  <c r="Z28"/>
  <c r="J28"/>
  <c r="AC28"/>
  <c r="Q27"/>
  <c r="Z27"/>
  <c r="Q26"/>
  <c r="Z26"/>
  <c r="H26"/>
  <c r="AB26"/>
  <c r="Q25"/>
  <c r="Z25"/>
  <c r="Q24"/>
  <c r="Z24"/>
  <c r="Q23"/>
  <c r="Z23"/>
  <c r="J23"/>
  <c r="AC23"/>
  <c r="H23"/>
  <c r="AB23"/>
  <c r="F23"/>
  <c r="AA23"/>
  <c r="Q22"/>
  <c r="Z22"/>
  <c r="J22"/>
  <c r="AC22"/>
  <c r="Q20"/>
  <c r="Z20"/>
  <c r="Q16"/>
  <c r="Z16"/>
  <c r="Q14"/>
  <c r="Z14"/>
  <c r="Q13"/>
  <c r="Z13"/>
  <c r="Q12"/>
  <c r="Z12"/>
  <c r="H12"/>
  <c r="U12"/>
  <c r="Q11"/>
  <c r="Z11"/>
  <c r="Q10"/>
  <c r="Z10"/>
  <c r="F10"/>
  <c r="AA10"/>
  <c r="Q9"/>
  <c r="Z9"/>
  <c r="J8"/>
  <c r="AC8"/>
  <c r="H8"/>
  <c r="U8"/>
  <c r="F8"/>
  <c r="AA8"/>
  <c r="C7"/>
  <c r="D89" i="35"/>
  <c r="H30"/>
  <c r="U30"/>
  <c r="M90"/>
  <c r="L90"/>
  <c r="K90"/>
  <c r="J90"/>
  <c r="I90"/>
  <c r="H90"/>
  <c r="G90"/>
  <c r="F90"/>
  <c r="E90"/>
  <c r="D90"/>
  <c r="C90"/>
  <c r="F85"/>
  <c r="E85"/>
  <c r="D85"/>
  <c r="C85"/>
  <c r="J27"/>
  <c r="W27" s="1"/>
  <c r="H27"/>
  <c r="U27" s="1"/>
  <c r="F27"/>
  <c r="AA27" s="1"/>
  <c r="J22"/>
  <c r="AC22" s="1"/>
  <c r="B101"/>
  <c r="H36" s="1"/>
  <c r="B99"/>
  <c r="B97"/>
  <c r="B77"/>
  <c r="B75"/>
  <c r="J24"/>
  <c r="AC24" s="1"/>
  <c r="B73"/>
  <c r="J23" s="1"/>
  <c r="B57"/>
  <c r="B61"/>
  <c r="B59"/>
  <c r="H12"/>
  <c r="B131" i="34"/>
  <c r="B129"/>
  <c r="B127"/>
  <c r="B99"/>
  <c r="B97"/>
  <c r="B95"/>
  <c r="B93"/>
  <c r="B75"/>
  <c r="B73"/>
  <c r="B71"/>
  <c r="B130" i="33"/>
  <c r="B128"/>
  <c r="H45" s="1"/>
  <c r="U45" s="1"/>
  <c r="B126"/>
  <c r="H44" s="1"/>
  <c r="B98"/>
  <c r="F31"/>
  <c r="AA31" s="1"/>
  <c r="B96"/>
  <c r="B94"/>
  <c r="B74"/>
  <c r="B72"/>
  <c r="B70"/>
  <c r="D96" i="35"/>
  <c r="E96" s="1"/>
  <c r="F96" s="1"/>
  <c r="G96" s="1"/>
  <c r="D94"/>
  <c r="D84"/>
  <c r="E84"/>
  <c r="F84" s="1"/>
  <c r="G84" s="1"/>
  <c r="H84" s="1"/>
  <c r="I84" s="1"/>
  <c r="J84" s="1"/>
  <c r="K84" s="1"/>
  <c r="L84" s="1"/>
  <c r="M84" s="1"/>
  <c r="D80"/>
  <c r="D72"/>
  <c r="D70"/>
  <c r="E70"/>
  <c r="F70" s="1"/>
  <c r="G70" s="1"/>
  <c r="D66"/>
  <c r="E66"/>
  <c r="F66" s="1"/>
  <c r="G66" s="1"/>
  <c r="D64"/>
  <c r="E64"/>
  <c r="F64" s="1"/>
  <c r="G64" s="1"/>
  <c r="F56"/>
  <c r="G56"/>
  <c r="H56" s="1"/>
  <c r="I56" s="1"/>
  <c r="C53"/>
  <c r="H9"/>
  <c r="AB9" s="1"/>
  <c r="P39"/>
  <c r="P38"/>
  <c r="V37"/>
  <c r="T37"/>
  <c r="R37"/>
  <c r="P37"/>
  <c r="Q36"/>
  <c r="Z36" s="1"/>
  <c r="J36"/>
  <c r="AC36" s="1"/>
  <c r="Q35"/>
  <c r="Z35" s="1"/>
  <c r="Q34"/>
  <c r="Z34" s="1"/>
  <c r="J34"/>
  <c r="AC34" s="1"/>
  <c r="H34"/>
  <c r="AB34" s="1"/>
  <c r="F34"/>
  <c r="AA34" s="1"/>
  <c r="Q33"/>
  <c r="Z33" s="1"/>
  <c r="Q32"/>
  <c r="Z32" s="1"/>
  <c r="H32"/>
  <c r="AB32" s="1"/>
  <c r="F32"/>
  <c r="AA32" s="1"/>
  <c r="Q31"/>
  <c r="Z31" s="1"/>
  <c r="AC31"/>
  <c r="AB31"/>
  <c r="AA31"/>
  <c r="Q30"/>
  <c r="Z30"/>
  <c r="Q29"/>
  <c r="Z29"/>
  <c r="Q28"/>
  <c r="Z28"/>
  <c r="J28"/>
  <c r="H28"/>
  <c r="F28"/>
  <c r="AA28"/>
  <c r="Q27"/>
  <c r="Z27"/>
  <c r="Q26"/>
  <c r="Z26"/>
  <c r="Q25"/>
  <c r="Z25"/>
  <c r="Q24"/>
  <c r="Z24"/>
  <c r="Q23"/>
  <c r="Z23"/>
  <c r="Q22"/>
  <c r="Z22"/>
  <c r="Q20"/>
  <c r="Z20"/>
  <c r="Q16"/>
  <c r="Z16"/>
  <c r="Q14"/>
  <c r="Z14"/>
  <c r="Q13"/>
  <c r="Z13"/>
  <c r="Q12"/>
  <c r="Z12"/>
  <c r="J12"/>
  <c r="W12"/>
  <c r="F12"/>
  <c r="AA12"/>
  <c r="Q11"/>
  <c r="Z11"/>
  <c r="Q10"/>
  <c r="Z10"/>
  <c r="Q9"/>
  <c r="Z9"/>
  <c r="J9"/>
  <c r="W9"/>
  <c r="F9"/>
  <c r="AA9"/>
  <c r="J8"/>
  <c r="H8"/>
  <c r="F8"/>
  <c r="AA8"/>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c r="F118" s="1"/>
  <c r="G118" s="1"/>
  <c r="H40"/>
  <c r="U40"/>
  <c r="D116"/>
  <c r="E116"/>
  <c r="F116" s="1"/>
  <c r="G116" s="1"/>
  <c r="H116" s="1"/>
  <c r="I116" s="1"/>
  <c r="J116" s="1"/>
  <c r="K116" s="1"/>
  <c r="L116" s="1"/>
  <c r="M116" s="1"/>
  <c r="F110"/>
  <c r="E110"/>
  <c r="D110"/>
  <c r="C110"/>
  <c r="D109"/>
  <c r="E109"/>
  <c r="F109" s="1"/>
  <c r="G109" s="1"/>
  <c r="H109" s="1"/>
  <c r="I109" s="1"/>
  <c r="J109" s="1"/>
  <c r="K109" s="1"/>
  <c r="L109" s="1"/>
  <c r="M109" s="1"/>
  <c r="J36"/>
  <c r="D107"/>
  <c r="E107" s="1"/>
  <c r="F107" s="1"/>
  <c r="G107" s="1"/>
  <c r="H107" s="1"/>
  <c r="I107" s="1"/>
  <c r="J107" s="1"/>
  <c r="K107" s="1"/>
  <c r="L107" s="1"/>
  <c r="M107" s="1"/>
  <c r="F35"/>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F28" s="1"/>
  <c r="B89"/>
  <c r="J27"/>
  <c r="D88"/>
  <c r="E88"/>
  <c r="F88" s="1"/>
  <c r="G88" s="1"/>
  <c r="H88" s="1"/>
  <c r="I88" s="1"/>
  <c r="J88" s="1"/>
  <c r="K88" s="1"/>
  <c r="L88" s="1"/>
  <c r="M88" s="1"/>
  <c r="D86"/>
  <c r="E86"/>
  <c r="D82"/>
  <c r="E82"/>
  <c r="F82" s="1"/>
  <c r="G82" s="1"/>
  <c r="D80"/>
  <c r="D78"/>
  <c r="D70"/>
  <c r="E70"/>
  <c r="F70" s="1"/>
  <c r="G70" s="1"/>
  <c r="H70" s="1"/>
  <c r="I70" s="1"/>
  <c r="J70" s="1"/>
  <c r="K70" s="1"/>
  <c r="L70" s="1"/>
  <c r="M70" s="1"/>
  <c r="M68"/>
  <c r="L68"/>
  <c r="K68"/>
  <c r="J68"/>
  <c r="I68"/>
  <c r="H68"/>
  <c r="G68"/>
  <c r="F68"/>
  <c r="E68"/>
  <c r="D68"/>
  <c r="C68"/>
  <c r="C64"/>
  <c r="P50"/>
  <c r="P49"/>
  <c r="V48"/>
  <c r="T48"/>
  <c r="R48"/>
  <c r="P48"/>
  <c r="Q47"/>
  <c r="Z47"/>
  <c r="Q46"/>
  <c r="Z46"/>
  <c r="Q45"/>
  <c r="Z45"/>
  <c r="Q44"/>
  <c r="Z44"/>
  <c r="H44"/>
  <c r="AB44"/>
  <c r="Q43"/>
  <c r="Z43"/>
  <c r="F43"/>
  <c r="AA43"/>
  <c r="Q42"/>
  <c r="Z42"/>
  <c r="Q41"/>
  <c r="Z41"/>
  <c r="Q40"/>
  <c r="Z40"/>
  <c r="F40"/>
  <c r="S40"/>
  <c r="Q39"/>
  <c r="Z39"/>
  <c r="J39"/>
  <c r="AC39"/>
  <c r="H39"/>
  <c r="U39"/>
  <c r="F39"/>
  <c r="Q38"/>
  <c r="Z38" s="1"/>
  <c r="Q37"/>
  <c r="Z37" s="1"/>
  <c r="Q36"/>
  <c r="Z36" s="1"/>
  <c r="Q35"/>
  <c r="Z35" s="1"/>
  <c r="Q34"/>
  <c r="Z34" s="1"/>
  <c r="J34"/>
  <c r="H34"/>
  <c r="AB34"/>
  <c r="F34"/>
  <c r="AA34"/>
  <c r="Q33"/>
  <c r="Z33"/>
  <c r="Q32"/>
  <c r="Z32"/>
  <c r="Q31"/>
  <c r="Z31"/>
  <c r="Q30"/>
  <c r="Z30"/>
  <c r="Q29"/>
  <c r="Z29"/>
  <c r="Q28"/>
  <c r="Z28"/>
  <c r="Q27"/>
  <c r="Z27"/>
  <c r="Q25"/>
  <c r="Z25"/>
  <c r="Q23"/>
  <c r="Z23"/>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B92"/>
  <c r="B90"/>
  <c r="D87"/>
  <c r="E87" s="1"/>
  <c r="F87" s="1"/>
  <c r="G87" s="1"/>
  <c r="H87" s="1"/>
  <c r="I87" s="1"/>
  <c r="J87" s="1"/>
  <c r="K87" s="1"/>
  <c r="L87" s="1"/>
  <c r="M87" s="1"/>
  <c r="D85"/>
  <c r="E85" s="1"/>
  <c r="F85" s="1"/>
  <c r="D81"/>
  <c r="E81" s="1"/>
  <c r="F81" s="1"/>
  <c r="G81" s="1"/>
  <c r="D79"/>
  <c r="E79" s="1"/>
  <c r="D77"/>
  <c r="E77"/>
  <c r="F77" s="1"/>
  <c r="G77" s="1"/>
  <c r="D69"/>
  <c r="E69" s="1"/>
  <c r="F69" s="1"/>
  <c r="G69" s="1"/>
  <c r="H69" s="1"/>
  <c r="I69" s="1"/>
  <c r="J69" s="1"/>
  <c r="K69" s="1"/>
  <c r="L69" s="1"/>
  <c r="M69" s="1"/>
  <c r="M67"/>
  <c r="L67"/>
  <c r="K67"/>
  <c r="J67"/>
  <c r="I67"/>
  <c r="H67"/>
  <c r="G67"/>
  <c r="F67"/>
  <c r="E67"/>
  <c r="D67"/>
  <c r="C67"/>
  <c r="G66"/>
  <c r="C63"/>
  <c r="J9" s="1"/>
  <c r="H54"/>
  <c r="P49"/>
  <c r="P48"/>
  <c r="V47"/>
  <c r="T47"/>
  <c r="R47"/>
  <c r="P47"/>
  <c r="Q46"/>
  <c r="Z46" s="1"/>
  <c r="Q45"/>
  <c r="Z45" s="1"/>
  <c r="Q44"/>
  <c r="Z44" s="1"/>
  <c r="Q43"/>
  <c r="Z43"/>
  <c r="Q42"/>
  <c r="Z42"/>
  <c r="J42"/>
  <c r="AC42" s="1"/>
  <c r="W41"/>
  <c r="Q41"/>
  <c r="Z41" s="1"/>
  <c r="Q40"/>
  <c r="Z40" s="1"/>
  <c r="J40"/>
  <c r="AC40" s="1"/>
  <c r="H40"/>
  <c r="AA40"/>
  <c r="Q39"/>
  <c r="Z39" s="1"/>
  <c r="J39"/>
  <c r="AC39" s="1"/>
  <c r="Q38"/>
  <c r="Z38" s="1"/>
  <c r="J38"/>
  <c r="AC38" s="1"/>
  <c r="H38"/>
  <c r="AB38" s="1"/>
  <c r="F38"/>
  <c r="AA38" s="1"/>
  <c r="Q37"/>
  <c r="Z37" s="1"/>
  <c r="Q36"/>
  <c r="Z36" s="1"/>
  <c r="Q35"/>
  <c r="Z35" s="1"/>
  <c r="H35"/>
  <c r="AB35" s="1"/>
  <c r="Q34"/>
  <c r="Z34"/>
  <c r="Q33"/>
  <c r="Z33"/>
  <c r="J33"/>
  <c r="AC33" s="1"/>
  <c r="H33"/>
  <c r="AB33" s="1"/>
  <c r="F33"/>
  <c r="AA33" s="1"/>
  <c r="Q32"/>
  <c r="Z32" s="1"/>
  <c r="Q31"/>
  <c r="Z31" s="1"/>
  <c r="Q30"/>
  <c r="Z30"/>
  <c r="Q29"/>
  <c r="Z29" s="1"/>
  <c r="Q28"/>
  <c r="Z28" s="1"/>
  <c r="Q27"/>
  <c r="Z27" s="1"/>
  <c r="Q26"/>
  <c r="Z26" s="1"/>
  <c r="Q25"/>
  <c r="Z25" s="1"/>
  <c r="Q23"/>
  <c r="Z23" s="1"/>
  <c r="Q19"/>
  <c r="Z19" s="1"/>
  <c r="Q17"/>
  <c r="Z17" s="1"/>
  <c r="Q15"/>
  <c r="Z15" s="1"/>
  <c r="F15"/>
  <c r="AA15" s="1"/>
  <c r="Q14"/>
  <c r="Z14"/>
  <c r="Q13"/>
  <c r="Z13"/>
  <c r="Q12"/>
  <c r="Z12"/>
  <c r="J12"/>
  <c r="W12" s="1"/>
  <c r="H12"/>
  <c r="U12" s="1"/>
  <c r="F12"/>
  <c r="S12" s="1"/>
  <c r="Q11"/>
  <c r="Z11" s="1"/>
  <c r="Q10"/>
  <c r="Z10"/>
  <c r="Q9"/>
  <c r="Z9"/>
  <c r="H9"/>
  <c r="AB9" s="1"/>
  <c r="J8"/>
  <c r="W8" s="1"/>
  <c r="H8"/>
  <c r="F8"/>
  <c r="C7"/>
  <c r="C58" s="1"/>
  <c r="M102" i="21"/>
  <c r="D102"/>
  <c r="E102"/>
  <c r="F102"/>
  <c r="G102"/>
  <c r="H102"/>
  <c r="I102"/>
  <c r="J102"/>
  <c r="K102"/>
  <c r="L102"/>
  <c r="C102"/>
  <c r="C63"/>
  <c r="F9" s="1"/>
  <c r="S9" s="1"/>
  <c r="G18" i="20"/>
  <c r="B87" i="73" s="1"/>
  <c r="C25" i="40"/>
  <c r="G16" i="20"/>
  <c r="B81" i="73" s="1"/>
  <c r="B81" i="46"/>
  <c r="G15" i="20"/>
  <c r="B80" i="73" s="1"/>
  <c r="B80" i="46"/>
  <c r="C24" i="20"/>
  <c r="B72" i="46"/>
  <c r="C21" i="20"/>
  <c r="B73" i="46"/>
  <c r="C20" i="20"/>
  <c r="C18"/>
  <c r="B70" i="46" s="1"/>
  <c r="C17" i="20"/>
  <c r="B58" i="73" s="1"/>
  <c r="C16" i="20"/>
  <c r="B47" i="73" s="1"/>
  <c r="C15" i="20"/>
  <c r="E54" i="21"/>
  <c r="F54" s="1"/>
  <c r="I54"/>
  <c r="J54" s="1"/>
  <c r="G54"/>
  <c r="H54" s="1"/>
  <c r="D125"/>
  <c r="E125" s="1"/>
  <c r="F125" s="1"/>
  <c r="G125" s="1"/>
  <c r="D123"/>
  <c r="E123" s="1"/>
  <c r="F123" s="1"/>
  <c r="G123" s="1"/>
  <c r="H123" s="1"/>
  <c r="I123" s="1"/>
  <c r="J123" s="1"/>
  <c r="K123" s="1"/>
  <c r="L123" s="1"/>
  <c r="M123" s="1"/>
  <c r="D119"/>
  <c r="D117"/>
  <c r="E117"/>
  <c r="F117" s="1"/>
  <c r="G117" s="1"/>
  <c r="D115"/>
  <c r="E115"/>
  <c r="F115" s="1"/>
  <c r="G115" s="1"/>
  <c r="H115" s="1"/>
  <c r="I115" s="1"/>
  <c r="J115" s="1"/>
  <c r="K115" s="1"/>
  <c r="L115" s="1"/>
  <c r="M115" s="1"/>
  <c r="D113"/>
  <c r="E113" s="1"/>
  <c r="F113" s="1"/>
  <c r="G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c r="F79" s="1"/>
  <c r="G79" s="1"/>
  <c r="D85"/>
  <c r="E85"/>
  <c r="D81"/>
  <c r="E81"/>
  <c r="F81" s="1"/>
  <c r="G81" s="1"/>
  <c r="D77"/>
  <c r="E77"/>
  <c r="B130"/>
  <c r="B128"/>
  <c r="B126"/>
  <c r="B98"/>
  <c r="B96"/>
  <c r="B94"/>
  <c r="B92"/>
  <c r="B90"/>
  <c r="B74"/>
  <c r="B72"/>
  <c r="B70"/>
  <c r="F12"/>
  <c r="C7"/>
  <c r="C58" s="1"/>
  <c r="C19"/>
  <c r="C17"/>
  <c r="C23"/>
  <c r="Q9"/>
  <c r="Z9" s="1"/>
  <c r="Q10"/>
  <c r="Z10" s="1"/>
  <c r="Q11"/>
  <c r="Z11" s="1"/>
  <c r="Q12"/>
  <c r="Z12" s="1"/>
  <c r="Q13"/>
  <c r="Z13" s="1"/>
  <c r="Q14"/>
  <c r="Z14" s="1"/>
  <c r="Q15"/>
  <c r="Z15" s="1"/>
  <c r="Q17"/>
  <c r="Z17" s="1"/>
  <c r="Q19"/>
  <c r="Z19" s="1"/>
  <c r="Q23"/>
  <c r="Z23" s="1"/>
  <c r="Q25"/>
  <c r="Z25" s="1"/>
  <c r="Q26"/>
  <c r="Z26"/>
  <c r="Q27"/>
  <c r="Z27"/>
  <c r="Q28"/>
  <c r="Z28" s="1"/>
  <c r="Q29"/>
  <c r="Z29" s="1"/>
  <c r="Q30"/>
  <c r="Z30"/>
  <c r="Q31"/>
  <c r="Z31"/>
  <c r="Q32"/>
  <c r="Z32"/>
  <c r="Q33"/>
  <c r="Z33" s="1"/>
  <c r="Q34"/>
  <c r="Z34" s="1"/>
  <c r="J35"/>
  <c r="W35" s="1"/>
  <c r="Q35"/>
  <c r="Z35" s="1"/>
  <c r="Q36"/>
  <c r="Z36"/>
  <c r="Q37"/>
  <c r="Z37" s="1"/>
  <c r="J38"/>
  <c r="W38" s="1"/>
  <c r="Q38"/>
  <c r="Z38"/>
  <c r="J39"/>
  <c r="AC39" s="1"/>
  <c r="Q39"/>
  <c r="Z39" s="1"/>
  <c r="Q40"/>
  <c r="Z40" s="1"/>
  <c r="Q41"/>
  <c r="Z41" s="1"/>
  <c r="Q42"/>
  <c r="Z42" s="1"/>
  <c r="J43"/>
  <c r="AC43" s="1"/>
  <c r="Q43"/>
  <c r="Z43"/>
  <c r="Q44"/>
  <c r="Z44" s="1"/>
  <c r="Q45"/>
  <c r="Z45" s="1"/>
  <c r="Q46"/>
  <c r="Z46"/>
  <c r="P47"/>
  <c r="R47"/>
  <c r="T47"/>
  <c r="V47"/>
  <c r="P48"/>
  <c r="P49"/>
  <c r="F8"/>
  <c r="AA8" s="1"/>
  <c r="E13" i="11"/>
  <c r="E12"/>
  <c r="C9" i="12"/>
  <c r="BB12" i="3"/>
  <c r="F9" i="12"/>
  <c r="D9"/>
  <c r="E9"/>
  <c r="G9"/>
  <c r="K5" i="3"/>
  <c r="J5"/>
  <c r="BE10"/>
  <c r="BD13"/>
  <c r="BE13"/>
  <c r="BF13"/>
  <c r="BG13"/>
  <c r="BG5"/>
  <c r="BH13"/>
  <c r="BI13"/>
  <c r="BI5" s="1"/>
  <c r="BJ13"/>
  <c r="BK13"/>
  <c r="BM13"/>
  <c r="BN13"/>
  <c r="BO13"/>
  <c r="BP13"/>
  <c r="BS13"/>
  <c r="BT13"/>
  <c r="BB570"/>
  <c r="BC570"/>
  <c r="BA570" s="1"/>
  <c r="AZ570" s="1"/>
  <c r="BD570"/>
  <c r="BE570"/>
  <c r="BF570"/>
  <c r="BF5" s="1"/>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H5" s="1"/>
  <c r="H571"/>
  <c r="G571" s="1"/>
  <c r="H572"/>
  <c r="F5"/>
  <c r="G27" i="6"/>
  <c r="F34" i="21"/>
  <c r="AA34" s="1"/>
  <c r="H34"/>
  <c r="U34" s="1"/>
  <c r="F43"/>
  <c r="S43" s="1"/>
  <c r="H38"/>
  <c r="AB38" s="1"/>
  <c r="H43"/>
  <c r="AB43" s="1"/>
  <c r="F32"/>
  <c r="S32" s="1"/>
  <c r="F38"/>
  <c r="S38" s="1"/>
  <c r="F36"/>
  <c r="S36" s="1"/>
  <c r="F39"/>
  <c r="AA39" s="1"/>
  <c r="J40"/>
  <c r="W40" s="1"/>
  <c r="H35"/>
  <c r="AB35" s="1"/>
  <c r="J8"/>
  <c r="AC8" s="1"/>
  <c r="J9"/>
  <c r="AC9" s="1"/>
  <c r="H8"/>
  <c r="U8" s="1"/>
  <c r="H9"/>
  <c r="AB9" s="1"/>
  <c r="H10"/>
  <c r="U10" s="1"/>
  <c r="H39"/>
  <c r="AB39" s="1"/>
  <c r="J34"/>
  <c r="W34" s="1"/>
  <c r="H36"/>
  <c r="U36" s="1"/>
  <c r="F35"/>
  <c r="AA35" s="1"/>
  <c r="J33"/>
  <c r="W33" s="1"/>
  <c r="H33"/>
  <c r="U33" s="1"/>
  <c r="F33"/>
  <c r="J10"/>
  <c r="AC10" s="1"/>
  <c r="H26"/>
  <c r="AB26" s="1"/>
  <c r="F19"/>
  <c r="AA19" s="1"/>
  <c r="H19"/>
  <c r="AB19" s="1"/>
  <c r="J19"/>
  <c r="W19" s="1"/>
  <c r="J12"/>
  <c r="H12"/>
  <c r="U12" s="1"/>
  <c r="J26"/>
  <c r="W26" s="1"/>
  <c r="F26"/>
  <c r="AA26" s="1"/>
  <c r="AB41"/>
  <c r="S41"/>
  <c r="AA41"/>
  <c r="W41"/>
  <c r="S10" i="39"/>
  <c r="U30" i="37"/>
  <c r="E103"/>
  <c r="F103" s="1"/>
  <c r="G103" s="1"/>
  <c r="H103" s="1"/>
  <c r="I103" s="1"/>
  <c r="J103" s="1"/>
  <c r="K103" s="1"/>
  <c r="L103" s="1"/>
  <c r="M103" s="1"/>
  <c r="F39"/>
  <c r="S39" s="1"/>
  <c r="F29" i="36"/>
  <c r="AA29"/>
  <c r="F16"/>
  <c r="AA16"/>
  <c r="U22"/>
  <c r="W23"/>
  <c r="W22"/>
  <c r="U26"/>
  <c r="AC31"/>
  <c r="J33"/>
  <c r="W33" s="1"/>
  <c r="AC27" i="35"/>
  <c r="U31"/>
  <c r="S34"/>
  <c r="W36"/>
  <c r="W24"/>
  <c r="S31"/>
  <c r="W31"/>
  <c r="U34"/>
  <c r="F36" i="34"/>
  <c r="S36" s="1"/>
  <c r="W9"/>
  <c r="S34"/>
  <c r="W39"/>
  <c r="H39" i="33"/>
  <c r="AB39" s="1"/>
  <c r="F26"/>
  <c r="AA26" s="1"/>
  <c r="U33"/>
  <c r="S40"/>
  <c r="S33"/>
  <c r="W33"/>
  <c r="S8" i="21"/>
  <c r="W8"/>
  <c r="H39" i="37"/>
  <c r="AB39"/>
  <c r="AB27" i="35"/>
  <c r="S10" i="40"/>
  <c r="W10"/>
  <c r="S11"/>
  <c r="U11"/>
  <c r="S36"/>
  <c r="U36"/>
  <c r="S40" i="39"/>
  <c r="S36"/>
  <c r="F11" i="21"/>
  <c r="S11" s="1"/>
  <c r="C29" i="39"/>
  <c r="C23"/>
  <c r="U36"/>
  <c r="S42"/>
  <c r="H11" i="21"/>
  <c r="U11" s="1"/>
  <c r="J11"/>
  <c r="W11" s="1"/>
  <c r="F100" i="40"/>
  <c r="AA12" i="33"/>
  <c r="J27" i="36"/>
  <c r="W27" s="1"/>
  <c r="J34"/>
  <c r="W34" s="1"/>
  <c r="J30" i="35"/>
  <c r="W30" s="1"/>
  <c r="F22"/>
  <c r="AA22" s="1"/>
  <c r="H10"/>
  <c r="U10" s="1"/>
  <c r="U29" i="36"/>
  <c r="E85"/>
  <c r="F85"/>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F19"/>
  <c r="AA19"/>
  <c r="J10"/>
  <c r="AC10"/>
  <c r="U9"/>
  <c r="W8"/>
  <c r="J28"/>
  <c r="W28"/>
  <c r="S38" i="33"/>
  <c r="E113"/>
  <c r="F37" s="1"/>
  <c r="AA37" s="1"/>
  <c r="F19"/>
  <c r="S19" s="1"/>
  <c r="J19"/>
  <c r="AC19" s="1"/>
  <c r="W40"/>
  <c r="AB30" i="36"/>
  <c r="S22" i="35"/>
  <c r="H29"/>
  <c r="U34" i="37"/>
  <c r="S34"/>
  <c r="AA34"/>
  <c r="AC43" i="34"/>
  <c r="AB42"/>
  <c r="AB40"/>
  <c r="W36"/>
  <c r="J19"/>
  <c r="AC19"/>
  <c r="S37" i="33"/>
  <c r="W43" i="34"/>
  <c r="AC42"/>
  <c r="W42"/>
  <c r="AA42"/>
  <c r="S42"/>
  <c r="AC38"/>
  <c r="W38"/>
  <c r="AA38"/>
  <c r="S38"/>
  <c r="J37" i="33"/>
  <c r="W37" s="1"/>
  <c r="J42" i="21"/>
  <c r="AC42" s="1"/>
  <c r="J44" i="34"/>
  <c r="AC44" s="1"/>
  <c r="F44"/>
  <c r="S44" s="1"/>
  <c r="J10" i="35"/>
  <c r="W10" s="1"/>
  <c r="AL5" i="3"/>
  <c r="BQ13"/>
  <c r="BL572"/>
  <c r="J14" i="21"/>
  <c r="W14" s="1"/>
  <c r="F14"/>
  <c r="AA14"/>
  <c r="H14"/>
  <c r="U14" s="1"/>
  <c r="H28"/>
  <c r="AB28" s="1"/>
  <c r="F28"/>
  <c r="S28" s="1"/>
  <c r="J28"/>
  <c r="AC28" s="1"/>
  <c r="H30"/>
  <c r="U30" s="1"/>
  <c r="F30"/>
  <c r="S30" s="1"/>
  <c r="J30"/>
  <c r="J44"/>
  <c r="AC44" s="1"/>
  <c r="H44"/>
  <c r="U44" s="1"/>
  <c r="F44"/>
  <c r="AA44" s="1"/>
  <c r="H46"/>
  <c r="AB46" s="1"/>
  <c r="J46"/>
  <c r="W46" s="1"/>
  <c r="F46"/>
  <c r="AA46" s="1"/>
  <c r="H26" i="33"/>
  <c r="U26" s="1"/>
  <c r="H28"/>
  <c r="U28" s="1"/>
  <c r="F28"/>
  <c r="AA28" s="1"/>
  <c r="J28"/>
  <c r="W28" s="1"/>
  <c r="F33" i="35"/>
  <c r="S33" s="1"/>
  <c r="J33"/>
  <c r="W33" s="1"/>
  <c r="F30"/>
  <c r="AA30" s="1"/>
  <c r="E89"/>
  <c r="F89" s="1"/>
  <c r="G89" s="1"/>
  <c r="H89" s="1"/>
  <c r="I89" s="1"/>
  <c r="J89" s="1"/>
  <c r="K89" s="1"/>
  <c r="L89" s="1"/>
  <c r="M89" s="1"/>
  <c r="H10" i="36"/>
  <c r="AB10"/>
  <c r="F28"/>
  <c r="S28"/>
  <c r="F27"/>
  <c r="S27"/>
  <c r="H13" i="21"/>
  <c r="U13" s="1"/>
  <c r="J13"/>
  <c r="AC13" s="1"/>
  <c r="F13"/>
  <c r="AA13" s="1"/>
  <c r="H27"/>
  <c r="AB27" s="1"/>
  <c r="J27"/>
  <c r="W27" s="1"/>
  <c r="F27"/>
  <c r="AA27" s="1"/>
  <c r="J29"/>
  <c r="AC29"/>
  <c r="H29"/>
  <c r="U29" s="1"/>
  <c r="F29"/>
  <c r="S29" s="1"/>
  <c r="J31"/>
  <c r="AC31" s="1"/>
  <c r="H31"/>
  <c r="U31" s="1"/>
  <c r="F31"/>
  <c r="S31" s="1"/>
  <c r="J45"/>
  <c r="W45" s="1"/>
  <c r="F45"/>
  <c r="AA45" s="1"/>
  <c r="H45"/>
  <c r="U45" s="1"/>
  <c r="F13" i="33"/>
  <c r="S13" s="1"/>
  <c r="J29"/>
  <c r="W29" s="1"/>
  <c r="J31"/>
  <c r="AC31" s="1"/>
  <c r="H31"/>
  <c r="U31" s="1"/>
  <c r="S31"/>
  <c r="J45"/>
  <c r="W45"/>
  <c r="F45"/>
  <c r="S45"/>
  <c r="F11" i="35"/>
  <c r="S11"/>
  <c r="H28" i="36"/>
  <c r="U28"/>
  <c r="H32"/>
  <c r="AB32"/>
  <c r="J32"/>
  <c r="J11"/>
  <c r="W11" s="1"/>
  <c r="H13"/>
  <c r="AB13" s="1"/>
  <c r="J13"/>
  <c r="W13" s="1"/>
  <c r="F13"/>
  <c r="S13" s="1"/>
  <c r="E89" i="37"/>
  <c r="F89" s="1"/>
  <c r="G89" s="1"/>
  <c r="H89" s="1"/>
  <c r="I89" s="1"/>
  <c r="J89" s="1"/>
  <c r="K89" s="1"/>
  <c r="L89" s="1"/>
  <c r="M89" s="1"/>
  <c r="J29"/>
  <c r="W29"/>
  <c r="F29"/>
  <c r="AA29"/>
  <c r="F105"/>
  <c r="AB36"/>
  <c r="F107"/>
  <c r="J37"/>
  <c r="AC37" s="1"/>
  <c r="H37"/>
  <c r="U37" s="1"/>
  <c r="H40"/>
  <c r="U40" s="1"/>
  <c r="J40"/>
  <c r="F40"/>
  <c r="AA40"/>
  <c r="H14" i="33"/>
  <c r="U14"/>
  <c r="F14"/>
  <c r="AA14"/>
  <c r="J14"/>
  <c r="AC14" s="1"/>
  <c r="H30"/>
  <c r="AB30" s="1"/>
  <c r="F30"/>
  <c r="S30" s="1"/>
  <c r="J30"/>
  <c r="J44"/>
  <c r="AC44" s="1"/>
  <c r="J46"/>
  <c r="AC46" s="1"/>
  <c r="F46"/>
  <c r="AA46" s="1"/>
  <c r="H46"/>
  <c r="AB46" s="1"/>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U30" i="33"/>
  <c r="J36" i="37"/>
  <c r="AC36" s="1"/>
  <c r="G105"/>
  <c r="AB28" i="36"/>
  <c r="AB31" i="21"/>
  <c r="AB13"/>
  <c r="S46"/>
  <c r="U46"/>
  <c r="AC30"/>
  <c r="W30"/>
  <c r="AB30"/>
  <c r="AA28"/>
  <c r="AB14"/>
  <c r="AC14"/>
  <c r="W31" i="34"/>
  <c r="S46" i="33"/>
  <c r="U36" i="37"/>
  <c r="AC13" i="36"/>
  <c r="AB31" i="33"/>
  <c r="S45" i="21"/>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s="1"/>
  <c r="BA565"/>
  <c r="BA561"/>
  <c r="AZ561" s="1"/>
  <c r="BA559"/>
  <c r="AZ559" s="1"/>
  <c r="BA557"/>
  <c r="AZ557"/>
  <c r="BA555"/>
  <c r="AZ555"/>
  <c r="BA551"/>
  <c r="AZ551"/>
  <c r="BA545"/>
  <c r="BA543"/>
  <c r="BA541"/>
  <c r="AZ541"/>
  <c r="BA531"/>
  <c r="BA521"/>
  <c r="BA509"/>
  <c r="BA505"/>
  <c r="BA501"/>
  <c r="BA493"/>
  <c r="AZ493" s="1"/>
  <c r="BA487"/>
  <c r="BA19"/>
  <c r="BA572"/>
  <c r="AZ572" s="1"/>
  <c r="BA566"/>
  <c r="BA562"/>
  <c r="AZ562" s="1"/>
  <c r="BA560"/>
  <c r="BA558"/>
  <c r="BA556"/>
  <c r="BA554"/>
  <c r="BA550"/>
  <c r="BA546"/>
  <c r="BA544"/>
  <c r="AZ544" s="1"/>
  <c r="BA540"/>
  <c r="BA536"/>
  <c r="BA532"/>
  <c r="BA528"/>
  <c r="BA524"/>
  <c r="BA520"/>
  <c r="BA516"/>
  <c r="BA512"/>
  <c r="BA508"/>
  <c r="BA502"/>
  <c r="BA498"/>
  <c r="BA492"/>
  <c r="AZ492" s="1"/>
  <c r="BA488"/>
  <c r="BA484"/>
  <c r="BA20"/>
  <c r="AZ545"/>
  <c r="G566"/>
  <c r="G562"/>
  <c r="G560"/>
  <c r="G558"/>
  <c r="G556"/>
  <c r="G554"/>
  <c r="G550"/>
  <c r="G546"/>
  <c r="BL543"/>
  <c r="AZ543"/>
  <c r="BA542"/>
  <c r="AC542"/>
  <c r="G542" s="1"/>
  <c r="BQ542"/>
  <c r="BL542" s="1"/>
  <c r="AZ542" s="1"/>
  <c r="BQ568"/>
  <c r="BQ566"/>
  <c r="BQ564"/>
  <c r="BL564"/>
  <c r="BQ562"/>
  <c r="BL562"/>
  <c r="BQ560"/>
  <c r="BL560" s="1"/>
  <c r="AZ560" s="1"/>
  <c r="BQ558"/>
  <c r="BL558" s="1"/>
  <c r="AZ558" s="1"/>
  <c r="BQ556"/>
  <c r="BL556" s="1"/>
  <c r="AZ556" s="1"/>
  <c r="BQ554"/>
  <c r="BQ552"/>
  <c r="BL552" s="1"/>
  <c r="AZ552" s="1"/>
  <c r="BQ550"/>
  <c r="BL550" s="1"/>
  <c r="AZ550" s="1"/>
  <c r="BQ548"/>
  <c r="BQ546"/>
  <c r="BL546"/>
  <c r="BQ544"/>
  <c r="BL544"/>
  <c r="G544"/>
  <c r="G538"/>
  <c r="G534"/>
  <c r="G530"/>
  <c r="G526"/>
  <c r="G522"/>
  <c r="BQ540"/>
  <c r="BL540" s="1"/>
  <c r="AZ540" s="1"/>
  <c r="BQ538"/>
  <c r="BL538" s="1"/>
  <c r="BQ536"/>
  <c r="BQ534"/>
  <c r="BL534"/>
  <c r="BQ532"/>
  <c r="BL532"/>
  <c r="BQ530"/>
  <c r="BQ528"/>
  <c r="BQ526"/>
  <c r="BL526"/>
  <c r="BQ524"/>
  <c r="BL524"/>
  <c r="BQ522"/>
  <c r="BQ520"/>
  <c r="BL520" s="1"/>
  <c r="BQ518"/>
  <c r="BQ516"/>
  <c r="BL516"/>
  <c r="BQ514"/>
  <c r="BL514"/>
  <c r="BQ512"/>
  <c r="BQ510"/>
  <c r="BL510" s="1"/>
  <c r="AZ510" s="1"/>
  <c r="BQ508"/>
  <c r="BL508" s="1"/>
  <c r="AZ508" s="1"/>
  <c r="AC506"/>
  <c r="G506" s="1"/>
  <c r="BQ506"/>
  <c r="G502"/>
  <c r="G498"/>
  <c r="BQ504"/>
  <c r="BQ502"/>
  <c r="BL502" s="1"/>
  <c r="AZ502" s="1"/>
  <c r="BQ500"/>
  <c r="BL500" s="1"/>
  <c r="AZ500" s="1"/>
  <c r="BQ498"/>
  <c r="BQ496"/>
  <c r="AC494"/>
  <c r="BQ494"/>
  <c r="BL493"/>
  <c r="G492"/>
  <c r="G488"/>
  <c r="G484"/>
  <c r="G20"/>
  <c r="BQ492"/>
  <c r="BL492"/>
  <c r="BQ490"/>
  <c r="BQ488"/>
  <c r="BL488" s="1"/>
  <c r="AZ488" s="1"/>
  <c r="BQ486"/>
  <c r="BQ484"/>
  <c r="BL484"/>
  <c r="AZ484" s="1"/>
  <c r="BQ482"/>
  <c r="BL482"/>
  <c r="BQ20"/>
  <c r="BL20"/>
  <c r="AZ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c r="G125" s="1"/>
  <c r="H43"/>
  <c r="U43" s="1"/>
  <c r="H17" i="37"/>
  <c r="U17"/>
  <c r="F23"/>
  <c r="S23"/>
  <c r="F79"/>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F123" i="33"/>
  <c r="G123" s="1"/>
  <c r="H123" s="1"/>
  <c r="I123" s="1"/>
  <c r="J123" s="1"/>
  <c r="K123" s="1"/>
  <c r="L123" s="1"/>
  <c r="M123" s="1"/>
  <c r="H42"/>
  <c r="U42" s="1"/>
  <c r="J43"/>
  <c r="AC43" s="1"/>
  <c r="G79" i="37"/>
  <c r="J23"/>
  <c r="W23"/>
  <c r="F17"/>
  <c r="AA17"/>
  <c r="D3" i="21"/>
  <c r="AC33" i="36"/>
  <c r="AC12" i="35"/>
  <c r="AC23" i="37"/>
  <c r="S27"/>
  <c r="U39"/>
  <c r="AC8"/>
  <c r="S25"/>
  <c r="AC36" i="34"/>
  <c r="AB8"/>
  <c r="AC37" i="33"/>
  <c r="AA13"/>
  <c r="AC45"/>
  <c r="AC33" i="21"/>
  <c r="F43" i="33"/>
  <c r="AA43" s="1"/>
  <c r="AA23" i="37"/>
  <c r="S10" i="35"/>
  <c r="G107" i="37"/>
  <c r="H107"/>
  <c r="I107" s="1"/>
  <c r="J107" s="1"/>
  <c r="K107" s="1"/>
  <c r="L107" s="1"/>
  <c r="M107" s="1"/>
  <c r="H19" i="34"/>
  <c r="AB19" s="1"/>
  <c r="J10" i="37"/>
  <c r="W10" s="1"/>
  <c r="F36" i="35"/>
  <c r="S36" s="1"/>
  <c r="J9" i="37"/>
  <c r="W9" s="1"/>
  <c r="H9"/>
  <c r="U9" s="1"/>
  <c r="F9"/>
  <c r="S9" s="1"/>
  <c r="F11"/>
  <c r="S11" s="1"/>
  <c r="J12"/>
  <c r="AC12" s="1"/>
  <c r="H12"/>
  <c r="AB12" s="1"/>
  <c r="F12"/>
  <c r="AA12" s="1"/>
  <c r="H15"/>
  <c r="U15" s="1"/>
  <c r="E94"/>
  <c r="F94" s="1"/>
  <c r="G94" s="1"/>
  <c r="H94" s="1"/>
  <c r="I94" s="1"/>
  <c r="J94" s="1"/>
  <c r="K94" s="1"/>
  <c r="L94" s="1"/>
  <c r="M94" s="1"/>
  <c r="F31"/>
  <c r="S31"/>
  <c r="H31"/>
  <c r="AB31"/>
  <c r="J15"/>
  <c r="W15"/>
  <c r="AB10"/>
  <c r="J11"/>
  <c r="W11"/>
  <c r="U31"/>
  <c r="E90" i="40"/>
  <c r="F90" s="1"/>
  <c r="G90" s="1"/>
  <c r="F21"/>
  <c r="S21"/>
  <c r="W36"/>
  <c r="U40" i="39"/>
  <c r="J21" i="40"/>
  <c r="AC21" s="1"/>
  <c r="S27" i="31"/>
  <c r="G483" i="3"/>
  <c r="G515"/>
  <c r="G507"/>
  <c r="G501"/>
  <c r="BA15"/>
  <c r="BL17"/>
  <c r="BL15"/>
  <c r="BA14"/>
  <c r="AZ14" s="1"/>
  <c r="BT5"/>
  <c r="J57" i="39"/>
  <c r="H13" i="40"/>
  <c r="U13"/>
  <c r="H12" i="48"/>
  <c r="I4" i="4"/>
  <c r="K141" i="21"/>
  <c r="K143"/>
  <c r="K144"/>
  <c r="I59" i="40"/>
  <c r="C59" s="1"/>
  <c r="I60"/>
  <c r="C60" s="1"/>
  <c r="G297" i="3"/>
  <c r="BL298"/>
  <c r="G299"/>
  <c r="BL300"/>
  <c r="BA302"/>
  <c r="AZ302"/>
  <c r="BA303"/>
  <c r="BL303"/>
  <c r="AZ303" s="1"/>
  <c r="G304"/>
  <c r="BA305"/>
  <c r="AZ305" s="1"/>
  <c r="G321"/>
  <c r="BL322"/>
  <c r="G323"/>
  <c r="BL324"/>
  <c r="BA326"/>
  <c r="AZ326" s="1"/>
  <c r="BA327"/>
  <c r="BL327"/>
  <c r="AZ327"/>
  <c r="G328"/>
  <c r="BA329"/>
  <c r="AZ329" s="1"/>
  <c r="G337"/>
  <c r="BL338"/>
  <c r="G339"/>
  <c r="BL340"/>
  <c r="BA342"/>
  <c r="AZ342" s="1"/>
  <c r="BA343"/>
  <c r="BL343"/>
  <c r="AZ343"/>
  <c r="G344"/>
  <c r="BA345"/>
  <c r="AZ345" s="1"/>
  <c r="G353"/>
  <c r="BL354"/>
  <c r="G355"/>
  <c r="BL356"/>
  <c r="G357"/>
  <c r="BL358"/>
  <c r="AZ358"/>
  <c r="G359"/>
  <c r="BA360"/>
  <c r="AZ360" s="1"/>
  <c r="BA361"/>
  <c r="AZ361" s="1"/>
  <c r="BL361"/>
  <c r="G362"/>
  <c r="BA363"/>
  <c r="G371"/>
  <c r="BL372"/>
  <c r="G373"/>
  <c r="BL374"/>
  <c r="BA376"/>
  <c r="AZ376" s="1"/>
  <c r="BA377"/>
  <c r="AZ377" s="1"/>
  <c r="BL377"/>
  <c r="G378"/>
  <c r="BA379"/>
  <c r="AZ379" s="1"/>
  <c r="BA114"/>
  <c r="AZ114"/>
  <c r="BL115"/>
  <c r="AZ115"/>
  <c r="G116"/>
  <c r="BA118"/>
  <c r="AZ118" s="1"/>
  <c r="BL119"/>
  <c r="AZ119" s="1"/>
  <c r="G120"/>
  <c r="BA122"/>
  <c r="AZ122"/>
  <c r="BL123"/>
  <c r="AZ123"/>
  <c r="G124"/>
  <c r="BA126"/>
  <c r="AZ126" s="1"/>
  <c r="BL127"/>
  <c r="AZ127" s="1"/>
  <c r="G128"/>
  <c r="BA130"/>
  <c r="AZ130" s="1"/>
  <c r="BL131"/>
  <c r="AZ131" s="1"/>
  <c r="G132"/>
  <c r="BA134"/>
  <c r="AZ134"/>
  <c r="BL135"/>
  <c r="AZ135"/>
  <c r="G136"/>
  <c r="BA138"/>
  <c r="AZ138" s="1"/>
  <c r="BL139"/>
  <c r="AZ139" s="1"/>
  <c r="G140"/>
  <c r="BA142"/>
  <c r="AZ142"/>
  <c r="BL143"/>
  <c r="G144"/>
  <c r="BA146"/>
  <c r="AZ146"/>
  <c r="BL147"/>
  <c r="AZ147"/>
  <c r="G148"/>
  <c r="BA150"/>
  <c r="AZ150" s="1"/>
  <c r="BL151"/>
  <c r="AZ151" s="1"/>
  <c r="BA153"/>
  <c r="AZ153" s="1"/>
  <c r="BL154"/>
  <c r="G155"/>
  <c r="BA157"/>
  <c r="AZ157" s="1"/>
  <c r="BL158"/>
  <c r="AZ158" s="1"/>
  <c r="G159"/>
  <c r="BA161"/>
  <c r="AZ161" s="1"/>
  <c r="BL162"/>
  <c r="G163"/>
  <c r="BA165"/>
  <c r="AZ165" s="1"/>
  <c r="BL166"/>
  <c r="AZ166" s="1"/>
  <c r="G167"/>
  <c r="BA169"/>
  <c r="AZ169" s="1"/>
  <c r="BL170"/>
  <c r="G171"/>
  <c r="BA173"/>
  <c r="AZ173" s="1"/>
  <c r="BL174"/>
  <c r="AZ174" s="1"/>
  <c r="G175"/>
  <c r="BA178"/>
  <c r="AZ178" s="1"/>
  <c r="BL179"/>
  <c r="G180"/>
  <c r="AZ23"/>
  <c r="AZ27"/>
  <c r="AZ39"/>
  <c r="AZ43"/>
  <c r="AZ55"/>
  <c r="AZ59"/>
  <c r="G537"/>
  <c r="BL181"/>
  <c r="AZ181"/>
  <c r="G182"/>
  <c r="BA184"/>
  <c r="AZ184" s="1"/>
  <c r="BL185"/>
  <c r="G186"/>
  <c r="BA188"/>
  <c r="AZ188" s="1"/>
  <c r="BL189"/>
  <c r="AZ189" s="1"/>
  <c r="G190"/>
  <c r="BA192"/>
  <c r="AZ192"/>
  <c r="BL193"/>
  <c r="AZ193"/>
  <c r="G194"/>
  <c r="BA196"/>
  <c r="AZ196" s="1"/>
  <c r="BL197"/>
  <c r="AZ197" s="1"/>
  <c r="G198"/>
  <c r="BA200"/>
  <c r="AZ200"/>
  <c r="BL201"/>
  <c r="AZ70"/>
  <c r="AZ74"/>
  <c r="AZ185"/>
  <c r="AZ201"/>
  <c r="AZ84"/>
  <c r="AZ90"/>
  <c r="AZ94"/>
  <c r="AZ106"/>
  <c r="AZ110"/>
  <c r="G491"/>
  <c r="BA298"/>
  <c r="AZ298" s="1"/>
  <c r="BA299"/>
  <c r="AZ299" s="1"/>
  <c r="BL299"/>
  <c r="G300"/>
  <c r="G303"/>
  <c r="BL304"/>
  <c r="BA306"/>
  <c r="AZ306" s="1"/>
  <c r="BA307"/>
  <c r="BL307"/>
  <c r="AZ307"/>
  <c r="G308"/>
  <c r="G319"/>
  <c r="BL320"/>
  <c r="BA322"/>
  <c r="BA323"/>
  <c r="AZ323"/>
  <c r="BL323"/>
  <c r="G324"/>
  <c r="G327"/>
  <c r="BL328"/>
  <c r="BA330"/>
  <c r="AZ330"/>
  <c r="BA331"/>
  <c r="BL331"/>
  <c r="G332"/>
  <c r="G335"/>
  <c r="BL336"/>
  <c r="BA338"/>
  <c r="AZ338" s="1"/>
  <c r="BA339"/>
  <c r="BL339"/>
  <c r="G340"/>
  <c r="G343"/>
  <c r="BL344"/>
  <c r="BA346"/>
  <c r="AZ346"/>
  <c r="BA347"/>
  <c r="BL347"/>
  <c r="AZ347" s="1"/>
  <c r="G348"/>
  <c r="G351"/>
  <c r="BL352"/>
  <c r="BA354"/>
  <c r="AZ354" s="1"/>
  <c r="BA355"/>
  <c r="AZ355"/>
  <c r="BL355"/>
  <c r="G356"/>
  <c r="AZ143"/>
  <c r="BA358"/>
  <c r="BA359"/>
  <c r="BL359"/>
  <c r="AZ359"/>
  <c r="G360"/>
  <c r="G361"/>
  <c r="BL362"/>
  <c r="BA364"/>
  <c r="AZ364" s="1"/>
  <c r="BA365"/>
  <c r="AZ365" s="1"/>
  <c r="BL365"/>
  <c r="G366"/>
  <c r="G369"/>
  <c r="BL370"/>
  <c r="BA372"/>
  <c r="AZ372"/>
  <c r="BA373"/>
  <c r="BL373"/>
  <c r="AZ373" s="1"/>
  <c r="G374"/>
  <c r="G377"/>
  <c r="BL378"/>
  <c r="BA380"/>
  <c r="AZ380"/>
  <c r="BA381"/>
  <c r="AZ381"/>
  <c r="BL381"/>
  <c r="G382"/>
  <c r="G385"/>
  <c r="AZ154"/>
  <c r="AZ162"/>
  <c r="AZ170"/>
  <c r="AZ179"/>
  <c r="AZ183"/>
  <c r="AZ187"/>
  <c r="AZ191"/>
  <c r="AZ195"/>
  <c r="AZ199"/>
  <c r="AZ203"/>
  <c r="G523"/>
  <c r="BL297"/>
  <c r="AZ297" s="1"/>
  <c r="G298"/>
  <c r="BA300"/>
  <c r="BL301"/>
  <c r="AZ301" s="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AZ370" s="1"/>
  <c r="BL371"/>
  <c r="AZ371"/>
  <c r="G372"/>
  <c r="BA374"/>
  <c r="AZ374" s="1"/>
  <c r="BL375"/>
  <c r="G376"/>
  <c r="BA378"/>
  <c r="AZ378" s="1"/>
  <c r="BL379"/>
  <c r="G380"/>
  <c r="BA382"/>
  <c r="AZ382"/>
  <c r="BL383"/>
  <c r="G384"/>
  <c r="AZ249"/>
  <c r="AZ253"/>
  <c r="AZ257"/>
  <c r="AZ261"/>
  <c r="AZ265"/>
  <c r="AZ375"/>
  <c r="AZ383"/>
  <c r="AZ270"/>
  <c r="AZ274"/>
  <c r="AZ278"/>
  <c r="AZ282"/>
  <c r="AZ286"/>
  <c r="AZ290"/>
  <c r="AZ295"/>
  <c r="AZ311"/>
  <c r="AZ313"/>
  <c r="AZ315"/>
  <c r="AZ319"/>
  <c r="AZ331"/>
  <c r="AZ335"/>
  <c r="AZ339"/>
  <c r="AZ35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AB16" i="35"/>
  <c r="AB15" i="37"/>
  <c r="U43" i="21"/>
  <c r="AA13" i="40"/>
  <c r="E78"/>
  <c r="F78"/>
  <c r="G78" s="1"/>
  <c r="H78" s="1"/>
  <c r="I78" s="1"/>
  <c r="J78" s="1"/>
  <c r="K78" s="1"/>
  <c r="L78" s="1"/>
  <c r="M78" s="1"/>
  <c r="BH5" i="3"/>
  <c r="R16" i="4"/>
  <c r="P16"/>
  <c r="D3" i="35"/>
  <c r="G4" i="4"/>
  <c r="S37" i="34"/>
  <c r="J16" i="35"/>
  <c r="W16" s="1"/>
  <c r="AC26" i="36"/>
  <c r="W25" i="35"/>
  <c r="AZ300" i="3"/>
  <c r="AZ322"/>
  <c r="H13" i="39"/>
  <c r="AB13"/>
  <c r="F13"/>
  <c r="J13"/>
  <c r="AC13" s="1"/>
  <c r="AA36" i="35"/>
  <c r="H11" i="37"/>
  <c r="AB11"/>
  <c r="W37"/>
  <c r="AA30" i="33"/>
  <c r="AB17" i="37"/>
  <c r="AZ516" i="3"/>
  <c r="AZ524"/>
  <c r="AZ532"/>
  <c r="AZ546"/>
  <c r="AA45" i="33"/>
  <c r="AC11" i="36"/>
  <c r="AC10"/>
  <c r="AB45" i="34"/>
  <c r="AC14" i="37"/>
  <c r="AB35" i="35"/>
  <c r="S25"/>
  <c r="AC30" i="33"/>
  <c r="W30"/>
  <c r="AC29" i="37"/>
  <c r="W32" i="36"/>
  <c r="AC32"/>
  <c r="AB28" i="33"/>
  <c r="J33" i="34"/>
  <c r="AC33" s="1"/>
  <c r="AB36"/>
  <c r="J40"/>
  <c r="W40"/>
  <c r="F16" i="35"/>
  <c r="AA16"/>
  <c r="S24" i="36"/>
  <c r="W42" i="33"/>
  <c r="J35" i="34"/>
  <c r="W35"/>
  <c r="S30" i="36"/>
  <c r="H16"/>
  <c r="AB16" s="1"/>
  <c r="H35" i="37"/>
  <c r="AB35"/>
  <c r="AB12" i="21"/>
  <c r="H32"/>
  <c r="U32" s="1"/>
  <c r="U26"/>
  <c r="AA33"/>
  <c r="S33"/>
  <c r="U39"/>
  <c r="J32"/>
  <c r="AC32" s="1"/>
  <c r="G13" i="3"/>
  <c r="AC5"/>
  <c r="F17" i="21"/>
  <c r="S17" s="1"/>
  <c r="H17"/>
  <c r="AB17" s="1"/>
  <c r="J17"/>
  <c r="AC17" s="1"/>
  <c r="F40"/>
  <c r="S40" s="1"/>
  <c r="H40"/>
  <c r="AB40" s="1"/>
  <c r="E119"/>
  <c r="F119"/>
  <c r="G119" s="1"/>
  <c r="H119" s="1"/>
  <c r="I119" s="1"/>
  <c r="J119" s="1"/>
  <c r="K119" s="1"/>
  <c r="L119" s="1"/>
  <c r="M119" s="1"/>
  <c r="AA8" i="33"/>
  <c r="S8"/>
  <c r="AC8"/>
  <c r="H66"/>
  <c r="F10"/>
  <c r="AA10" s="1"/>
  <c r="F11"/>
  <c r="S11" s="1"/>
  <c r="J15"/>
  <c r="W15" s="1"/>
  <c r="H19"/>
  <c r="AB19" s="1"/>
  <c r="J32"/>
  <c r="AC32" s="1"/>
  <c r="F35"/>
  <c r="AA35" s="1"/>
  <c r="AB39" i="34"/>
  <c r="F11"/>
  <c r="S11"/>
  <c r="E80"/>
  <c r="F80"/>
  <c r="H17"/>
  <c r="AB17"/>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c r="F96" i="37"/>
  <c r="H32"/>
  <c r="AB32" s="1"/>
  <c r="F19" i="39"/>
  <c r="S19" s="1"/>
  <c r="H19"/>
  <c r="J19"/>
  <c r="W19"/>
  <c r="F43"/>
  <c r="H43"/>
  <c r="U43" s="1"/>
  <c r="J43"/>
  <c r="F99" i="37"/>
  <c r="AC27"/>
  <c r="U25" i="35"/>
  <c r="S45" i="34"/>
  <c r="U31"/>
  <c r="AC40" i="37"/>
  <c r="W40"/>
  <c r="AC45" i="21"/>
  <c r="S28" i="33"/>
  <c r="S14" i="21"/>
  <c r="AA44" i="34"/>
  <c r="AB29" i="35"/>
  <c r="U29"/>
  <c r="W19" i="33"/>
  <c r="U43" i="34"/>
  <c r="AB43"/>
  <c r="AC34" i="37"/>
  <c r="S35"/>
  <c r="AA35"/>
  <c r="AB10" i="35"/>
  <c r="AA32" i="21"/>
  <c r="U38"/>
  <c r="AB34"/>
  <c r="BL571" i="3"/>
  <c r="BA571"/>
  <c r="AZ571"/>
  <c r="BL570"/>
  <c r="BE5"/>
  <c r="F42" i="21"/>
  <c r="AA42" s="1"/>
  <c r="AB40" i="33"/>
  <c r="U40"/>
  <c r="AA35" i="34"/>
  <c r="S35"/>
  <c r="E90"/>
  <c r="H27"/>
  <c r="AB27" s="1"/>
  <c r="AB8" i="35"/>
  <c r="U8"/>
  <c r="S9"/>
  <c r="J14"/>
  <c r="AC14"/>
  <c r="F14"/>
  <c r="H14"/>
  <c r="U14" s="1"/>
  <c r="E80"/>
  <c r="F80" s="1"/>
  <c r="E94"/>
  <c r="F94"/>
  <c r="G94" s="1"/>
  <c r="H94" s="1"/>
  <c r="I94" s="1"/>
  <c r="J94" s="1"/>
  <c r="K94" s="1"/>
  <c r="L94" s="1"/>
  <c r="M94" s="1"/>
  <c r="J32"/>
  <c r="AC32" s="1"/>
  <c r="H11" i="36"/>
  <c r="AB11" s="1"/>
  <c r="F11"/>
  <c r="S11" s="1"/>
  <c r="W16"/>
  <c r="AC16"/>
  <c r="E78"/>
  <c r="F78" s="1"/>
  <c r="G78" s="1"/>
  <c r="H78" s="1"/>
  <c r="I78" s="1"/>
  <c r="J78" s="1"/>
  <c r="K78" s="1"/>
  <c r="L78" s="1"/>
  <c r="M78" s="1"/>
  <c r="F26"/>
  <c r="S26"/>
  <c r="H33"/>
  <c r="U33"/>
  <c r="F33"/>
  <c r="AA33"/>
  <c r="H27"/>
  <c r="AB27"/>
  <c r="AA31"/>
  <c r="AC25" i="37"/>
  <c r="AB29"/>
  <c r="AA30"/>
  <c r="S30"/>
  <c r="AC30"/>
  <c r="AC31"/>
  <c r="W31"/>
  <c r="F17" i="39"/>
  <c r="AA17" s="1"/>
  <c r="H17"/>
  <c r="U17" s="1"/>
  <c r="J17"/>
  <c r="W17" s="1"/>
  <c r="F21"/>
  <c r="S21" s="1"/>
  <c r="H21"/>
  <c r="AB21" s="1"/>
  <c r="J21"/>
  <c r="W21"/>
  <c r="F33"/>
  <c r="H33"/>
  <c r="U33" s="1"/>
  <c r="J33"/>
  <c r="AC33" s="1"/>
  <c r="F44"/>
  <c r="S44"/>
  <c r="H44"/>
  <c r="U44"/>
  <c r="J44"/>
  <c r="W44"/>
  <c r="E128"/>
  <c r="F128"/>
  <c r="G128" s="1"/>
  <c r="H128" s="1"/>
  <c r="I128" s="1"/>
  <c r="J128" s="1"/>
  <c r="K128" s="1"/>
  <c r="L128" s="1"/>
  <c r="M128" s="1"/>
  <c r="F46"/>
  <c r="S46" s="1"/>
  <c r="H46"/>
  <c r="U46" s="1"/>
  <c r="J46"/>
  <c r="W46" s="1"/>
  <c r="F29"/>
  <c r="AA29" s="1"/>
  <c r="E103"/>
  <c r="F103" s="1"/>
  <c r="G103" s="1"/>
  <c r="H29"/>
  <c r="U29"/>
  <c r="F34"/>
  <c r="AA34"/>
  <c r="H34"/>
  <c r="AB34"/>
  <c r="J34"/>
  <c r="AC34"/>
  <c r="F39"/>
  <c r="H39"/>
  <c r="AB39" s="1"/>
  <c r="J39"/>
  <c r="AC39" s="1"/>
  <c r="J29" i="35"/>
  <c r="AC29"/>
  <c r="F29"/>
  <c r="S29"/>
  <c r="W30" i="36"/>
  <c r="AC30"/>
  <c r="F37" i="39"/>
  <c r="S37"/>
  <c r="H37"/>
  <c r="U37"/>
  <c r="J37"/>
  <c r="W37"/>
  <c r="BL568" i="3"/>
  <c r="BA568"/>
  <c r="AZ568" s="1"/>
  <c r="BL567"/>
  <c r="BA567"/>
  <c r="AZ567"/>
  <c r="BL566"/>
  <c r="AZ566"/>
  <c r="BL565"/>
  <c r="AZ565"/>
  <c r="BA564"/>
  <c r="AZ564"/>
  <c r="BA563"/>
  <c r="AZ563"/>
  <c r="BL554"/>
  <c r="AZ554"/>
  <c r="BA553"/>
  <c r="AZ553"/>
  <c r="BA552"/>
  <c r="BL549"/>
  <c r="BA549"/>
  <c r="AZ549" s="1"/>
  <c r="BL548"/>
  <c r="BA548"/>
  <c r="BL547"/>
  <c r="BA547"/>
  <c r="AZ547" s="1"/>
  <c r="BL539"/>
  <c r="BA539"/>
  <c r="AZ539" s="1"/>
  <c r="BA538"/>
  <c r="AZ538" s="1"/>
  <c r="BL537"/>
  <c r="BA537"/>
  <c r="BL536"/>
  <c r="AZ536" s="1"/>
  <c r="BA535"/>
  <c r="AZ535" s="1"/>
  <c r="BA534"/>
  <c r="AZ534" s="1"/>
  <c r="BA533"/>
  <c r="AZ533" s="1"/>
  <c r="BL531"/>
  <c r="AZ531" s="1"/>
  <c r="BL530"/>
  <c r="AZ530" s="1"/>
  <c r="BA530"/>
  <c r="BL529"/>
  <c r="BA529"/>
  <c r="BL528"/>
  <c r="AZ528" s="1"/>
  <c r="BA527"/>
  <c r="AZ527" s="1"/>
  <c r="BA526"/>
  <c r="AZ526" s="1"/>
  <c r="BA525"/>
  <c r="AZ525" s="1"/>
  <c r="BL523"/>
  <c r="BA523"/>
  <c r="AZ523"/>
  <c r="BL522"/>
  <c r="BA522"/>
  <c r="AZ522" s="1"/>
  <c r="BL521"/>
  <c r="AZ521" s="1"/>
  <c r="BA519"/>
  <c r="AZ519" s="1"/>
  <c r="BL518"/>
  <c r="BA518"/>
  <c r="AZ518"/>
  <c r="BL517"/>
  <c r="BA517"/>
  <c r="AZ517" s="1"/>
  <c r="BL515"/>
  <c r="AZ515" s="1"/>
  <c r="BA515"/>
  <c r="BA514"/>
  <c r="AZ514" s="1"/>
  <c r="BL513"/>
  <c r="BA513"/>
  <c r="AZ513"/>
  <c r="BL512"/>
  <c r="AZ512"/>
  <c r="BA511"/>
  <c r="AZ511"/>
  <c r="BA510"/>
  <c r="BL509"/>
  <c r="AZ509"/>
  <c r="BL507"/>
  <c r="BA507"/>
  <c r="AZ507" s="1"/>
  <c r="BL506"/>
  <c r="BA506"/>
  <c r="AZ506"/>
  <c r="BL505"/>
  <c r="AZ505"/>
  <c r="BL504"/>
  <c r="BA504"/>
  <c r="BA503"/>
  <c r="AZ503"/>
  <c r="BA500"/>
  <c r="BL499"/>
  <c r="BA499"/>
  <c r="AZ499" s="1"/>
  <c r="BL498"/>
  <c r="AZ498" s="1"/>
  <c r="BL497"/>
  <c r="AZ497" s="1"/>
  <c r="BA497"/>
  <c r="BL496"/>
  <c r="BA496"/>
  <c r="AZ496"/>
  <c r="BA495"/>
  <c r="AZ495"/>
  <c r="BL494"/>
  <c r="BA494"/>
  <c r="AZ494" s="1"/>
  <c r="G494"/>
  <c r="BA491"/>
  <c r="AZ491"/>
  <c r="BL490"/>
  <c r="BA490"/>
  <c r="AZ490" s="1"/>
  <c r="BL489"/>
  <c r="BA489"/>
  <c r="AZ489"/>
  <c r="BL487"/>
  <c r="AZ487"/>
  <c r="BL486"/>
  <c r="BA486"/>
  <c r="BA485"/>
  <c r="AZ485"/>
  <c r="BA483"/>
  <c r="AZ483"/>
  <c r="BA482"/>
  <c r="AZ482"/>
  <c r="BL481"/>
  <c r="BJ5"/>
  <c r="BA481"/>
  <c r="AZ481"/>
  <c r="BB5"/>
  <c r="BL19"/>
  <c r="AZ19" s="1"/>
  <c r="BA18"/>
  <c r="F36" i="44"/>
  <c r="F114" i="34"/>
  <c r="G114" s="1"/>
  <c r="H114" s="1"/>
  <c r="I114" s="1"/>
  <c r="J114" s="1"/>
  <c r="K114" s="1"/>
  <c r="L114" s="1"/>
  <c r="M114" s="1"/>
  <c r="H38"/>
  <c r="U38" s="1"/>
  <c r="H30" i="40"/>
  <c r="AB30" s="1"/>
  <c r="G100"/>
  <c r="H100" s="1"/>
  <c r="J30"/>
  <c r="AC30"/>
  <c r="F38"/>
  <c r="AA38"/>
  <c r="AA36" i="34"/>
  <c r="AC12" i="21"/>
  <c r="W12"/>
  <c r="AB33"/>
  <c r="AB10"/>
  <c r="AB8"/>
  <c r="S34"/>
  <c r="AC36"/>
  <c r="AB8" i="33"/>
  <c r="U8"/>
  <c r="E106"/>
  <c r="H34"/>
  <c r="U34" s="1"/>
  <c r="F34"/>
  <c r="S34" s="1"/>
  <c r="E121"/>
  <c r="F41"/>
  <c r="S41" s="1"/>
  <c r="AC34" i="34"/>
  <c r="W34"/>
  <c r="AA39"/>
  <c r="S39"/>
  <c r="S43"/>
  <c r="E78"/>
  <c r="F15"/>
  <c r="AA15" s="1"/>
  <c r="AC28" i="35"/>
  <c r="W28"/>
  <c r="J20"/>
  <c r="AC20"/>
  <c r="E72"/>
  <c r="F72"/>
  <c r="G72" s="1"/>
  <c r="H22"/>
  <c r="AB22" s="1"/>
  <c r="H23"/>
  <c r="U23" s="1"/>
  <c r="F23"/>
  <c r="AA23"/>
  <c r="W12" i="36"/>
  <c r="AC12"/>
  <c r="U31"/>
  <c r="S8" i="37"/>
  <c r="AA8"/>
  <c r="F14" i="39"/>
  <c r="AA14" s="1"/>
  <c r="H14"/>
  <c r="AB14" s="1"/>
  <c r="J14"/>
  <c r="AC14" s="1"/>
  <c r="F16"/>
  <c r="AA16" s="1"/>
  <c r="H16"/>
  <c r="J16"/>
  <c r="AC16" s="1"/>
  <c r="F23"/>
  <c r="AA23" s="1"/>
  <c r="E97"/>
  <c r="F97" s="1"/>
  <c r="F27"/>
  <c r="AA27"/>
  <c r="H27"/>
  <c r="AB27"/>
  <c r="J27"/>
  <c r="AC27"/>
  <c r="F15" i="40"/>
  <c r="AA15"/>
  <c r="J15"/>
  <c r="H15"/>
  <c r="E92"/>
  <c r="F92" s="1"/>
  <c r="H23"/>
  <c r="H41"/>
  <c r="F41"/>
  <c r="AA41" s="1"/>
  <c r="J41"/>
  <c r="AC41" s="1"/>
  <c r="H37" i="34"/>
  <c r="F15" i="39"/>
  <c r="AA15" s="1"/>
  <c r="H15"/>
  <c r="U15" s="1"/>
  <c r="J15"/>
  <c r="H25"/>
  <c r="U25" s="1"/>
  <c r="J25"/>
  <c r="AC25" s="1"/>
  <c r="F25"/>
  <c r="AA25" s="1"/>
  <c r="F45"/>
  <c r="AA45" s="1"/>
  <c r="H45"/>
  <c r="U45" s="1"/>
  <c r="J45"/>
  <c r="AC45" s="1"/>
  <c r="F47"/>
  <c r="H47"/>
  <c r="AB47" s="1"/>
  <c r="J47"/>
  <c r="W47" s="1"/>
  <c r="F41"/>
  <c r="AA41" s="1"/>
  <c r="H41"/>
  <c r="AB41" s="1"/>
  <c r="J41"/>
  <c r="AC41" s="1"/>
  <c r="E94" i="40"/>
  <c r="J25"/>
  <c r="AC25"/>
  <c r="J32"/>
  <c r="AC32" s="1"/>
  <c r="H32"/>
  <c r="H33"/>
  <c r="AB33"/>
  <c r="F33"/>
  <c r="AA33"/>
  <c r="J33"/>
  <c r="AC33"/>
  <c r="H35"/>
  <c r="AB35"/>
  <c r="F35"/>
  <c r="AA35"/>
  <c r="J35"/>
  <c r="AC35"/>
  <c r="J38" i="39"/>
  <c r="W38"/>
  <c r="H38"/>
  <c r="U38"/>
  <c r="J16" i="40"/>
  <c r="W16"/>
  <c r="J14"/>
  <c r="W14"/>
  <c r="H42"/>
  <c r="H40"/>
  <c r="U40" s="1"/>
  <c r="H34"/>
  <c r="AZ391" i="3"/>
  <c r="AZ399"/>
  <c r="AZ403"/>
  <c r="AZ407"/>
  <c r="AZ415"/>
  <c r="AZ423"/>
  <c r="AZ431"/>
  <c r="AZ439"/>
  <c r="AZ454"/>
  <c r="B41" i="1"/>
  <c r="F29" i="72" s="1"/>
  <c r="J42" i="40"/>
  <c r="J40"/>
  <c r="AC40" s="1"/>
  <c r="J34"/>
  <c r="AC34" s="1"/>
  <c r="H16"/>
  <c r="H14"/>
  <c r="F32"/>
  <c r="AA32" s="1"/>
  <c r="AZ401" i="3"/>
  <c r="AZ428"/>
  <c r="AZ433"/>
  <c r="AZ436"/>
  <c r="AZ441"/>
  <c r="AZ444"/>
  <c r="AZ449"/>
  <c r="AZ452"/>
  <c r="M1" i="46"/>
  <c r="M6"/>
  <c r="M10"/>
  <c r="N2"/>
  <c r="N5"/>
  <c r="F58"/>
  <c r="H61"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40"/>
  <c r="AZ56"/>
  <c r="AZ71"/>
  <c r="AZ91"/>
  <c r="AZ107"/>
  <c r="AZ112"/>
  <c r="J13" i="40"/>
  <c r="W13"/>
  <c r="W40"/>
  <c r="F34" i="44"/>
  <c r="F27" i="43"/>
  <c r="F66" i="9"/>
  <c r="P72" s="1"/>
  <c r="F71"/>
  <c r="F72"/>
  <c r="AC14" i="40"/>
  <c r="W35"/>
  <c r="S33"/>
  <c r="AC47" i="39"/>
  <c r="AB25"/>
  <c r="U37" i="34"/>
  <c r="AB37"/>
  <c r="W41" i="40"/>
  <c r="J23"/>
  <c r="G92"/>
  <c r="F23"/>
  <c r="S23"/>
  <c r="AC15"/>
  <c r="W15"/>
  <c r="W27" i="39"/>
  <c r="S23"/>
  <c r="W14"/>
  <c r="AB23" i="35"/>
  <c r="H20"/>
  <c r="F20"/>
  <c r="S20" s="1"/>
  <c r="H15" i="34"/>
  <c r="F78"/>
  <c r="G78" s="1"/>
  <c r="J15"/>
  <c r="W15" s="1"/>
  <c r="H41" i="33"/>
  <c r="U41" s="1"/>
  <c r="F121"/>
  <c r="G121" s="1"/>
  <c r="H121" s="1"/>
  <c r="I121" s="1"/>
  <c r="J121" s="1"/>
  <c r="K121" s="1"/>
  <c r="L121" s="1"/>
  <c r="M121" s="1"/>
  <c r="F30" i="40"/>
  <c r="AA30"/>
  <c r="I100"/>
  <c r="J100" s="1"/>
  <c r="K100" s="1"/>
  <c r="L100" s="1"/>
  <c r="M100" s="1"/>
  <c r="AZ486" i="3"/>
  <c r="AZ504"/>
  <c r="AZ529"/>
  <c r="AZ537"/>
  <c r="AZ548"/>
  <c r="AB37" i="39"/>
  <c r="AA29" i="35"/>
  <c r="U39" i="39"/>
  <c r="J29"/>
  <c r="AC29"/>
  <c r="U21"/>
  <c r="AB33" i="36"/>
  <c r="AA14" i="35"/>
  <c r="S14"/>
  <c r="G99" i="37"/>
  <c r="H99" s="1"/>
  <c r="F33"/>
  <c r="AB19" i="39"/>
  <c r="U19"/>
  <c r="U46" i="34"/>
  <c r="AC30"/>
  <c r="AA14"/>
  <c r="W12"/>
  <c r="U29" i="33"/>
  <c r="AC13"/>
  <c r="U17" i="34"/>
  <c r="AA11"/>
  <c r="H15" i="33"/>
  <c r="U15" s="1"/>
  <c r="AA11"/>
  <c r="U17" i="21"/>
  <c r="S13" i="39"/>
  <c r="AA13"/>
  <c r="W34" i="40"/>
  <c r="AB42"/>
  <c r="U42"/>
  <c r="AC16"/>
  <c r="W32"/>
  <c r="H25"/>
  <c r="AB25" s="1"/>
  <c r="F94"/>
  <c r="G94" s="1"/>
  <c r="U47" i="39"/>
  <c r="J37" i="34"/>
  <c r="AC37" s="1"/>
  <c r="S41" i="40"/>
  <c r="U27" i="39"/>
  <c r="H23"/>
  <c r="AB23"/>
  <c r="J23"/>
  <c r="AC23"/>
  <c r="G97"/>
  <c r="S15" i="34"/>
  <c r="AA41" i="33"/>
  <c r="F106"/>
  <c r="G106"/>
  <c r="H106" s="1"/>
  <c r="I106" s="1"/>
  <c r="J106" s="1"/>
  <c r="K106" s="1"/>
  <c r="L106" s="1"/>
  <c r="M106" s="1"/>
  <c r="J34"/>
  <c r="AC34" s="1"/>
  <c r="U30" i="40"/>
  <c r="AA37" i="39"/>
  <c r="W29" i="35"/>
  <c r="W39" i="39"/>
  <c r="AA39"/>
  <c r="S39"/>
  <c r="U34"/>
  <c r="AB29"/>
  <c r="AB44"/>
  <c r="W33"/>
  <c r="AA33"/>
  <c r="S33"/>
  <c r="U11" i="36"/>
  <c r="G80" i="35"/>
  <c r="H80" s="1"/>
  <c r="I80" s="1"/>
  <c r="J80" s="1"/>
  <c r="K80" s="1"/>
  <c r="L80" s="1"/>
  <c r="M80" s="1"/>
  <c r="W14"/>
  <c r="F90" i="34"/>
  <c r="G90" s="1"/>
  <c r="H90"/>
  <c r="I90" s="1"/>
  <c r="J90" s="1"/>
  <c r="K90" s="1"/>
  <c r="L90" s="1"/>
  <c r="M90" s="1"/>
  <c r="F27"/>
  <c r="S27" s="1"/>
  <c r="AC43" i="39"/>
  <c r="W43"/>
  <c r="AA43"/>
  <c r="S43"/>
  <c r="AA19"/>
  <c r="G96" i="37"/>
  <c r="H96"/>
  <c r="I96" s="1"/>
  <c r="J96" s="1"/>
  <c r="K96" s="1"/>
  <c r="L96" s="1"/>
  <c r="M96" s="1"/>
  <c r="F32"/>
  <c r="S32" s="1"/>
  <c r="U11" i="35"/>
  <c r="AB11"/>
  <c r="S46" i="34"/>
  <c r="U32"/>
  <c r="U14"/>
  <c r="AC14"/>
  <c r="U12"/>
  <c r="AB13" i="33"/>
  <c r="G80" i="34"/>
  <c r="F17"/>
  <c r="AA17"/>
  <c r="J17"/>
  <c r="AC17"/>
  <c r="H11"/>
  <c r="AB11"/>
  <c r="J35" i="33"/>
  <c r="W35" s="1"/>
  <c r="H11"/>
  <c r="H10"/>
  <c r="U10" s="1"/>
  <c r="I66"/>
  <c r="J10"/>
  <c r="AC10" s="1"/>
  <c r="U40" i="21"/>
  <c r="U11" i="37"/>
  <c r="U13" i="39"/>
  <c r="AC16" i="35"/>
  <c r="AC13" i="40"/>
  <c r="J11" i="34"/>
  <c r="W11"/>
  <c r="S17"/>
  <c r="F25" i="40"/>
  <c r="J11" i="33"/>
  <c r="H33" i="37"/>
  <c r="AB33"/>
  <c r="AC15" i="34"/>
  <c r="U20" i="35"/>
  <c r="AB20"/>
  <c r="D73" i="9"/>
  <c r="N73" s="1"/>
  <c r="AP11" i="1"/>
  <c r="B11"/>
  <c r="E11" s="1"/>
  <c r="K11"/>
  <c r="M11" s="1"/>
  <c r="B9"/>
  <c r="E9" s="1"/>
  <c r="K9"/>
  <c r="M9" s="1"/>
  <c r="B7"/>
  <c r="E7"/>
  <c r="K7"/>
  <c r="M7" s="1"/>
  <c r="C20" i="43"/>
  <c r="F6" i="1"/>
  <c r="AP6" s="1"/>
  <c r="G11"/>
  <c r="M22" i="44"/>
  <c r="F32" i="15"/>
  <c r="F59" s="1"/>
  <c r="F29" i="12"/>
  <c r="F70" i="9"/>
  <c r="D86"/>
  <c r="M20" i="44"/>
  <c r="F31" i="43"/>
  <c r="F30" i="44"/>
  <c r="AC25" i="36"/>
  <c r="S23"/>
  <c r="S8"/>
  <c r="AA26"/>
  <c r="AA28"/>
  <c r="U25"/>
  <c r="H20"/>
  <c r="U20"/>
  <c r="F68"/>
  <c r="G68"/>
  <c r="J20"/>
  <c r="AC20"/>
  <c r="F20"/>
  <c r="S20"/>
  <c r="G62"/>
  <c r="J14"/>
  <c r="H14"/>
  <c r="F14"/>
  <c r="AA14"/>
  <c r="W20"/>
  <c r="U27"/>
  <c r="U32"/>
  <c r="AB12"/>
  <c r="S33"/>
  <c r="AA27"/>
  <c r="S16"/>
  <c r="S29"/>
  <c r="AC33" i="35"/>
  <c r="AA13"/>
  <c r="AC9"/>
  <c r="S8"/>
  <c r="U33"/>
  <c r="AA20"/>
  <c r="W20"/>
  <c r="S23"/>
  <c r="S16"/>
  <c r="AB14"/>
  <c r="AC10"/>
  <c r="U9"/>
  <c r="W13"/>
  <c r="AC18"/>
  <c r="W18"/>
  <c r="U18"/>
  <c r="AB18"/>
  <c r="S30"/>
  <c r="AA35"/>
  <c r="AB30"/>
  <c r="S27"/>
  <c r="S28"/>
  <c r="J26"/>
  <c r="F26"/>
  <c r="H26"/>
  <c r="AB9" i="37"/>
  <c r="W12"/>
  <c r="AA9"/>
  <c r="S17"/>
  <c r="W28"/>
  <c r="AB37"/>
  <c r="AA31"/>
  <c r="S33"/>
  <c r="AA33"/>
  <c r="U32"/>
  <c r="AA32"/>
  <c r="J33"/>
  <c r="W33"/>
  <c r="I99"/>
  <c r="J99" s="1"/>
  <c r="K99" s="1"/>
  <c r="L99" s="1"/>
  <c r="M99" s="1"/>
  <c r="S29"/>
  <c r="J19"/>
  <c r="AC19" s="1"/>
  <c r="G75"/>
  <c r="F19"/>
  <c r="AA19"/>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c r="F23"/>
  <c r="H23"/>
  <c r="W17"/>
  <c r="AC11"/>
  <c r="U11"/>
  <c r="W10"/>
  <c r="U10"/>
  <c r="W37"/>
  <c r="AC40"/>
  <c r="W44"/>
  <c r="W19"/>
  <c r="W29"/>
  <c r="AC21"/>
  <c r="W21"/>
  <c r="AB21"/>
  <c r="U21"/>
  <c r="U27"/>
  <c r="U19"/>
  <c r="AB41"/>
  <c r="S13"/>
  <c r="AA41"/>
  <c r="S9"/>
  <c r="S10"/>
  <c r="U39" i="33"/>
  <c r="S35"/>
  <c r="AC12"/>
  <c r="AB41"/>
  <c r="S29"/>
  <c r="W31"/>
  <c r="W43"/>
  <c r="U46"/>
  <c r="W39"/>
  <c r="U35"/>
  <c r="W26"/>
  <c r="AB26"/>
  <c r="H25"/>
  <c r="AB25" s="1"/>
  <c r="J25"/>
  <c r="W25" s="1"/>
  <c r="F25"/>
  <c r="S25" s="1"/>
  <c r="G85"/>
  <c r="J23"/>
  <c r="F23"/>
  <c r="AA23" s="1"/>
  <c r="H23"/>
  <c r="J17"/>
  <c r="S14"/>
  <c r="AC21"/>
  <c r="W21"/>
  <c r="W14"/>
  <c r="AB21"/>
  <c r="U21"/>
  <c r="AA21"/>
  <c r="S21"/>
  <c r="S44" i="21"/>
  <c r="U35"/>
  <c r="W43"/>
  <c r="AB32"/>
  <c r="W28"/>
  <c r="AC46"/>
  <c r="F85"/>
  <c r="G85" s="1"/>
  <c r="J23"/>
  <c r="W23" s="1"/>
  <c r="F23"/>
  <c r="S23" s="1"/>
  <c r="H23"/>
  <c r="F15"/>
  <c r="S15" s="1"/>
  <c r="F77"/>
  <c r="G77" s="1"/>
  <c r="J15"/>
  <c r="H15"/>
  <c r="AB15" s="1"/>
  <c r="AC11"/>
  <c r="AB11"/>
  <c r="W13"/>
  <c r="AA11"/>
  <c r="AC21"/>
  <c r="W21"/>
  <c r="W44"/>
  <c r="AC19"/>
  <c r="W10"/>
  <c r="AC38"/>
  <c r="AB21"/>
  <c r="U21"/>
  <c r="AB29"/>
  <c r="AA30"/>
  <c r="AA31"/>
  <c r="W33" i="40"/>
  <c r="U33"/>
  <c r="S35"/>
  <c r="S14"/>
  <c r="S15"/>
  <c r="AB13"/>
  <c r="S16"/>
  <c r="W11"/>
  <c r="AA21"/>
  <c r="U21"/>
  <c r="W25"/>
  <c r="U25"/>
  <c r="U35"/>
  <c r="F37"/>
  <c r="J37"/>
  <c r="AC37" s="1"/>
  <c r="H37"/>
  <c r="G113"/>
  <c r="H113"/>
  <c r="I113" s="1"/>
  <c r="J113" s="1"/>
  <c r="K113" s="1"/>
  <c r="L113" s="1"/>
  <c r="M113" s="1"/>
  <c r="F39"/>
  <c r="S38"/>
  <c r="H39"/>
  <c r="J39"/>
  <c r="W38"/>
  <c r="F29"/>
  <c r="H29"/>
  <c r="J29"/>
  <c r="F98"/>
  <c r="G98" s="1"/>
  <c r="H98"/>
  <c r="I98" s="1"/>
  <c r="J98" s="1"/>
  <c r="K98" s="1"/>
  <c r="L98" s="1"/>
  <c r="M98" s="1"/>
  <c r="S30"/>
  <c r="AA23"/>
  <c r="G88"/>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D18" i="9"/>
  <c r="M44" s="1"/>
  <c r="M43"/>
  <c r="M20" i="15"/>
  <c r="D96" i="9"/>
  <c r="F28" i="15"/>
  <c r="M18"/>
  <c r="A18" i="64"/>
  <c r="B74" i="63" s="1"/>
  <c r="C53" i="10"/>
  <c r="A25" i="64" s="1"/>
  <c r="A18" i="51"/>
  <c r="B14" i="63"/>
  <c r="BA16" i="3"/>
  <c r="BA17"/>
  <c r="AZ17" s="1"/>
  <c r="F3" i="35"/>
  <c r="K1" i="43"/>
  <c r="K1" i="12"/>
  <c r="G1" i="44"/>
  <c r="I4" i="6"/>
  <c r="G3" i="46" s="1"/>
  <c r="AZ15" i="3"/>
  <c r="BK5"/>
  <c r="BO5"/>
  <c r="BP5"/>
  <c r="BN5"/>
  <c r="BL18"/>
  <c r="AZ18" s="1"/>
  <c r="BC5"/>
  <c r="E8" i="6" s="1"/>
  <c r="BD5" i="3"/>
  <c r="BR5"/>
  <c r="G28" i="6" s="1"/>
  <c r="BS5" i="3"/>
  <c r="BQ5"/>
  <c r="BL16"/>
  <c r="BM5"/>
  <c r="BA13"/>
  <c r="H48" i="46"/>
  <c r="G28" i="12"/>
  <c r="G22" i="43"/>
  <c r="G26" i="12"/>
  <c r="D24" i="44"/>
  <c r="D26"/>
  <c r="G27" i="12"/>
  <c r="G23" i="43"/>
  <c r="G21"/>
  <c r="H50" i="46"/>
  <c r="E11"/>
  <c r="E10"/>
  <c r="N8"/>
  <c r="N4"/>
  <c r="N1"/>
  <c r="M9"/>
  <c r="M2"/>
  <c r="N11"/>
  <c r="N9"/>
  <c r="F69"/>
  <c r="H71" s="1"/>
  <c r="M4"/>
  <c r="M12"/>
  <c r="M8"/>
  <c r="M3"/>
  <c r="M5"/>
  <c r="C6"/>
  <c r="H6" i="48"/>
  <c r="E9" i="46"/>
  <c r="H15" i="48"/>
  <c r="H5"/>
  <c r="H14"/>
  <c r="F38" i="46"/>
  <c r="F36"/>
  <c r="F34"/>
  <c r="J17"/>
  <c r="C17"/>
  <c r="F39"/>
  <c r="H13" i="48"/>
  <c r="H11"/>
  <c r="E8" i="46"/>
  <c r="C7"/>
  <c r="I17"/>
  <c r="E17"/>
  <c r="D71"/>
  <c r="D84"/>
  <c r="E80" s="1"/>
  <c r="B78" s="1"/>
  <c r="D69"/>
  <c r="E47"/>
  <c r="B45" s="1"/>
  <c r="E58"/>
  <c r="A4" i="64"/>
  <c r="A4" i="51"/>
  <c r="B6" i="63" s="1"/>
  <c r="C51" i="10"/>
  <c r="H58" i="46"/>
  <c r="H62"/>
  <c r="I100"/>
  <c r="B56"/>
  <c r="N100"/>
  <c r="H100"/>
  <c r="F108"/>
  <c r="H80"/>
  <c r="E100"/>
  <c r="G100"/>
  <c r="H84"/>
  <c r="H66"/>
  <c r="C100"/>
  <c r="J100"/>
  <c r="M100"/>
  <c r="AA12" i="36"/>
  <c r="U12" i="35"/>
  <c r="AB12"/>
  <c r="W11"/>
  <c r="AA11"/>
  <c r="S14" i="37"/>
  <c r="U13"/>
  <c r="S13" i="21"/>
  <c r="C24" i="9"/>
  <c r="C25"/>
  <c r="AP7" i="1"/>
  <c r="G7"/>
  <c r="AP9"/>
  <c r="G9"/>
  <c r="AP8"/>
  <c r="I20" i="46"/>
  <c r="L5" i="54"/>
  <c r="B39" i="63" s="1"/>
  <c r="K5" i="54"/>
  <c r="B38" i="63" s="1"/>
  <c r="T41" i="4"/>
  <c r="A17" i="64" s="1"/>
  <c r="B46" i="50"/>
  <c r="B4" i="63" s="1"/>
  <c r="C46" i="36"/>
  <c r="D46"/>
  <c r="E46" s="1"/>
  <c r="C59" i="34"/>
  <c r="D59"/>
  <c r="E59" s="1"/>
  <c r="C48" i="35"/>
  <c r="D48" s="1"/>
  <c r="C52" i="37"/>
  <c r="D52" s="1"/>
  <c r="O19" i="46"/>
  <c r="H77"/>
  <c r="H86"/>
  <c r="H82"/>
  <c r="H63"/>
  <c r="H64"/>
  <c r="H10" i="48"/>
  <c r="H87" i="46"/>
  <c r="H85"/>
  <c r="H83"/>
  <c r="K10" i="1"/>
  <c r="M10" s="1"/>
  <c r="S11"/>
  <c r="R11"/>
  <c r="S13"/>
  <c r="R13"/>
  <c r="B6"/>
  <c r="E6" s="1"/>
  <c r="B10"/>
  <c r="E10" s="1"/>
  <c r="S10"/>
  <c r="B8"/>
  <c r="E8" s="1"/>
  <c r="B12"/>
  <c r="E12" s="1"/>
  <c r="S12"/>
  <c r="K6"/>
  <c r="M6" s="1"/>
  <c r="G1" i="15"/>
  <c r="F66" i="36"/>
  <c r="H18"/>
  <c r="U16"/>
  <c r="S25"/>
  <c r="AA34"/>
  <c r="U23"/>
  <c r="AC27"/>
  <c r="W28"/>
  <c r="AA32"/>
  <c r="U13"/>
  <c r="AA22"/>
  <c r="U10"/>
  <c r="AA13"/>
  <c r="W29"/>
  <c r="W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S43"/>
  <c r="AB42"/>
  <c r="AB14"/>
  <c r="S26"/>
  <c r="AB12"/>
  <c r="S15"/>
  <c r="S39" i="21"/>
  <c r="AB25"/>
  <c r="AB45"/>
  <c r="W25"/>
  <c r="AA25"/>
  <c r="AA29"/>
  <c r="U27"/>
  <c r="W31"/>
  <c r="AA15"/>
  <c r="AC27"/>
  <c r="W29"/>
  <c r="G96" i="40"/>
  <c r="J27"/>
  <c r="W37"/>
  <c r="S17"/>
  <c r="W30"/>
  <c r="S34"/>
  <c r="U17"/>
  <c r="U38"/>
  <c r="S40"/>
  <c r="S42"/>
  <c r="G105" i="39"/>
  <c r="J31"/>
  <c r="AC31" s="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D24" i="15"/>
  <c r="F29" i="6"/>
  <c r="F28"/>
  <c r="S14" i="36"/>
  <c r="AB20"/>
  <c r="AA20"/>
  <c r="AC14"/>
  <c r="W14"/>
  <c r="U14"/>
  <c r="AB14"/>
  <c r="U18"/>
  <c r="AB18"/>
  <c r="AA26" i="35"/>
  <c r="S26"/>
  <c r="U26"/>
  <c r="AB26"/>
  <c r="W26"/>
  <c r="AC26"/>
  <c r="S19" i="37"/>
  <c r="W19"/>
  <c r="AB19"/>
  <c r="U19"/>
  <c r="AC17"/>
  <c r="W17"/>
  <c r="U25" i="34"/>
  <c r="AB25"/>
  <c r="AA25"/>
  <c r="S25"/>
  <c r="W25"/>
  <c r="AC25"/>
  <c r="U23"/>
  <c r="AB23"/>
  <c r="AA23"/>
  <c r="S23"/>
  <c r="AC23"/>
  <c r="W23"/>
  <c r="U23" i="33"/>
  <c r="AB23"/>
  <c r="W23"/>
  <c r="AC23"/>
  <c r="S23"/>
  <c r="W17"/>
  <c r="AC17"/>
  <c r="U23" i="21"/>
  <c r="AB23"/>
  <c r="U15"/>
  <c r="W15"/>
  <c r="AC15"/>
  <c r="AB39" i="40"/>
  <c r="U39"/>
  <c r="AC39"/>
  <c r="W39"/>
  <c r="AA39"/>
  <c r="S39"/>
  <c r="U37"/>
  <c r="AB37"/>
  <c r="AA37"/>
  <c r="S37"/>
  <c r="U29"/>
  <c r="AB29"/>
  <c r="AC29"/>
  <c r="W29"/>
  <c r="AA29"/>
  <c r="S29"/>
  <c r="W19"/>
  <c r="AC19"/>
  <c r="AA19"/>
  <c r="S19"/>
  <c r="AB19"/>
  <c r="U19"/>
  <c r="AC27"/>
  <c r="W27"/>
  <c r="W31" i="39"/>
  <c r="B20" i="31"/>
  <c r="R22"/>
  <c r="B21"/>
  <c r="A17" i="51"/>
  <c r="B13" i="63" s="1"/>
  <c r="E5" i="6"/>
  <c r="D12" i="11" s="1"/>
  <c r="C12" s="1"/>
  <c r="G29" i="6"/>
  <c r="AZ16" i="3"/>
  <c r="H70" i="46"/>
  <c r="A9" i="64"/>
  <c r="A9" i="51"/>
  <c r="B9" i="63" s="1"/>
  <c r="A25" i="51"/>
  <c r="B18" i="63" s="1"/>
  <c r="G66" i="36"/>
  <c r="J18"/>
  <c r="W18" s="1"/>
  <c r="AG6" i="1"/>
  <c r="E29" i="6"/>
  <c r="K15" i="1" s="1"/>
  <c r="L20" i="6"/>
  <c r="L19"/>
  <c r="C45" i="9"/>
  <c r="H14" i="66"/>
  <c r="B7" s="1"/>
  <c r="C44" i="9"/>
  <c r="G14" i="66" s="1"/>
  <c r="B6" s="1"/>
  <c r="O40" i="9"/>
  <c r="K31" s="1"/>
  <c r="K32" s="1"/>
  <c r="R7" i="54"/>
  <c r="B52" i="63" s="1"/>
  <c r="N69" i="9"/>
  <c r="M86" s="1"/>
  <c r="N86" s="1"/>
  <c r="K29"/>
  <c r="K30" s="1"/>
  <c r="N76"/>
  <c r="C46"/>
  <c r="K33" s="1"/>
  <c r="K34" s="1"/>
  <c r="O41"/>
  <c r="R8" i="54"/>
  <c r="B54" i="63" s="1"/>
  <c r="AE9" i="1"/>
  <c r="AE6"/>
  <c r="AE8"/>
  <c r="J4" i="65"/>
  <c r="M22" i="15"/>
  <c r="F40"/>
  <c r="M28" i="44"/>
  <c r="M26"/>
  <c r="F13" i="67"/>
  <c r="B9"/>
  <c r="F35" i="15"/>
  <c r="M6"/>
  <c r="M24"/>
  <c r="L48" i="44"/>
  <c r="F8"/>
  <c r="F11"/>
  <c r="N7" i="65"/>
  <c r="N3"/>
  <c r="F8" i="15"/>
  <c r="B13" i="67"/>
  <c r="F33" i="72"/>
  <c r="F46" i="44"/>
  <c r="E11" i="67"/>
  <c r="F16" i="15"/>
  <c r="J7" i="65"/>
  <c r="E10" i="67"/>
  <c r="F43" i="15"/>
  <c r="F14" i="67"/>
  <c r="F7" i="15"/>
  <c r="F13"/>
  <c r="B12" i="67"/>
  <c r="I5" i="65"/>
  <c r="B8" i="67"/>
  <c r="E8"/>
  <c r="F6" i="15"/>
  <c r="F43" i="44"/>
  <c r="M30"/>
  <c r="I6" i="65"/>
  <c r="J3"/>
  <c r="M11" i="44"/>
  <c r="L47" i="15"/>
  <c r="F42"/>
  <c r="M21"/>
  <c r="E13" i="67"/>
  <c r="B14"/>
  <c r="E9"/>
  <c r="M28" i="15"/>
  <c r="I7" i="65"/>
  <c r="B10" i="67"/>
  <c r="F26" i="15"/>
  <c r="M24" i="44"/>
  <c r="F37"/>
  <c r="M23" i="15"/>
  <c r="I3" i="65"/>
  <c r="F10" i="67"/>
  <c r="B11"/>
  <c r="F28" i="44"/>
  <c r="J17"/>
  <c r="C19"/>
  <c r="N5" i="65"/>
  <c r="I4"/>
  <c r="M29" i="44"/>
  <c r="E14" i="67"/>
  <c r="F40" i="44"/>
  <c r="F8" i="67"/>
  <c r="F11"/>
  <c r="F18" i="44"/>
  <c r="F39"/>
  <c r="F12" i="67"/>
  <c r="L49" i="44"/>
  <c r="M8"/>
  <c r="D21" i="72"/>
  <c r="M31" i="44"/>
  <c r="F9"/>
  <c r="M26" i="15"/>
  <c r="F45" i="44"/>
  <c r="J15" i="15"/>
  <c r="M29"/>
  <c r="M8"/>
  <c r="F41"/>
  <c r="N4" i="65"/>
  <c r="M25" i="44"/>
  <c r="L48" i="15"/>
  <c r="F9"/>
  <c r="F37"/>
  <c r="F38" i="44"/>
  <c r="M9" i="15"/>
  <c r="M10" i="44"/>
  <c r="J5" i="65"/>
  <c r="F15" i="44"/>
  <c r="F9" i="67"/>
  <c r="F36" i="15"/>
  <c r="M23" i="44"/>
  <c r="F38" i="15"/>
  <c r="E12" i="67"/>
  <c r="N6" i="65"/>
  <c r="J36" i="15"/>
  <c r="J6" i="65"/>
  <c r="M27" i="15"/>
  <c r="F10" i="44"/>
  <c r="AC18" i="36" l="1"/>
  <c r="I14" i="66"/>
  <c r="B8" s="1"/>
  <c r="AC23" i="21"/>
  <c r="AA25" i="40"/>
  <c r="S25"/>
  <c r="U11" i="33"/>
  <c r="AB11"/>
  <c r="AB15" i="34"/>
  <c r="U15"/>
  <c r="AC23" i="40"/>
  <c r="W23"/>
  <c r="AB16"/>
  <c r="U16"/>
  <c r="U34"/>
  <c r="AB34"/>
  <c r="AC15" i="39"/>
  <c r="W15"/>
  <c r="AB41" i="40"/>
  <c r="U41"/>
  <c r="U16" i="39"/>
  <c r="AB16"/>
  <c r="AZ520" i="3"/>
  <c r="S28" i="34"/>
  <c r="AA28"/>
  <c r="AC23" i="35"/>
  <c r="W23"/>
  <c r="U36"/>
  <c r="AB36"/>
  <c r="AC39" i="37"/>
  <c r="W39"/>
  <c r="W11" i="33"/>
  <c r="AC11"/>
  <c r="U14" i="40"/>
  <c r="AB14"/>
  <c r="AC42"/>
  <c r="W42"/>
  <c r="U32"/>
  <c r="AB32"/>
  <c r="AA47" i="39"/>
  <c r="S47"/>
  <c r="U23" i="40"/>
  <c r="AB23"/>
  <c r="AB15"/>
  <c r="U15"/>
  <c r="AC9" i="33"/>
  <c r="W9"/>
  <c r="W24" i="36"/>
  <c r="AC24"/>
  <c r="AB34"/>
  <c r="U34"/>
  <c r="U14" i="37"/>
  <c r="AB14"/>
  <c r="W26"/>
  <c r="AC26"/>
  <c r="AB34" i="33"/>
  <c r="U22" i="35"/>
  <c r="S17" i="39"/>
  <c r="AB46"/>
  <c r="S16"/>
  <c r="AA11" i="36"/>
  <c r="AB17" i="39"/>
  <c r="AB38" i="34"/>
  <c r="AA36" i="37"/>
  <c r="U12"/>
  <c r="AC41" i="34"/>
  <c r="U28" i="21"/>
  <c r="AB40" i="37"/>
  <c r="H37" i="33"/>
  <c r="F113"/>
  <c r="G113" s="1"/>
  <c r="H113" s="1"/>
  <c r="I113" s="1"/>
  <c r="J113" s="1"/>
  <c r="K113" s="1"/>
  <c r="L113" s="1"/>
  <c r="M113" s="1"/>
  <c r="AC34" i="36"/>
  <c r="G570" i="3"/>
  <c r="BL13"/>
  <c r="F10" i="21"/>
  <c r="H42"/>
  <c r="AB42" s="1"/>
  <c r="B64" i="73"/>
  <c r="B73"/>
  <c r="B53"/>
  <c r="B72"/>
  <c r="B51"/>
  <c r="B62"/>
  <c r="B87" i="46"/>
  <c r="F9" i="33"/>
  <c r="F9" i="36"/>
  <c r="H9"/>
  <c r="H24"/>
  <c r="AZ420" i="3"/>
  <c r="AZ447"/>
  <c r="AZ462"/>
  <c r="AZ465"/>
  <c r="B69" i="46"/>
  <c r="B69" i="73"/>
  <c r="B70"/>
  <c r="B59"/>
  <c r="B48"/>
  <c r="AZ392" i="3"/>
  <c r="AZ397"/>
  <c r="AZ408"/>
  <c r="AZ413"/>
  <c r="AZ424"/>
  <c r="AZ437"/>
  <c r="AZ451"/>
  <c r="AZ457"/>
  <c r="AZ470"/>
  <c r="AZ473"/>
  <c r="AZ334"/>
  <c r="AZ350"/>
  <c r="AZ208"/>
  <c r="AZ211"/>
  <c r="AZ224"/>
  <c r="AZ227"/>
  <c r="C2" i="65"/>
  <c r="G27" i="72"/>
  <c r="G28"/>
  <c r="G26"/>
  <c r="AZ254" i="3"/>
  <c r="AZ258"/>
  <c r="AZ269"/>
  <c r="AZ272"/>
  <c r="AZ285"/>
  <c r="AZ288"/>
  <c r="AZ296"/>
  <c r="AZ125"/>
  <c r="AZ128"/>
  <c r="AZ141"/>
  <c r="AZ144"/>
  <c r="AZ155"/>
  <c r="AZ160"/>
  <c r="AZ163"/>
  <c r="AZ176"/>
  <c r="AZ182"/>
  <c r="AZ190"/>
  <c r="AZ198"/>
  <c r="AZ204"/>
  <c r="BA21"/>
  <c r="AZ22"/>
  <c r="BA25"/>
  <c r="AZ25" s="1"/>
  <c r="AZ26"/>
  <c r="BA28"/>
  <c r="AZ28" s="1"/>
  <c r="AZ29"/>
  <c r="BA30"/>
  <c r="AZ30" s="1"/>
  <c r="BA31"/>
  <c r="AZ31" s="1"/>
  <c r="BA32"/>
  <c r="AZ32" s="1"/>
  <c r="AZ33"/>
  <c r="BA34"/>
  <c r="AZ34" s="1"/>
  <c r="BA35"/>
  <c r="AZ35" s="1"/>
  <c r="AZ36"/>
  <c r="BA37"/>
  <c r="AZ37" s="1"/>
  <c r="AZ38"/>
  <c r="BA41"/>
  <c r="AZ41" s="1"/>
  <c r="AZ42"/>
  <c r="BA44"/>
  <c r="AZ44" s="1"/>
  <c r="AZ45"/>
  <c r="BA46"/>
  <c r="AZ46" s="1"/>
  <c r="BA47"/>
  <c r="AZ47" s="1"/>
  <c r="BA48"/>
  <c r="AZ48" s="1"/>
  <c r="AZ49"/>
  <c r="BA50"/>
  <c r="AZ50" s="1"/>
  <c r="BA51"/>
  <c r="AZ51" s="1"/>
  <c r="AZ52"/>
  <c r="BA53"/>
  <c r="AZ53" s="1"/>
  <c r="AZ54"/>
  <c r="BA57"/>
  <c r="AZ57" s="1"/>
  <c r="AZ58"/>
  <c r="BA60"/>
  <c r="AZ60" s="1"/>
  <c r="AZ61"/>
  <c r="BA62"/>
  <c r="AZ62" s="1"/>
  <c r="BA63"/>
  <c r="AZ63" s="1"/>
  <c r="AZ64"/>
  <c r="BA65"/>
  <c r="AZ65" s="1"/>
  <c r="BA66"/>
  <c r="AZ66" s="1"/>
  <c r="AZ67"/>
  <c r="BA68"/>
  <c r="AZ68" s="1"/>
  <c r="AZ69"/>
  <c r="BA72"/>
  <c r="AZ72" s="1"/>
  <c r="AZ73"/>
  <c r="BA75"/>
  <c r="AZ75" s="1"/>
  <c r="AZ76"/>
  <c r="BA77"/>
  <c r="AZ77" s="1"/>
  <c r="BA78"/>
  <c r="AZ78" s="1"/>
  <c r="BA79"/>
  <c r="AZ79" s="1"/>
  <c r="AZ80"/>
  <c r="BA81"/>
  <c r="AZ81" s="1"/>
  <c r="BA82"/>
  <c r="AZ82" s="1"/>
  <c r="AZ83"/>
  <c r="BA85"/>
  <c r="AZ85" s="1"/>
  <c r="BA86"/>
  <c r="AZ86" s="1"/>
  <c r="AZ87"/>
  <c r="BA88"/>
  <c r="AZ88" s="1"/>
  <c r="AZ89"/>
  <c r="BA92"/>
  <c r="AZ92" s="1"/>
  <c r="AZ93"/>
  <c r="BA95"/>
  <c r="AZ95" s="1"/>
  <c r="AZ96"/>
  <c r="BA97"/>
  <c r="AZ97" s="1"/>
  <c r="BA98"/>
  <c r="AZ98" s="1"/>
  <c r="BA99"/>
  <c r="AZ99" s="1"/>
  <c r="BA101"/>
  <c r="AZ101" s="1"/>
  <c r="BA102"/>
  <c r="AZ102" s="1"/>
  <c r="BA104"/>
  <c r="AZ104" s="1"/>
  <c r="BA108"/>
  <c r="AZ108" s="1"/>
  <c r="K100" i="46"/>
  <c r="D1" i="57"/>
  <c r="E10" s="1"/>
  <c r="C32" i="59"/>
  <c r="D32" s="1"/>
  <c r="D31"/>
  <c r="D43"/>
  <c r="C44"/>
  <c r="P52"/>
  <c r="E51"/>
  <c r="G22" i="3"/>
  <c r="G26"/>
  <c r="G29"/>
  <c r="G31"/>
  <c r="G32"/>
  <c r="G33"/>
  <c r="G35"/>
  <c r="G36"/>
  <c r="G38"/>
  <c r="G42"/>
  <c r="G45"/>
  <c r="G47"/>
  <c r="G48"/>
  <c r="G49"/>
  <c r="G51"/>
  <c r="G52"/>
  <c r="G54"/>
  <c r="G58"/>
  <c r="G61"/>
  <c r="G63"/>
  <c r="G64"/>
  <c r="G66"/>
  <c r="G67"/>
  <c r="G69"/>
  <c r="G73"/>
  <c r="G76"/>
  <c r="G78"/>
  <c r="G79"/>
  <c r="G80"/>
  <c r="G82"/>
  <c r="G83"/>
  <c r="G86"/>
  <c r="G87"/>
  <c r="G89"/>
  <c r="G93"/>
  <c r="G96"/>
  <c r="G98"/>
  <c r="G99"/>
  <c r="M19" i="46"/>
  <c r="U25" i="59"/>
  <c r="D35"/>
  <c r="C36"/>
  <c r="Q51"/>
  <c r="Q50"/>
  <c r="B65" i="73"/>
  <c r="B54"/>
  <c r="B74"/>
  <c r="AB13" i="59"/>
  <c r="Y3"/>
  <c r="Z3" s="1"/>
  <c r="Y13"/>
  <c r="Z13" s="1"/>
  <c r="Y12"/>
  <c r="Z12" s="1"/>
  <c r="Y11"/>
  <c r="Z11" s="1"/>
  <c r="Y10"/>
  <c r="Z10" s="1"/>
  <c r="AA12"/>
  <c r="AA10"/>
  <c r="X13"/>
  <c r="X11"/>
  <c r="X3"/>
  <c r="B15"/>
  <c r="B16" s="1"/>
  <c r="B17" s="1"/>
  <c r="S17" s="1"/>
  <c r="C15"/>
  <c r="AA14"/>
  <c r="AB14"/>
  <c r="Y15"/>
  <c r="Z15" s="1"/>
  <c r="AB15"/>
  <c r="Y16"/>
  <c r="Z16" s="1"/>
  <c r="AB16"/>
  <c r="Y17"/>
  <c r="Z17" s="1"/>
  <c r="AB17"/>
  <c r="X18"/>
  <c r="Y18"/>
  <c r="Z18" s="1"/>
  <c r="E19"/>
  <c r="E20" s="1"/>
  <c r="E21" s="1"/>
  <c r="U21" s="1"/>
  <c r="F19"/>
  <c r="F20" s="1"/>
  <c r="F21" s="1"/>
  <c r="V21" s="1"/>
  <c r="X19"/>
  <c r="AA19"/>
  <c r="X20"/>
  <c r="AA20"/>
  <c r="X21"/>
  <c r="AA21"/>
  <c r="B23"/>
  <c r="B24" s="1"/>
  <c r="B25" s="1"/>
  <c r="S25" s="1"/>
  <c r="C23"/>
  <c r="AA22"/>
  <c r="Y23"/>
  <c r="Z23" s="1"/>
  <c r="B52"/>
  <c r="F64"/>
  <c r="F63" s="1"/>
  <c r="Y9"/>
  <c r="Z9" s="1"/>
  <c r="AB9"/>
  <c r="AA9"/>
  <c r="AA7"/>
  <c r="X7"/>
  <c r="X6"/>
  <c r="AA6"/>
  <c r="B12"/>
  <c r="B11" s="1"/>
  <c r="S13"/>
  <c r="U13"/>
  <c r="E12"/>
  <c r="E11" s="1"/>
  <c r="A28" i="64"/>
  <c r="A28" i="51"/>
  <c r="B21" i="63" s="1"/>
  <c r="C7" i="59"/>
  <c r="D7" s="1"/>
  <c r="D8"/>
  <c r="X8"/>
  <c r="Y7"/>
  <c r="Z7" s="1"/>
  <c r="AB7"/>
  <c r="Y6"/>
  <c r="Z6" s="1"/>
  <c r="AB6"/>
  <c r="AD12" i="46"/>
  <c r="AH12"/>
  <c r="K76" i="9"/>
  <c r="K77" s="1"/>
  <c r="K79" s="1"/>
  <c r="K81" s="1"/>
  <c r="C13" i="59"/>
  <c r="X9"/>
  <c r="Y8"/>
  <c r="Z8" s="1"/>
  <c r="AA8"/>
  <c r="AB8"/>
  <c r="X5"/>
  <c r="AA5"/>
  <c r="F13"/>
  <c r="Y5"/>
  <c r="Z5" s="1"/>
  <c r="AB5"/>
  <c r="C21" i="72"/>
  <c r="P24" i="73"/>
  <c r="P25"/>
  <c r="O19"/>
  <c r="C19"/>
  <c r="P21"/>
  <c r="P23"/>
  <c r="P22"/>
  <c r="M83" i="9"/>
  <c r="N83" s="1"/>
  <c r="N89" s="1"/>
  <c r="O89" s="1"/>
  <c r="M85"/>
  <c r="N85" s="1"/>
  <c r="M87"/>
  <c r="N87" s="1"/>
  <c r="M88"/>
  <c r="N88" s="1"/>
  <c r="M84"/>
  <c r="N84" s="1"/>
  <c r="O39"/>
  <c r="R6" i="54" s="1"/>
  <c r="B50" i="63" s="1"/>
  <c r="A3" i="55"/>
  <c r="B56" i="63" s="1"/>
  <c r="F30" i="6"/>
  <c r="K12" i="1"/>
  <c r="M12" s="1"/>
  <c r="C42"/>
  <c r="C28" i="15" s="1"/>
  <c r="D23"/>
  <c r="J73" i="46"/>
  <c r="U44" i="33"/>
  <c r="AB44"/>
  <c r="AB45"/>
  <c r="W46"/>
  <c r="F44"/>
  <c r="S44" s="1"/>
  <c r="AB43"/>
  <c r="S42"/>
  <c r="U38"/>
  <c r="W38"/>
  <c r="G111"/>
  <c r="H111" s="1"/>
  <c r="I111" s="1"/>
  <c r="J111" s="1"/>
  <c r="K111" s="1"/>
  <c r="L111" s="1"/>
  <c r="M111" s="1"/>
  <c r="F36"/>
  <c r="H36"/>
  <c r="J36"/>
  <c r="W36" s="1"/>
  <c r="W44"/>
  <c r="S39"/>
  <c r="AC35"/>
  <c r="AA34"/>
  <c r="W34"/>
  <c r="H32"/>
  <c r="AB32" s="1"/>
  <c r="F32"/>
  <c r="AA32" s="1"/>
  <c r="F101"/>
  <c r="G101" s="1"/>
  <c r="H101" s="1"/>
  <c r="I101" s="1"/>
  <c r="J101" s="1"/>
  <c r="K101" s="1"/>
  <c r="L101" s="1"/>
  <c r="M101" s="1"/>
  <c r="U32"/>
  <c r="W32"/>
  <c r="AC28"/>
  <c r="H27"/>
  <c r="U27" s="1"/>
  <c r="F27"/>
  <c r="S27" s="1"/>
  <c r="F91"/>
  <c r="G91" s="1"/>
  <c r="H91" s="1"/>
  <c r="I91" s="1"/>
  <c r="J91" s="1"/>
  <c r="K91" s="1"/>
  <c r="L91" s="1"/>
  <c r="M91" s="1"/>
  <c r="J27"/>
  <c r="AB27"/>
  <c r="U25"/>
  <c r="AA25"/>
  <c r="AC25"/>
  <c r="B76" i="73"/>
  <c r="B66"/>
  <c r="B55"/>
  <c r="B76" i="46"/>
  <c r="AA23" i="21"/>
  <c r="U19" i="33"/>
  <c r="AC29"/>
  <c r="H17"/>
  <c r="F79"/>
  <c r="G79" s="1"/>
  <c r="F17"/>
  <c r="AC15"/>
  <c r="AB15"/>
  <c r="S10"/>
  <c r="AB10"/>
  <c r="W10"/>
  <c r="U9"/>
  <c r="B84" i="46"/>
  <c r="B58"/>
  <c r="B47"/>
  <c r="E20" i="73"/>
  <c r="A30" i="64"/>
  <c r="E69" i="46"/>
  <c r="B67" s="1"/>
  <c r="C24" s="1"/>
  <c r="A30" i="51"/>
  <c r="B22" i="63" s="1"/>
  <c r="AA43" i="21"/>
  <c r="U42"/>
  <c r="W42"/>
  <c r="AA36"/>
  <c r="AA40"/>
  <c r="AA38"/>
  <c r="H113"/>
  <c r="J37"/>
  <c r="F37"/>
  <c r="S37" s="1"/>
  <c r="H37"/>
  <c r="AA37"/>
  <c r="S42"/>
  <c r="AC40"/>
  <c r="W39"/>
  <c r="AB36"/>
  <c r="S35"/>
  <c r="AC35"/>
  <c r="W32"/>
  <c r="AC34"/>
  <c r="AB44"/>
  <c r="S27"/>
  <c r="AC26"/>
  <c r="S26"/>
  <c r="S21"/>
  <c r="U19"/>
  <c r="S19"/>
  <c r="W17"/>
  <c r="AA17"/>
  <c r="W9"/>
  <c r="AA9"/>
  <c r="U9"/>
  <c r="L16" i="4"/>
  <c r="N16"/>
  <c r="G5" i="3"/>
  <c r="B3" s="1"/>
  <c r="E495" s="1"/>
  <c r="M8" i="1"/>
  <c r="O8" s="1"/>
  <c r="P8" s="1"/>
  <c r="L27" i="6"/>
  <c r="E122" i="3"/>
  <c r="E485"/>
  <c r="E571"/>
  <c r="E497"/>
  <c r="E566"/>
  <c r="E553"/>
  <c r="E273"/>
  <c r="E563"/>
  <c r="E112"/>
  <c r="E268"/>
  <c r="E175"/>
  <c r="E565"/>
  <c r="E503"/>
  <c r="E219"/>
  <c r="E506"/>
  <c r="E351"/>
  <c r="E342"/>
  <c r="AL6"/>
  <c r="E522"/>
  <c r="E368"/>
  <c r="E572"/>
  <c r="E510"/>
  <c r="E516"/>
  <c r="E504"/>
  <c r="E227"/>
  <c r="E406"/>
  <c r="S6"/>
  <c r="E322"/>
  <c r="E511"/>
  <c r="E17"/>
  <c r="E377"/>
  <c r="E18"/>
  <c r="E382"/>
  <c r="E358"/>
  <c r="E484"/>
  <c r="E509"/>
  <c r="E326"/>
  <c r="E20"/>
  <c r="E356"/>
  <c r="E564"/>
  <c r="E481"/>
  <c r="E26"/>
  <c r="AZ21"/>
  <c r="BA5"/>
  <c r="E53" i="40"/>
  <c r="E58" i="39"/>
  <c r="F27" i="6"/>
  <c r="F31" s="1"/>
  <c r="E413" i="3"/>
  <c r="E297"/>
  <c r="E561"/>
  <c r="E411"/>
  <c r="E283"/>
  <c r="E395"/>
  <c r="E23"/>
  <c r="E250"/>
  <c r="E535"/>
  <c r="AN6"/>
  <c r="E443"/>
  <c r="E41"/>
  <c r="E156"/>
  <c r="E280"/>
  <c r="E265"/>
  <c r="E471"/>
  <c r="E381"/>
  <c r="E59"/>
  <c r="E194"/>
  <c r="E418"/>
  <c r="E49"/>
  <c r="E270"/>
  <c r="AM6"/>
  <c r="E408"/>
  <c r="E427"/>
  <c r="E464"/>
  <c r="E78"/>
  <c r="E92"/>
  <c r="E193"/>
  <c r="E157"/>
  <c r="E337"/>
  <c r="E238"/>
  <c r="E278"/>
  <c r="E209"/>
  <c r="E390"/>
  <c r="E414"/>
  <c r="E104"/>
  <c r="E161"/>
  <c r="E158"/>
  <c r="E44"/>
  <c r="E94"/>
  <c r="E450"/>
  <c r="E296"/>
  <c r="E202"/>
  <c r="E534"/>
  <c r="E492"/>
  <c r="E472"/>
  <c r="E83"/>
  <c r="AA6"/>
  <c r="E186"/>
  <c r="E127"/>
  <c r="E124"/>
  <c r="AD6"/>
  <c r="E311"/>
  <c r="E266"/>
  <c r="E222"/>
  <c r="E299"/>
  <c r="E263"/>
  <c r="E215"/>
  <c r="E388"/>
  <c r="E327"/>
  <c r="E424"/>
  <c r="I6"/>
  <c r="E430"/>
  <c r="E103"/>
  <c r="E82"/>
  <c r="E548"/>
  <c r="E146"/>
  <c r="E200"/>
  <c r="E164"/>
  <c r="Z6"/>
  <c r="E77"/>
  <c r="E62"/>
  <c r="E99"/>
  <c r="E454"/>
  <c r="E434"/>
  <c r="E389"/>
  <c r="E262"/>
  <c r="E520"/>
  <c r="E552"/>
  <c r="E230"/>
  <c r="E101"/>
  <c r="AK6"/>
  <c r="E57"/>
  <c r="E143"/>
  <c r="E274"/>
  <c r="E223"/>
  <c r="E463"/>
  <c r="E441"/>
  <c r="E32"/>
  <c r="E205"/>
  <c r="E292"/>
  <c r="E367"/>
  <c r="E547"/>
  <c r="E399"/>
  <c r="E426"/>
  <c r="E415"/>
  <c r="E447"/>
  <c r="E478"/>
  <c r="E60"/>
  <c r="E80"/>
  <c r="E33"/>
  <c r="E317"/>
  <c r="E75"/>
  <c r="E28"/>
  <c r="Q6"/>
  <c r="E357"/>
  <c r="E178"/>
  <c r="E141"/>
  <c r="E119"/>
  <c r="E179"/>
  <c r="J6"/>
  <c r="E168"/>
  <c r="E500"/>
  <c r="AS6"/>
  <c r="E48"/>
  <c r="E34"/>
  <c r="E97"/>
  <c r="E444"/>
  <c r="E438"/>
  <c r="E407"/>
  <c r="AE6"/>
  <c r="E383"/>
  <c r="E455"/>
  <c r="E550"/>
  <c r="E289"/>
  <c r="E247"/>
  <c r="E363"/>
  <c r="E136"/>
  <c r="E113"/>
  <c r="E568"/>
  <c r="E79"/>
  <c r="E85"/>
  <c r="E425"/>
  <c r="E539"/>
  <c r="E401"/>
  <c r="E332"/>
  <c r="E257"/>
  <c r="E245"/>
  <c r="E272"/>
  <c r="E139"/>
  <c r="E166"/>
  <c r="E52"/>
  <c r="E102"/>
  <c r="E445"/>
  <c r="O6"/>
  <c r="E451"/>
  <c r="E25"/>
  <c r="E556"/>
  <c r="E204"/>
  <c r="U6"/>
  <c r="E258"/>
  <c r="E291"/>
  <c r="E207"/>
  <c r="E305"/>
  <c r="E479"/>
  <c r="E527"/>
  <c r="E449"/>
  <c r="E73"/>
  <c r="E43"/>
  <c r="E365"/>
  <c r="E196"/>
  <c r="E126"/>
  <c r="E276"/>
  <c r="E248"/>
  <c r="E259"/>
  <c r="E211"/>
  <c r="E370"/>
  <c r="E336"/>
  <c r="E308"/>
  <c r="Y6"/>
  <c r="E526"/>
  <c r="AR6"/>
  <c r="E416"/>
  <c r="E466"/>
  <c r="E477"/>
  <c r="E65"/>
  <c r="E96"/>
  <c r="E51"/>
  <c r="E540"/>
  <c r="E513"/>
  <c r="E160"/>
  <c r="E198"/>
  <c r="E134"/>
  <c r="E345"/>
  <c r="E242"/>
  <c r="E281"/>
  <c r="AI6"/>
  <c r="E72"/>
  <c r="E133"/>
  <c r="E290"/>
  <c r="E239"/>
  <c r="E440"/>
  <c r="E87"/>
  <c r="AF6"/>
  <c r="E234"/>
  <c r="E331"/>
  <c r="E458"/>
  <c r="E40"/>
  <c r="E128"/>
  <c r="E362"/>
  <c r="E29"/>
  <c r="E559"/>
  <c r="E176"/>
  <c r="E150"/>
  <c r="E256"/>
  <c r="E228"/>
  <c r="E554"/>
  <c r="E314"/>
  <c r="E491"/>
  <c r="E324"/>
  <c r="E525"/>
  <c r="E502"/>
  <c r="E319"/>
  <c r="E334"/>
  <c r="K6"/>
  <c r="E489"/>
  <c r="E456"/>
  <c r="E325"/>
  <c r="E353"/>
  <c r="E286"/>
  <c r="E569"/>
  <c r="E396"/>
  <c r="E50"/>
  <c r="E183"/>
  <c r="AJ6"/>
  <c r="E216"/>
  <c r="E236"/>
  <c r="E320"/>
  <c r="E546"/>
  <c r="E392"/>
  <c r="E474"/>
  <c r="E45"/>
  <c r="E15"/>
  <c r="E373"/>
  <c r="E171"/>
  <c r="E284"/>
  <c r="E251"/>
  <c r="E360"/>
  <c r="E354"/>
  <c r="E42"/>
  <c r="E56"/>
  <c r="T6"/>
  <c r="E531"/>
  <c r="E181"/>
  <c r="E86"/>
  <c r="AO6"/>
  <c r="E476"/>
  <c r="M6"/>
  <c r="E68"/>
  <c r="E475"/>
  <c r="E192"/>
  <c r="E241"/>
  <c r="E135"/>
  <c r="E421"/>
  <c r="E114"/>
  <c r="E69"/>
  <c r="E147"/>
  <c r="E206"/>
  <c r="E348"/>
  <c r="E446"/>
  <c r="E22"/>
  <c r="E132"/>
  <c r="E93"/>
  <c r="E152"/>
  <c r="E439"/>
  <c r="E333"/>
  <c r="E394"/>
  <c r="E437"/>
  <c r="E459"/>
  <c r="E91"/>
  <c r="E55"/>
  <c r="E46"/>
  <c r="E117"/>
  <c r="E115"/>
  <c r="E282"/>
  <c r="E221"/>
  <c r="E231"/>
  <c r="E359"/>
  <c r="E570"/>
  <c r="E457"/>
  <c r="E528"/>
  <c r="E195"/>
  <c r="E375"/>
  <c r="E31"/>
  <c r="E470"/>
  <c r="E391"/>
  <c r="E409"/>
  <c r="X6"/>
  <c r="E349"/>
  <c r="E321"/>
  <c r="E36"/>
  <c r="E376"/>
  <c r="E149"/>
  <c r="E187"/>
  <c r="E131"/>
  <c r="E387"/>
  <c r="E295"/>
  <c r="E253"/>
  <c r="E237"/>
  <c r="E294"/>
  <c r="E249"/>
  <c r="E225"/>
  <c r="E304"/>
  <c r="R6"/>
  <c r="E89"/>
  <c r="E537"/>
  <c r="E428"/>
  <c r="E21"/>
  <c r="E549"/>
  <c r="E199"/>
  <c r="E165"/>
  <c r="E125"/>
  <c r="E201"/>
  <c r="E54"/>
  <c r="E100"/>
  <c r="E64"/>
  <c r="E460"/>
  <c r="E423"/>
  <c r="E404"/>
  <c r="AH6"/>
  <c r="E170"/>
  <c r="E452"/>
  <c r="E374"/>
  <c r="E140"/>
  <c r="I3" i="6"/>
  <c r="E435" i="3"/>
  <c r="E30"/>
  <c r="P6"/>
  <c r="E213"/>
  <c r="E343"/>
  <c r="E490"/>
  <c r="E84"/>
  <c r="E536"/>
  <c r="E142"/>
  <c r="E218"/>
  <c r="AP6"/>
  <c r="E397"/>
  <c r="E410"/>
  <c r="E442"/>
  <c r="E431"/>
  <c r="E462"/>
  <c r="E468"/>
  <c r="E110"/>
  <c r="E70"/>
  <c r="E47"/>
  <c r="E109"/>
  <c r="E63"/>
  <c r="E38"/>
  <c r="E545"/>
  <c r="E185"/>
  <c r="E174"/>
  <c r="E151"/>
  <c r="E184"/>
  <c r="E148"/>
  <c r="E129"/>
  <c r="E313"/>
  <c r="E482"/>
  <c r="E27"/>
  <c r="E98"/>
  <c r="E53"/>
  <c r="E473"/>
  <c r="E412"/>
  <c r="E422"/>
  <c r="E405"/>
  <c r="N6"/>
  <c r="E469"/>
  <c r="E398"/>
  <c r="W6"/>
  <c r="E232"/>
  <c r="E293"/>
  <c r="E533"/>
  <c r="E190"/>
  <c r="E189"/>
  <c r="E560"/>
  <c r="E37"/>
  <c r="E420"/>
  <c r="E507"/>
  <c r="E111"/>
  <c r="E303"/>
  <c r="E233"/>
  <c r="E275"/>
  <c r="E261"/>
  <c r="AT6"/>
  <c r="E203"/>
  <c r="L6"/>
  <c r="E39"/>
  <c r="E467"/>
  <c r="E402"/>
  <c r="E429"/>
  <c r="E107"/>
  <c r="E67"/>
  <c r="E172"/>
  <c r="E116"/>
  <c r="E288"/>
  <c r="E214"/>
  <c r="E255"/>
  <c r="E372"/>
  <c r="E393"/>
  <c r="E486"/>
  <c r="E417"/>
  <c r="E465"/>
  <c r="E88"/>
  <c r="E543"/>
  <c r="E145"/>
  <c r="E154"/>
  <c r="E480"/>
  <c r="E264"/>
  <c r="E279"/>
  <c r="E243"/>
  <c r="E220"/>
  <c r="E369"/>
  <c r="E347"/>
  <c r="E309"/>
  <c r="E517"/>
  <c r="V6"/>
  <c r="E400"/>
  <c r="E448"/>
  <c r="E453"/>
  <c r="E105"/>
  <c r="E58"/>
  <c r="E74"/>
  <c r="AQ6"/>
  <c r="AG6"/>
  <c r="E197"/>
  <c r="E121"/>
  <c r="E162"/>
  <c r="E505"/>
  <c r="E285"/>
  <c r="E224"/>
  <c r="E235"/>
  <c r="E419"/>
  <c r="E61"/>
  <c r="E123"/>
  <c r="E229"/>
  <c r="E302"/>
  <c r="E433"/>
  <c r="E66"/>
  <c r="E120"/>
  <c r="E386"/>
  <c r="E529"/>
  <c r="E76"/>
  <c r="E191"/>
  <c r="E287"/>
  <c r="E300"/>
  <c r="E24"/>
  <c r="E555"/>
  <c r="E188"/>
  <c r="E379"/>
  <c r="E271"/>
  <c r="E355"/>
  <c r="E306"/>
  <c r="E530"/>
  <c r="E508"/>
  <c r="E499"/>
  <c r="E180"/>
  <c r="E538"/>
  <c r="E493"/>
  <c r="E558"/>
  <c r="E551"/>
  <c r="E403"/>
  <c r="E108"/>
  <c r="E173"/>
  <c r="E246"/>
  <c r="E217"/>
  <c r="E81"/>
  <c r="E436"/>
  <c r="E16"/>
  <c r="E177"/>
  <c r="E277"/>
  <c r="E260"/>
  <c r="E385"/>
  <c r="E307"/>
  <c r="E524"/>
  <c r="E432"/>
  <c r="E95"/>
  <c r="E90"/>
  <c r="E19"/>
  <c r="E153"/>
  <c r="E498"/>
  <c r="E210"/>
  <c r="E212"/>
  <c r="E339"/>
  <c r="E298"/>
  <c r="E106"/>
  <c r="E35"/>
  <c r="E14"/>
  <c r="E361"/>
  <c r="E169"/>
  <c r="E182"/>
  <c r="E118"/>
  <c r="E315"/>
  <c r="E226"/>
  <c r="E267"/>
  <c r="E378"/>
  <c r="E323"/>
  <c r="E163"/>
  <c r="E312"/>
  <c r="E364"/>
  <c r="O10" i="1"/>
  <c r="P10" s="1"/>
  <c r="G30" i="6"/>
  <c r="G31" s="1"/>
  <c r="E28"/>
  <c r="O9" i="1"/>
  <c r="P9" s="1"/>
  <c r="E14" i="6"/>
  <c r="E15"/>
  <c r="E13"/>
  <c r="E12"/>
  <c r="E10"/>
  <c r="E11"/>
  <c r="O13" i="1"/>
  <c r="P13" s="1"/>
  <c r="O6"/>
  <c r="P6" s="1"/>
  <c r="O7"/>
  <c r="P7" s="1"/>
  <c r="O11"/>
  <c r="P11" s="1"/>
  <c r="BL5" i="3"/>
  <c r="AZ13"/>
  <c r="AZ5" s="1"/>
  <c r="O12" i="1"/>
  <c r="P12" s="1"/>
  <c r="AB11" i="46"/>
  <c r="AB13" s="1"/>
  <c r="AI11"/>
  <c r="AI13" s="1"/>
  <c r="AA11"/>
  <c r="AA13" s="1"/>
  <c r="C23"/>
  <c r="AH11"/>
  <c r="AH13" s="1"/>
  <c r="AD11"/>
  <c r="AD13" s="1"/>
  <c r="Z11"/>
  <c r="Z13" s="1"/>
  <c r="F101"/>
  <c r="N101"/>
  <c r="K101"/>
  <c r="Z7"/>
  <c r="E101"/>
  <c r="F22"/>
  <c r="L101"/>
  <c r="N104" i="45"/>
  <c r="B113" i="46"/>
  <c r="J101"/>
  <c r="G101"/>
  <c r="C101"/>
  <c r="H22"/>
  <c r="AE11"/>
  <c r="AE13" s="1"/>
  <c r="AJ11"/>
  <c r="AJ13" s="1"/>
  <c r="AF11"/>
  <c r="AF13" s="1"/>
  <c r="Y11"/>
  <c r="Y13" s="1"/>
  <c r="AG11"/>
  <c r="AG13" s="1"/>
  <c r="AC11"/>
  <c r="AC13" s="1"/>
  <c r="E22"/>
  <c r="H101"/>
  <c r="M101"/>
  <c r="D101"/>
  <c r="I101"/>
  <c r="G22"/>
  <c r="J22"/>
  <c r="C16"/>
  <c r="C5" s="1"/>
  <c r="H51"/>
  <c r="H53"/>
  <c r="H60"/>
  <c r="H59"/>
  <c r="H69"/>
  <c r="H65"/>
  <c r="H75"/>
  <c r="H72"/>
  <c r="H74"/>
  <c r="H73"/>
  <c r="H76"/>
  <c r="H55"/>
  <c r="H54"/>
  <c r="H52"/>
  <c r="H47"/>
  <c r="D5"/>
  <c r="G8" i="1"/>
  <c r="G10"/>
  <c r="G13"/>
  <c r="AP16"/>
  <c r="F22" i="11" s="1"/>
  <c r="G6" i="1"/>
  <c r="N4" i="63"/>
  <c r="E14" i="52"/>
  <c r="E48" i="35"/>
  <c r="F48" s="1"/>
  <c r="G48" s="1"/>
  <c r="H48" s="1"/>
  <c r="I48" s="1"/>
  <c r="J48" s="1"/>
  <c r="K48" s="1"/>
  <c r="L48" s="1"/>
  <c r="M48" s="1"/>
  <c r="N48" s="1"/>
  <c r="O48" s="1"/>
  <c r="H7" i="21"/>
  <c r="D58"/>
  <c r="E58" s="1"/>
  <c r="F58" s="1"/>
  <c r="G58" s="1"/>
  <c r="H58" s="1"/>
  <c r="I58" s="1"/>
  <c r="J58" s="1"/>
  <c r="K58" s="1"/>
  <c r="L58" s="1"/>
  <c r="M58" s="1"/>
  <c r="N58" s="1"/>
  <c r="O58" s="1"/>
  <c r="F7"/>
  <c r="C72" i="39"/>
  <c r="D70"/>
  <c r="E52" i="37"/>
  <c r="F52" s="1"/>
  <c r="G52" s="1"/>
  <c r="H52" s="1"/>
  <c r="I52" s="1"/>
  <c r="J52" s="1"/>
  <c r="K52" s="1"/>
  <c r="L52" s="1"/>
  <c r="M52" s="1"/>
  <c r="N52" s="1"/>
  <c r="O52" s="1"/>
  <c r="J7"/>
  <c r="F59" i="34"/>
  <c r="G59" s="1"/>
  <c r="H59" s="1"/>
  <c r="I59" s="1"/>
  <c r="J59" s="1"/>
  <c r="K59" s="1"/>
  <c r="L59" s="1"/>
  <c r="M59" s="1"/>
  <c r="N59" s="1"/>
  <c r="O59" s="1"/>
  <c r="F7"/>
  <c r="F46" i="36"/>
  <c r="G46" s="1"/>
  <c r="H46" s="1"/>
  <c r="I46" s="1"/>
  <c r="J46" s="1"/>
  <c r="K46" s="1"/>
  <c r="L46" s="1"/>
  <c r="M46" s="1"/>
  <c r="N46" s="1"/>
  <c r="O46" s="1"/>
  <c r="F7"/>
  <c r="D58" i="33"/>
  <c r="E58" s="1"/>
  <c r="F58" s="1"/>
  <c r="G58" s="1"/>
  <c r="H58" s="1"/>
  <c r="I58" s="1"/>
  <c r="J58" s="1"/>
  <c r="K58" s="1"/>
  <c r="L58" s="1"/>
  <c r="M58" s="1"/>
  <c r="N58" s="1"/>
  <c r="O58" s="1"/>
  <c r="D65" i="40"/>
  <c r="C67"/>
  <c r="F7" i="37"/>
  <c r="H7"/>
  <c r="J7" i="36"/>
  <c r="H7"/>
  <c r="H7" i="35"/>
  <c r="H7" i="34"/>
  <c r="J7"/>
  <c r="C6" i="59"/>
  <c r="C5" s="1"/>
  <c r="D5" s="1"/>
  <c r="B6" i="52"/>
  <c r="E7"/>
  <c r="E6"/>
  <c r="E4"/>
  <c r="B7"/>
  <c r="E5"/>
  <c r="P21" i="46"/>
  <c r="B6" i="59"/>
  <c r="B5" s="1"/>
  <c r="D6"/>
  <c r="P22" i="46"/>
  <c r="P23"/>
  <c r="P25"/>
  <c r="B73" i="39" s="1"/>
  <c r="P24" i="46"/>
  <c r="B68" i="40" s="1"/>
  <c r="E22" i="52"/>
  <c r="B22"/>
  <c r="B10"/>
  <c r="B11"/>
  <c r="B4"/>
  <c r="E9"/>
  <c r="C36" i="44"/>
  <c r="C8"/>
  <c r="F63" i="15"/>
  <c r="F67"/>
  <c r="C4" i="65"/>
  <c r="B39" i="1" s="1"/>
  <c r="J60" i="44"/>
  <c r="J54"/>
  <c r="I55"/>
  <c r="J58"/>
  <c r="J56" s="1"/>
  <c r="J59" s="1"/>
  <c r="Q52" s="1"/>
  <c r="L57"/>
  <c r="J61"/>
  <c r="Q50" s="1"/>
  <c r="J22"/>
  <c r="Q72" i="15"/>
  <c r="I1" i="65"/>
  <c r="Q73" i="44"/>
  <c r="F64" i="15"/>
  <c r="L60" i="44"/>
  <c r="L59"/>
  <c r="C27" i="15"/>
  <c r="F62"/>
  <c r="C61" s="1"/>
  <c r="C34"/>
  <c r="J20"/>
  <c r="F68"/>
  <c r="F65"/>
  <c r="F50"/>
  <c r="L59"/>
  <c r="L58"/>
  <c r="F49"/>
  <c r="M7"/>
  <c r="J6" s="1"/>
  <c r="C29" i="44"/>
  <c r="F70" i="15"/>
  <c r="M9" i="44"/>
  <c r="J8" s="1"/>
  <c r="C6" i="15"/>
  <c r="J1" i="65"/>
  <c r="E20" i="46"/>
  <c r="I54" i="15"/>
  <c r="J57"/>
  <c r="J55" s="1"/>
  <c r="J58" s="1"/>
  <c r="Q51" s="1"/>
  <c r="J53"/>
  <c r="L56"/>
  <c r="E17" i="52"/>
  <c r="E11"/>
  <c r="E15"/>
  <c r="E4" i="4" s="1"/>
  <c r="B21" i="55" s="1"/>
  <c r="B72" i="63" s="1"/>
  <c r="E13" i="52"/>
  <c r="B14"/>
  <c r="E8"/>
  <c r="E16"/>
  <c r="B5"/>
  <c r="B9"/>
  <c r="B16"/>
  <c r="B8"/>
  <c r="B13"/>
  <c r="E10"/>
  <c r="C4" i="4" s="1"/>
  <c r="B20" i="55" s="1"/>
  <c r="B70" i="63" s="1"/>
  <c r="E21" i="52"/>
  <c r="M17" i="15"/>
  <c r="F58"/>
  <c r="F31"/>
  <c r="F33" i="44"/>
  <c r="M19"/>
  <c r="C16" i="15"/>
  <c r="C15" i="12"/>
  <c r="E2" i="65"/>
  <c r="E3"/>
  <c r="C18" i="44"/>
  <c r="D21" i="12"/>
  <c r="C17" i="15"/>
  <c r="C15" i="72"/>
  <c r="D13" i="59" l="1"/>
  <c r="T13"/>
  <c r="C12"/>
  <c r="C24"/>
  <c r="D23"/>
  <c r="C16"/>
  <c r="D15"/>
  <c r="C37"/>
  <c r="D36"/>
  <c r="P50"/>
  <c r="P51"/>
  <c r="D44"/>
  <c r="C45"/>
  <c r="AB9" i="36"/>
  <c r="U9"/>
  <c r="AA9" i="33"/>
  <c r="S9"/>
  <c r="AB37"/>
  <c r="U37"/>
  <c r="K17" i="4"/>
  <c r="A22" i="51" s="1"/>
  <c r="B16" i="63" s="1"/>
  <c r="AA44" i="33"/>
  <c r="V13" i="59"/>
  <c r="F12"/>
  <c r="F11" s="1"/>
  <c r="N52"/>
  <c r="B51"/>
  <c r="AB24" i="36"/>
  <c r="U24"/>
  <c r="AA9"/>
  <c r="S9"/>
  <c r="AA10" i="21"/>
  <c r="S10"/>
  <c r="C25" i="72"/>
  <c r="C34" s="1"/>
  <c r="D33" s="1"/>
  <c r="C25" i="12"/>
  <c r="C27" i="43"/>
  <c r="C31"/>
  <c r="C15"/>
  <c r="J7" i="35"/>
  <c r="F7" i="33"/>
  <c r="H7"/>
  <c r="F7" i="35"/>
  <c r="H16" i="1"/>
  <c r="Q16"/>
  <c r="F18" i="11" s="1"/>
  <c r="C18" s="1"/>
  <c r="C30" i="44"/>
  <c r="AB36" i="33"/>
  <c r="U36"/>
  <c r="AC36"/>
  <c r="S36"/>
  <c r="AA36"/>
  <c r="S32"/>
  <c r="AA27"/>
  <c r="AC27"/>
  <c r="W27"/>
  <c r="AA17"/>
  <c r="S17"/>
  <c r="AB17"/>
  <c r="U17"/>
  <c r="P17" i="73"/>
  <c r="N17"/>
  <c r="O17"/>
  <c r="M17"/>
  <c r="C21" i="12"/>
  <c r="U37" i="21"/>
  <c r="AB37"/>
  <c r="W37"/>
  <c r="AC37"/>
  <c r="E301" i="3"/>
  <c r="E240"/>
  <c r="E137"/>
  <c r="E71"/>
  <c r="E244"/>
  <c r="E488"/>
  <c r="AB6"/>
  <c r="E329"/>
  <c r="E487"/>
  <c r="E567"/>
  <c r="E310"/>
  <c r="E371"/>
  <c r="E384"/>
  <c r="E512"/>
  <c r="E501"/>
  <c r="E514"/>
  <c r="E159"/>
  <c r="E338"/>
  <c r="E144"/>
  <c r="E380"/>
  <c r="E318"/>
  <c r="E316"/>
  <c r="E341"/>
  <c r="E254"/>
  <c r="E542"/>
  <c r="E494"/>
  <c r="E515"/>
  <c r="E167"/>
  <c r="E518"/>
  <c r="E562"/>
  <c r="E208"/>
  <c r="E269"/>
  <c r="E13"/>
  <c r="E557"/>
  <c r="E523"/>
  <c r="E541"/>
  <c r="E544"/>
  <c r="E346"/>
  <c r="E252"/>
  <c r="E155"/>
  <c r="E519"/>
  <c r="E328"/>
  <c r="E138"/>
  <c r="E461"/>
  <c r="E352"/>
  <c r="E130"/>
  <c r="E496"/>
  <c r="E521"/>
  <c r="E350"/>
  <c r="E340"/>
  <c r="E330"/>
  <c r="E532"/>
  <c r="E366"/>
  <c r="E483"/>
  <c r="E335"/>
  <c r="E344"/>
  <c r="F24" i="43"/>
  <c r="C26" s="1"/>
  <c r="D24" s="1"/>
  <c r="E27" i="6"/>
  <c r="K20" s="1"/>
  <c r="H6" i="3"/>
  <c r="AC6"/>
  <c r="E60" i="40"/>
  <c r="E65" i="39"/>
  <c r="E66"/>
  <c r="E61" i="40"/>
  <c r="E16" i="6"/>
  <c r="AY6" i="3"/>
  <c r="E3" i="6"/>
  <c r="E58" i="40"/>
  <c r="E63" i="39"/>
  <c r="E64"/>
  <c r="E59" i="40"/>
  <c r="E62"/>
  <c r="E67" i="39"/>
  <c r="K19" i="6"/>
  <c r="S6" i="1" s="1"/>
  <c r="K14"/>
  <c r="K24" i="6"/>
  <c r="M24" s="1"/>
  <c r="I24" s="1"/>
  <c r="S24" s="1"/>
  <c r="E30"/>
  <c r="I102" i="46"/>
  <c r="I109"/>
  <c r="I107"/>
  <c r="I104"/>
  <c r="I106"/>
  <c r="I105"/>
  <c r="I103"/>
  <c r="M104"/>
  <c r="M103"/>
  <c r="M105"/>
  <c r="M107"/>
  <c r="M109"/>
  <c r="M102"/>
  <c r="M106"/>
  <c r="G103"/>
  <c r="G106"/>
  <c r="G104"/>
  <c r="G102"/>
  <c r="G107"/>
  <c r="G109"/>
  <c r="G105"/>
  <c r="I115"/>
  <c r="J115" s="1"/>
  <c r="K115" s="1"/>
  <c r="L115" s="1"/>
  <c r="M115" s="1"/>
  <c r="B117"/>
  <c r="C117" s="1"/>
  <c r="D115"/>
  <c r="E115" s="1"/>
  <c r="F115" s="1"/>
  <c r="G115" s="1"/>
  <c r="H115" s="1"/>
  <c r="I118"/>
  <c r="J118" s="1"/>
  <c r="K118" s="1"/>
  <c r="L118" s="1"/>
  <c r="M118" s="1"/>
  <c r="D116"/>
  <c r="E116" s="1"/>
  <c r="F116" s="1"/>
  <c r="G116" s="1"/>
  <c r="H116" s="1"/>
  <c r="B118"/>
  <c r="C118" s="1"/>
  <c r="D118"/>
  <c r="E118" s="1"/>
  <c r="F118" s="1"/>
  <c r="I116"/>
  <c r="J116" s="1"/>
  <c r="K116" s="1"/>
  <c r="L116" s="1"/>
  <c r="M116" s="1"/>
  <c r="I117"/>
  <c r="J117" s="1"/>
  <c r="K117" s="1"/>
  <c r="L117" s="1"/>
  <c r="M117" s="1"/>
  <c r="B115"/>
  <c r="B116"/>
  <c r="C116" s="1"/>
  <c r="G118"/>
  <c r="H118" s="1"/>
  <c r="D117"/>
  <c r="E117" s="1"/>
  <c r="F117" s="1"/>
  <c r="G117" s="1"/>
  <c r="H117" s="1"/>
  <c r="L106"/>
  <c r="L107"/>
  <c r="L109"/>
  <c r="L103"/>
  <c r="L102"/>
  <c r="L105"/>
  <c r="L104"/>
  <c r="E103"/>
  <c r="E107"/>
  <c r="E102"/>
  <c r="E104"/>
  <c r="E106"/>
  <c r="E105"/>
  <c r="E109"/>
  <c r="K107"/>
  <c r="K102"/>
  <c r="K106"/>
  <c r="K109"/>
  <c r="K104"/>
  <c r="K105"/>
  <c r="K103"/>
  <c r="F106"/>
  <c r="F103"/>
  <c r="F104"/>
  <c r="F109"/>
  <c r="F107"/>
  <c r="F105"/>
  <c r="F102"/>
  <c r="D22"/>
  <c r="C21" s="1"/>
  <c r="D102"/>
  <c r="D104"/>
  <c r="D109"/>
  <c r="D103"/>
  <c r="D105"/>
  <c r="D106"/>
  <c r="D107"/>
  <c r="H104"/>
  <c r="H105"/>
  <c r="H106"/>
  <c r="H109"/>
  <c r="H102"/>
  <c r="H103"/>
  <c r="H107"/>
  <c r="C104"/>
  <c r="C107"/>
  <c r="C109"/>
  <c r="C103"/>
  <c r="C106"/>
  <c r="C105"/>
  <c r="C102"/>
  <c r="J107"/>
  <c r="J106"/>
  <c r="J104"/>
  <c r="J103"/>
  <c r="J105"/>
  <c r="J109"/>
  <c r="J102"/>
  <c r="N103"/>
  <c r="N104"/>
  <c r="N106"/>
  <c r="N109"/>
  <c r="N105"/>
  <c r="N102"/>
  <c r="N107"/>
  <c r="G16" i="1"/>
  <c r="J12" i="40" s="1"/>
  <c r="W7" i="34"/>
  <c r="AC7"/>
  <c r="V49" s="1"/>
  <c r="I49" s="1"/>
  <c r="W7" i="35"/>
  <c r="AC7"/>
  <c r="V38" s="1"/>
  <c r="I38" s="1"/>
  <c r="U7" i="36"/>
  <c r="AB7"/>
  <c r="T36" s="1"/>
  <c r="G36" s="1"/>
  <c r="AB7" i="37"/>
  <c r="T42" s="1"/>
  <c r="G42" s="1"/>
  <c r="U7"/>
  <c r="D67" i="40"/>
  <c r="E65"/>
  <c r="J7" i="33"/>
  <c r="J7" i="21"/>
  <c r="U7" i="34"/>
  <c r="AB7"/>
  <c r="T49" s="1"/>
  <c r="G49" s="1"/>
  <c r="AB7" i="35"/>
  <c r="T38" s="1"/>
  <c r="G38" s="1"/>
  <c r="U7"/>
  <c r="AC7" i="36"/>
  <c r="V36" s="1"/>
  <c r="I36" s="1"/>
  <c r="W7"/>
  <c r="AA7" i="37"/>
  <c r="R42" s="1"/>
  <c r="S7"/>
  <c r="S7" i="33"/>
  <c r="AA7"/>
  <c r="R48" s="1"/>
  <c r="U7"/>
  <c r="AB7"/>
  <c r="T48" s="1"/>
  <c r="G48" s="1"/>
  <c r="AA7" i="36"/>
  <c r="R36" s="1"/>
  <c r="S7"/>
  <c r="S7" i="34"/>
  <c r="AA7"/>
  <c r="R49" s="1"/>
  <c r="W7" i="37"/>
  <c r="AC7"/>
  <c r="V42" s="1"/>
  <c r="I42" s="1"/>
  <c r="D72" i="39"/>
  <c r="E70"/>
  <c r="S7" i="21"/>
  <c r="AA7"/>
  <c r="R48" s="1"/>
  <c r="U7"/>
  <c r="AB7"/>
  <c r="T48" s="1"/>
  <c r="G48" s="1"/>
  <c r="AA7" i="35"/>
  <c r="R38" s="1"/>
  <c r="S7"/>
  <c r="C48" i="15"/>
  <c r="L47" i="44"/>
  <c r="F17" i="11"/>
  <c r="C17" s="1"/>
  <c r="C19" s="1"/>
  <c r="B40" i="1"/>
  <c r="F26" i="72" s="1"/>
  <c r="O17" i="46"/>
  <c r="G20" s="1"/>
  <c r="P17"/>
  <c r="M17"/>
  <c r="N17"/>
  <c r="Q61" i="15"/>
  <c r="Q74"/>
  <c r="Q76" i="44"/>
  <c r="Q63"/>
  <c r="Q54"/>
  <c r="F1"/>
  <c r="F13"/>
  <c r="C12" s="1"/>
  <c r="C7" s="1"/>
  <c r="M11" i="15"/>
  <c r="J10" s="1"/>
  <c r="J5" s="1"/>
  <c r="F11"/>
  <c r="M13" i="44"/>
  <c r="J12" s="1"/>
  <c r="J7" s="1"/>
  <c r="F1" i="15"/>
  <c r="Q53"/>
  <c r="Q75"/>
  <c r="Q62"/>
  <c r="Q75" i="44"/>
  <c r="Q62"/>
  <c r="F33" i="12"/>
  <c r="T45" i="59" l="1"/>
  <c r="D45"/>
  <c r="C11"/>
  <c r="D12"/>
  <c r="N50"/>
  <c r="N51"/>
  <c r="T37"/>
  <c r="D37"/>
  <c r="C17"/>
  <c r="D16"/>
  <c r="C25"/>
  <c r="D24"/>
  <c r="G20" i="73"/>
  <c r="E41" s="1"/>
  <c r="C41" s="1"/>
  <c r="C27" i="72"/>
  <c r="D26" s="1"/>
  <c r="C32" s="1"/>
  <c r="D30" s="1"/>
  <c r="C34" i="12"/>
  <c r="D33" s="1"/>
  <c r="E41" i="46"/>
  <c r="C41" s="1"/>
  <c r="C20"/>
  <c r="K21" i="6"/>
  <c r="K23"/>
  <c r="M23" s="1"/>
  <c r="I23" s="1"/>
  <c r="S23" s="1"/>
  <c r="E31"/>
  <c r="K25"/>
  <c r="M25" s="1"/>
  <c r="I25" s="1"/>
  <c r="S25" s="1"/>
  <c r="K22"/>
  <c r="S9" i="1" s="1"/>
  <c r="K26" i="6"/>
  <c r="M26" s="1"/>
  <c r="I26" s="1"/>
  <c r="S26" s="1"/>
  <c r="M21"/>
  <c r="I21" s="1"/>
  <c r="S21" s="1"/>
  <c r="S8" i="1"/>
  <c r="M22" i="6"/>
  <c r="I22" s="1"/>
  <c r="S22" s="1"/>
  <c r="M20"/>
  <c r="I20" s="1"/>
  <c r="S20" s="1"/>
  <c r="S7" i="1"/>
  <c r="E6" i="3"/>
  <c r="M14" i="1"/>
  <c r="K16"/>
  <c r="M19" i="6"/>
  <c r="AY13" i="3"/>
  <c r="BL6"/>
  <c r="AY103"/>
  <c r="AY64"/>
  <c r="AY21"/>
  <c r="AY154"/>
  <c r="AY52"/>
  <c r="AY42"/>
  <c r="AY191"/>
  <c r="AY160"/>
  <c r="AY204"/>
  <c r="AY515"/>
  <c r="AY92"/>
  <c r="AY75"/>
  <c r="AY31"/>
  <c r="AY175"/>
  <c r="AY118"/>
  <c r="AY277"/>
  <c r="AY234"/>
  <c r="AY264"/>
  <c r="AY209"/>
  <c r="AY384"/>
  <c r="AY317"/>
  <c r="AY467"/>
  <c r="AY416"/>
  <c r="AY425"/>
  <c r="AY402"/>
  <c r="AY479"/>
  <c r="AY55"/>
  <c r="AY202"/>
  <c r="AY181"/>
  <c r="AY139"/>
  <c r="AY250"/>
  <c r="AY286"/>
  <c r="AY343"/>
  <c r="AY364"/>
  <c r="AY560"/>
  <c r="AY398"/>
  <c r="AY65"/>
  <c r="AY70"/>
  <c r="AY141"/>
  <c r="AY169"/>
  <c r="AY265"/>
  <c r="AY238"/>
  <c r="AY310"/>
  <c r="AY348"/>
  <c r="AY350"/>
  <c r="BK6"/>
  <c r="AY459"/>
  <c r="AY72"/>
  <c r="AY50"/>
  <c r="AY115"/>
  <c r="AY226"/>
  <c r="AY241"/>
  <c r="AY346"/>
  <c r="AY435"/>
  <c r="AY400"/>
  <c r="AY30"/>
  <c r="AY161"/>
  <c r="AY230"/>
  <c r="AY340"/>
  <c r="AY542"/>
  <c r="AY101"/>
  <c r="AY132"/>
  <c r="AY272"/>
  <c r="AY382"/>
  <c r="AY305"/>
  <c r="AY420"/>
  <c r="AY405"/>
  <c r="AY555"/>
  <c r="AY429"/>
  <c r="AY188"/>
  <c r="AY442"/>
  <c r="AY143"/>
  <c r="AY43"/>
  <c r="AY157"/>
  <c r="AY572"/>
  <c r="AY308"/>
  <c r="AY501"/>
  <c r="AY528"/>
  <c r="AY99"/>
  <c r="AY268"/>
  <c r="AY388"/>
  <c r="AY431"/>
  <c r="AY498"/>
  <c r="BN6"/>
  <c r="AY137"/>
  <c r="AY239"/>
  <c r="AY456"/>
  <c r="AY407"/>
  <c r="AY485"/>
  <c r="AY500"/>
  <c r="AY518"/>
  <c r="AY552"/>
  <c r="AY565"/>
  <c r="AY107"/>
  <c r="AY112"/>
  <c r="AY140"/>
  <c r="AY244"/>
  <c r="AY458"/>
  <c r="AY415"/>
  <c r="AY527"/>
  <c r="BP6"/>
  <c r="AY152"/>
  <c r="AY247"/>
  <c r="AY461"/>
  <c r="AY399"/>
  <c r="AY489"/>
  <c r="AY503"/>
  <c r="AY519"/>
  <c r="AY553"/>
  <c r="AY546"/>
  <c r="AY20"/>
  <c r="AY66"/>
  <c r="AY199"/>
  <c r="AY242"/>
  <c r="AY208"/>
  <c r="AY325"/>
  <c r="AY480"/>
  <c r="AY417"/>
  <c r="AY78"/>
  <c r="AY186"/>
  <c r="AY174"/>
  <c r="AY287"/>
  <c r="AY299"/>
  <c r="BF6"/>
  <c r="AY90"/>
  <c r="AY163"/>
  <c r="AY153"/>
  <c r="AY222"/>
  <c r="AY351"/>
  <c r="AY385"/>
  <c r="AY447"/>
  <c r="AY390"/>
  <c r="AY358"/>
  <c r="AY492"/>
  <c r="AY375"/>
  <c r="AY540"/>
  <c r="AY328"/>
  <c r="AY15"/>
  <c r="AY185"/>
  <c r="AY484"/>
  <c r="AY344"/>
  <c r="AY355"/>
  <c r="AY559"/>
  <c r="AY505"/>
  <c r="AY63"/>
  <c r="AY220"/>
  <c r="AY483"/>
  <c r="AY17"/>
  <c r="AY223"/>
  <c r="BR6"/>
  <c r="AY506"/>
  <c r="AY563"/>
  <c r="AY71"/>
  <c r="AY497"/>
  <c r="AY108"/>
  <c r="AY68"/>
  <c r="AY190"/>
  <c r="AY285"/>
  <c r="AY240"/>
  <c r="AY357"/>
  <c r="AY440"/>
  <c r="AY404"/>
  <c r="AY60"/>
  <c r="AY133"/>
  <c r="AY235"/>
  <c r="AY327"/>
  <c r="AY475"/>
  <c r="AY84"/>
  <c r="AY195"/>
  <c r="AY213"/>
  <c r="AY334"/>
  <c r="AY468"/>
  <c r="AY421"/>
  <c r="AY502"/>
  <c r="AY331"/>
  <c r="AY377"/>
  <c r="AY362"/>
  <c r="AY110"/>
  <c r="AY270"/>
  <c r="BI6"/>
  <c r="AY205"/>
  <c r="AY298"/>
  <c r="AY487"/>
  <c r="AY164"/>
  <c r="AY252"/>
  <c r="AY403"/>
  <c r="AY571"/>
  <c r="AY469"/>
  <c r="BM6"/>
  <c r="AY514"/>
  <c r="AY509"/>
  <c r="AY177"/>
  <c r="AY260"/>
  <c r="AY454"/>
  <c r="AY554"/>
  <c r="AY263"/>
  <c r="AY423"/>
  <c r="AY499"/>
  <c r="AY539"/>
  <c r="AY524"/>
  <c r="AY228"/>
  <c r="AY391"/>
  <c r="AY532"/>
  <c r="AY504"/>
  <c r="AY100"/>
  <c r="AY83"/>
  <c r="AY47"/>
  <c r="AY182"/>
  <c r="AY126"/>
  <c r="AY45"/>
  <c r="AY106"/>
  <c r="AY217"/>
  <c r="AY291"/>
  <c r="AY383"/>
  <c r="AY361"/>
  <c r="AY427"/>
  <c r="AY422"/>
  <c r="AY170"/>
  <c r="AY146"/>
  <c r="AY214"/>
  <c r="AY324"/>
  <c r="AY476"/>
  <c r="AY39"/>
  <c r="AY116"/>
  <c r="AY258"/>
  <c r="AY366"/>
  <c r="AY315"/>
  <c r="AY548"/>
  <c r="AY168"/>
  <c r="AY256"/>
  <c r="AY464"/>
  <c r="AY81"/>
  <c r="AY295"/>
  <c r="AY342"/>
  <c r="AY194"/>
  <c r="AY279"/>
  <c r="AY16"/>
  <c r="AY438"/>
  <c r="AY278"/>
  <c r="AY336"/>
  <c r="AY253"/>
  <c r="AY352"/>
  <c r="AY35"/>
  <c r="AY124"/>
  <c r="AY449"/>
  <c r="AY525"/>
  <c r="AY273"/>
  <c r="AY428"/>
  <c r="AY494"/>
  <c r="AY526"/>
  <c r="AY566"/>
  <c r="AY48"/>
  <c r="AY212"/>
  <c r="AY19"/>
  <c r="AY488"/>
  <c r="AY215"/>
  <c r="BB6"/>
  <c r="AY513"/>
  <c r="AY568"/>
  <c r="AY61"/>
  <c r="AY251"/>
  <c r="AY347"/>
  <c r="AY451"/>
  <c r="AY23"/>
  <c r="AY296"/>
  <c r="AY345"/>
  <c r="AY54"/>
  <c r="AY237"/>
  <c r="AY353"/>
  <c r="AY470"/>
  <c r="AY460"/>
  <c r="AY173"/>
  <c r="AY338"/>
  <c r="AY119"/>
  <c r="AY312"/>
  <c r="AY59"/>
  <c r="AY284"/>
  <c r="AY533"/>
  <c r="AY444"/>
  <c r="AY522"/>
  <c r="AY79"/>
  <c r="AY89"/>
  <c r="AY134"/>
  <c r="AY306"/>
  <c r="AY419"/>
  <c r="AY102"/>
  <c r="AY261"/>
  <c r="AY33"/>
  <c r="AY243"/>
  <c r="BG6"/>
  <c r="AY426"/>
  <c r="AY196"/>
  <c r="AY373"/>
  <c r="AY165"/>
  <c r="AY301"/>
  <c r="AY570"/>
  <c r="AY466"/>
  <c r="AY255"/>
  <c r="AY496"/>
  <c r="AY521"/>
  <c r="AY474"/>
  <c r="AY354"/>
  <c r="AY482"/>
  <c r="BE6"/>
  <c r="AY441"/>
  <c r="AY121"/>
  <c r="AY452"/>
  <c r="AY491"/>
  <c r="AY523"/>
  <c r="AY508"/>
  <c r="AY537"/>
  <c r="AY53"/>
  <c r="AY73"/>
  <c r="AY74"/>
  <c r="AY144"/>
  <c r="AY98"/>
  <c r="AY57"/>
  <c r="AY136"/>
  <c r="AY262"/>
  <c r="AY232"/>
  <c r="AY349"/>
  <c r="AY448"/>
  <c r="AY397"/>
  <c r="AY49"/>
  <c r="AY149"/>
  <c r="AY381"/>
  <c r="AY379"/>
  <c r="AY326"/>
  <c r="AY463"/>
  <c r="AY178"/>
  <c r="AY135"/>
  <c r="AY294"/>
  <c r="AY372"/>
  <c r="AY550"/>
  <c r="AY62"/>
  <c r="AY269"/>
  <c r="AY376"/>
  <c r="AY389"/>
  <c r="AY155"/>
  <c r="AY302"/>
  <c r="AY450"/>
  <c r="AY122"/>
  <c r="AY307"/>
  <c r="AY457"/>
  <c r="AY412"/>
  <c r="BC6"/>
  <c r="AY201"/>
  <c r="AY543"/>
  <c r="AY330"/>
  <c r="AY91"/>
  <c r="AY236"/>
  <c r="AY481"/>
  <c r="AY516"/>
  <c r="AY207"/>
  <c r="BD6"/>
  <c r="AY510"/>
  <c r="AY567"/>
  <c r="AY40"/>
  <c r="AY276"/>
  <c r="AY401"/>
  <c r="AY538"/>
  <c r="AY281"/>
  <c r="AY436"/>
  <c r="AY495"/>
  <c r="AY534"/>
  <c r="AY322"/>
  <c r="AY113"/>
  <c r="AY267"/>
  <c r="AY557"/>
  <c r="AY395"/>
  <c r="AY192"/>
  <c r="AY363"/>
  <c r="AY478"/>
  <c r="AY189"/>
  <c r="AY387"/>
  <c r="AY545"/>
  <c r="AY418"/>
  <c r="AY393"/>
  <c r="AY410"/>
  <c r="AY339"/>
  <c r="AY434"/>
  <c r="BO6"/>
  <c r="AY56"/>
  <c r="AY433"/>
  <c r="AY289"/>
  <c r="AY490"/>
  <c r="AY512"/>
  <c r="AY547"/>
  <c r="AY93"/>
  <c r="AY210"/>
  <c r="AY313"/>
  <c r="AY455"/>
  <c r="AY130"/>
  <c r="AY297"/>
  <c r="AY125"/>
  <c r="AY332"/>
  <c r="AY473"/>
  <c r="AY462"/>
  <c r="AY551"/>
  <c r="AY51"/>
  <c r="AY541"/>
  <c r="AY94"/>
  <c r="AY167"/>
  <c r="AY511"/>
  <c r="AY439"/>
  <c r="AY536"/>
  <c r="AY180"/>
  <c r="BJ6"/>
  <c r="AY477"/>
  <c r="AY517"/>
  <c r="AY292"/>
  <c r="AY535"/>
  <c r="AY231"/>
  <c r="AY18"/>
  <c r="AY507"/>
  <c r="AY564"/>
  <c r="AY300"/>
  <c r="AY530"/>
  <c r="AY549"/>
  <c r="AY87"/>
  <c r="AY69"/>
  <c r="AY97"/>
  <c r="AY88"/>
  <c r="AY109"/>
  <c r="AY26"/>
  <c r="AY198"/>
  <c r="AY129"/>
  <c r="AY142"/>
  <c r="AY529"/>
  <c r="AY77"/>
  <c r="AY104"/>
  <c r="AY34"/>
  <c r="AY145"/>
  <c r="AY158"/>
  <c r="AY259"/>
  <c r="AY218"/>
  <c r="AY248"/>
  <c r="AY290"/>
  <c r="AY368"/>
  <c r="AY309"/>
  <c r="AY472"/>
  <c r="AY443"/>
  <c r="AY409"/>
  <c r="AY392"/>
  <c r="AY96"/>
  <c r="AY46"/>
  <c r="AY171"/>
  <c r="AY176"/>
  <c r="AY233"/>
  <c r="AY219"/>
  <c r="AY365"/>
  <c r="AY356"/>
  <c r="AY329"/>
  <c r="AY569"/>
  <c r="AY471"/>
  <c r="AY44"/>
  <c r="AY131"/>
  <c r="AY148"/>
  <c r="AY138"/>
  <c r="AY288"/>
  <c r="AY206"/>
  <c r="AY371"/>
  <c r="AY316"/>
  <c r="AY318"/>
  <c r="AY520"/>
  <c r="BA6"/>
  <c r="AY29"/>
  <c r="AY147"/>
  <c r="AY249"/>
  <c r="AY283"/>
  <c r="AY367"/>
  <c r="AY561"/>
  <c r="AY453"/>
  <c r="AY446"/>
  <c r="AY166"/>
  <c r="AY162"/>
  <c r="AY225"/>
  <c r="AY380"/>
  <c r="AY413"/>
  <c r="AY22"/>
  <c r="AY184"/>
  <c r="AY211"/>
  <c r="AY319"/>
  <c r="AY562"/>
  <c r="BQ6"/>
  <c r="AY396"/>
  <c r="BT6"/>
  <c r="AY406"/>
  <c r="AY151"/>
  <c r="AY221"/>
  <c r="AY323"/>
  <c r="AY303"/>
  <c r="AY360"/>
  <c r="AY245"/>
  <c r="AY370"/>
  <c r="AY127"/>
  <c r="AY531"/>
  <c r="AY32"/>
  <c r="D3" i="6"/>
  <c r="AY486" i="3"/>
  <c r="AY82"/>
  <c r="AY80"/>
  <c r="AY37"/>
  <c r="AY67"/>
  <c r="AY41"/>
  <c r="AY58"/>
  <c r="AY203"/>
  <c r="AY159"/>
  <c r="AY128"/>
  <c r="AY179"/>
  <c r="AY95"/>
  <c r="AY105"/>
  <c r="AY36"/>
  <c r="AY274"/>
  <c r="AY150"/>
  <c r="AY293"/>
  <c r="AY246"/>
  <c r="AY275"/>
  <c r="AY216"/>
  <c r="AY386"/>
  <c r="AY333"/>
  <c r="AY556"/>
  <c r="AY432"/>
  <c r="AY411"/>
  <c r="AY408"/>
  <c r="AY414"/>
  <c r="AY28"/>
  <c r="AY187"/>
  <c r="AY117"/>
  <c r="AY114"/>
  <c r="AY280"/>
  <c r="AY271"/>
  <c r="AY374"/>
  <c r="AY304"/>
  <c r="AY311"/>
  <c r="AY445"/>
  <c r="AY123"/>
  <c r="AY38"/>
  <c r="AY172"/>
  <c r="AY200"/>
  <c r="AY183"/>
  <c r="AY227"/>
  <c r="AY257"/>
  <c r="AY335"/>
  <c r="AY337"/>
  <c r="AY558"/>
  <c r="BS6"/>
  <c r="AY111"/>
  <c r="AY25"/>
  <c r="AY120"/>
  <c r="AY254"/>
  <c r="AY224"/>
  <c r="AY341"/>
  <c r="AY424"/>
  <c r="AY394"/>
  <c r="AY85"/>
  <c r="AY197"/>
  <c r="AY266"/>
  <c r="AY359"/>
  <c r="AY369"/>
  <c r="AY76"/>
  <c r="AY156"/>
  <c r="AY282"/>
  <c r="AY229"/>
  <c r="AY321"/>
  <c r="AY14"/>
  <c r="AY437"/>
  <c r="AY430"/>
  <c r="AY465"/>
  <c r="AY378"/>
  <c r="AY544"/>
  <c r="AY314"/>
  <c r="BH6"/>
  <c r="AY193"/>
  <c r="AY493"/>
  <c r="AY320"/>
  <c r="AY86"/>
  <c r="AY27"/>
  <c r="AY24"/>
  <c r="F12" i="40"/>
  <c r="S12" s="1"/>
  <c r="D16" i="43"/>
  <c r="C16" s="1"/>
  <c r="C21" i="4"/>
  <c r="O5" i="54" s="1"/>
  <c r="B45" i="63" s="1"/>
  <c r="D10" i="11"/>
  <c r="E6" i="6"/>
  <c r="L38" i="9"/>
  <c r="B14" i="66" s="1"/>
  <c r="B1" s="1"/>
  <c r="D45" i="9"/>
  <c r="D44"/>
  <c r="D46"/>
  <c r="S5" i="46"/>
  <c r="S3"/>
  <c r="S4"/>
  <c r="S6"/>
  <c r="S2"/>
  <c r="S7"/>
  <c r="C115"/>
  <c r="D113" s="1"/>
  <c r="H12" i="40"/>
  <c r="AB12" s="1"/>
  <c r="J12" i="39"/>
  <c r="AC12" s="1"/>
  <c r="F12"/>
  <c r="H12"/>
  <c r="W12" i="40"/>
  <c r="AC12"/>
  <c r="AA12"/>
  <c r="R39" i="35"/>
  <c r="E38"/>
  <c r="E36" i="36"/>
  <c r="R37"/>
  <c r="G53" i="34"/>
  <c r="H53" s="1"/>
  <c r="G54"/>
  <c r="H54" s="1"/>
  <c r="AC7" i="21"/>
  <c r="V48" s="1"/>
  <c r="I48" s="1"/>
  <c r="G53" s="1"/>
  <c r="H53" s="1"/>
  <c r="W7"/>
  <c r="G47" i="37"/>
  <c r="H47" s="1"/>
  <c r="G46"/>
  <c r="H46" s="1"/>
  <c r="G52" i="21"/>
  <c r="H52" s="1"/>
  <c r="E48"/>
  <c r="R49"/>
  <c r="E72" i="39"/>
  <c r="F70"/>
  <c r="I46" i="37"/>
  <c r="J46" s="1"/>
  <c r="R50" i="34"/>
  <c r="E49"/>
  <c r="G52" i="33"/>
  <c r="H52" s="1"/>
  <c r="E48"/>
  <c r="E42" i="37"/>
  <c r="I47" s="1"/>
  <c r="J47" s="1"/>
  <c r="R43"/>
  <c r="I41" i="36"/>
  <c r="J41" s="1"/>
  <c r="I40"/>
  <c r="J40" s="1"/>
  <c r="G42" i="35"/>
  <c r="H42" s="1"/>
  <c r="G43"/>
  <c r="H43" s="1"/>
  <c r="W7" i="33"/>
  <c r="AC7"/>
  <c r="V48" s="1"/>
  <c r="I48" s="1"/>
  <c r="E67" i="40"/>
  <c r="F65"/>
  <c r="G40" i="36"/>
  <c r="H40" s="1"/>
  <c r="G41"/>
  <c r="H41" s="1"/>
  <c r="I42" i="35"/>
  <c r="J42" s="1"/>
  <c r="I43"/>
  <c r="J43" s="1"/>
  <c r="I53" i="34"/>
  <c r="J53" s="1"/>
  <c r="I54"/>
  <c r="J54" s="1"/>
  <c r="J28" i="44"/>
  <c r="J31" s="1"/>
  <c r="J26"/>
  <c r="J20"/>
  <c r="F21" i="43"/>
  <c r="C23" s="1"/>
  <c r="D21" s="1"/>
  <c r="F24" i="15"/>
  <c r="C24" s="1"/>
  <c r="F26" i="44"/>
  <c r="C26" s="1"/>
  <c r="F26" i="12"/>
  <c r="C20" i="11"/>
  <c r="C21" s="1"/>
  <c r="C22" s="1"/>
  <c r="C23" s="1"/>
  <c r="B2" s="1"/>
  <c r="C34" i="44"/>
  <c r="C40"/>
  <c r="C52" i="15"/>
  <c r="C47" s="1"/>
  <c r="C10"/>
  <c r="C5" s="1"/>
  <c r="J26"/>
  <c r="J29" s="1"/>
  <c r="J24"/>
  <c r="J18"/>
  <c r="D16" i="12"/>
  <c r="D22" i="72"/>
  <c r="D16"/>
  <c r="L52" i="44"/>
  <c r="B24" i="68" l="1"/>
  <c r="K27" i="6"/>
  <c r="M19" i="73"/>
  <c r="T25" i="59"/>
  <c r="D25"/>
  <c r="T17"/>
  <c r="D17"/>
  <c r="D11"/>
  <c r="M20" i="46"/>
  <c r="C19" s="1"/>
  <c r="T4" s="1"/>
  <c r="V4" s="1"/>
  <c r="M20" i="73"/>
  <c r="D19" i="72"/>
  <c r="C19" s="1"/>
  <c r="C16"/>
  <c r="C22"/>
  <c r="C20" s="1"/>
  <c r="R49" i="33"/>
  <c r="T2" i="46"/>
  <c r="V2" s="1"/>
  <c r="T5"/>
  <c r="V5" s="1"/>
  <c r="C20" i="73"/>
  <c r="C34" s="1"/>
  <c r="C38"/>
  <c r="C39"/>
  <c r="T7" i="46"/>
  <c r="V7" s="1"/>
  <c r="T6"/>
  <c r="V6" s="1"/>
  <c r="T3"/>
  <c r="V3" s="1"/>
  <c r="C39"/>
  <c r="C38"/>
  <c r="T12"/>
  <c r="V12" s="1"/>
  <c r="C37"/>
  <c r="T8"/>
  <c r="V8" s="1"/>
  <c r="T13"/>
  <c r="V13" s="1"/>
  <c r="C34"/>
  <c r="T11"/>
  <c r="V11" s="1"/>
  <c r="T10"/>
  <c r="V10" s="1"/>
  <c r="C35"/>
  <c r="T9"/>
  <c r="V9" s="1"/>
  <c r="C33"/>
  <c r="T16"/>
  <c r="V16" s="1"/>
  <c r="C36"/>
  <c r="T15"/>
  <c r="V15" s="1"/>
  <c r="T14"/>
  <c r="V14" s="1"/>
  <c r="C29"/>
  <c r="S16" i="1"/>
  <c r="U12" i="40"/>
  <c r="W12" i="39"/>
  <c r="D13" i="11"/>
  <c r="C13" s="1"/>
  <c r="E68" i="39"/>
  <c r="K38" i="9"/>
  <c r="C14" i="66" s="1"/>
  <c r="B2" s="1"/>
  <c r="D26" i="6"/>
  <c r="D11"/>
  <c r="H20"/>
  <c r="D9"/>
  <c r="D29"/>
  <c r="D15"/>
  <c r="E44" i="9"/>
  <c r="E46"/>
  <c r="E63" i="40"/>
  <c r="D19" i="6"/>
  <c r="D25"/>
  <c r="D13"/>
  <c r="H24"/>
  <c r="D23"/>
  <c r="D28"/>
  <c r="D30" s="1"/>
  <c r="D8"/>
  <c r="E45" i="9"/>
  <c r="D24" i="6"/>
  <c r="D22"/>
  <c r="D12"/>
  <c r="H25"/>
  <c r="D5"/>
  <c r="H22"/>
  <c r="H26"/>
  <c r="F46" i="9"/>
  <c r="F45"/>
  <c r="C22" i="4"/>
  <c r="D21" i="6"/>
  <c r="D10"/>
  <c r="H21"/>
  <c r="D6"/>
  <c r="D14"/>
  <c r="D20"/>
  <c r="R20" s="1"/>
  <c r="R7" i="1" s="1"/>
  <c r="H23" i="6"/>
  <c r="F44" i="9"/>
  <c r="O14" i="1"/>
  <c r="O16" s="1"/>
  <c r="T7"/>
  <c r="T11"/>
  <c r="T12"/>
  <c r="T13"/>
  <c r="M16"/>
  <c r="T10"/>
  <c r="T6"/>
  <c r="T8"/>
  <c r="T9"/>
  <c r="P14"/>
  <c r="P16" s="1"/>
  <c r="C7" i="66"/>
  <c r="C6"/>
  <c r="C8"/>
  <c r="D19" i="12"/>
  <c r="C19" s="1"/>
  <c r="C16"/>
  <c r="M27" i="6"/>
  <c r="I19"/>
  <c r="AB12" i="39"/>
  <c r="U12"/>
  <c r="AA12"/>
  <c r="S12"/>
  <c r="G65" i="40"/>
  <c r="F67"/>
  <c r="I52" i="33"/>
  <c r="J52" s="1"/>
  <c r="I53"/>
  <c r="J53" s="1"/>
  <c r="C42" i="37"/>
  <c r="C43"/>
  <c r="B3" s="1"/>
  <c r="B2" s="1"/>
  <c r="C49" i="33"/>
  <c r="C48"/>
  <c r="E54" i="34"/>
  <c r="F54" s="1"/>
  <c r="E53"/>
  <c r="F53" s="1"/>
  <c r="G70" i="39"/>
  <c r="F72"/>
  <c r="C49" i="21"/>
  <c r="C48"/>
  <c r="C36" i="36"/>
  <c r="C37"/>
  <c r="B3" s="1"/>
  <c r="B2" s="1"/>
  <c r="E43" i="35"/>
  <c r="F43" s="1"/>
  <c r="E42"/>
  <c r="F42" s="1"/>
  <c r="G53" i="33"/>
  <c r="H53" s="1"/>
  <c r="E46" i="37"/>
  <c r="F46" s="1"/>
  <c r="E47"/>
  <c r="F47" s="1"/>
  <c r="E52" i="33"/>
  <c r="E53"/>
  <c r="F53" s="1"/>
  <c r="C50" i="34"/>
  <c r="B3" s="1"/>
  <c r="B2" s="1"/>
  <c r="C49"/>
  <c r="E53" i="21"/>
  <c r="F53" s="1"/>
  <c r="E52"/>
  <c r="F52" s="1"/>
  <c r="I52"/>
  <c r="J52" s="1"/>
  <c r="I53"/>
  <c r="J53" s="1"/>
  <c r="E41" i="36"/>
  <c r="F41" s="1"/>
  <c r="E40"/>
  <c r="F40" s="1"/>
  <c r="C39" i="35"/>
  <c r="B3" s="1"/>
  <c r="B2" s="1"/>
  <c r="C38"/>
  <c r="Q69" i="44"/>
  <c r="L58"/>
  <c r="L61" s="1"/>
  <c r="C32" i="15"/>
  <c r="C38"/>
  <c r="B5" i="11"/>
  <c r="B3"/>
  <c r="B4"/>
  <c r="C59" i="15"/>
  <c r="C65"/>
  <c r="C27" i="12"/>
  <c r="D26" s="1"/>
  <c r="C32" s="1"/>
  <c r="D30" s="1"/>
  <c r="Q49" i="44"/>
  <c r="Q55" s="1"/>
  <c r="Q67"/>
  <c r="Q58"/>
  <c r="AE7" i="1"/>
  <c r="C13" i="72"/>
  <c r="C13" i="12"/>
  <c r="C16" i="44"/>
  <c r="C14" i="15"/>
  <c r="D22" i="12"/>
  <c r="C18" i="68" l="1"/>
  <c r="C17" i="72"/>
  <c r="C14"/>
  <c r="B3" i="33"/>
  <c r="B2" s="1"/>
  <c r="C8" i="72"/>
  <c r="C10" s="1"/>
  <c r="C6" s="1"/>
  <c r="B3" i="21"/>
  <c r="B2" s="1"/>
  <c r="C8" i="12"/>
  <c r="C10" s="1"/>
  <c r="C6" s="1"/>
  <c r="F52" i="33"/>
  <c r="C36" i="73"/>
  <c r="G36" s="1"/>
  <c r="I36" s="1"/>
  <c r="T16"/>
  <c r="V16" s="1"/>
  <c r="T2"/>
  <c r="V2" s="1"/>
  <c r="T5"/>
  <c r="V5" s="1"/>
  <c r="C33"/>
  <c r="E33" s="1"/>
  <c r="T9"/>
  <c r="V9" s="1"/>
  <c r="T4"/>
  <c r="V4" s="1"/>
  <c r="T12"/>
  <c r="V12" s="1"/>
  <c r="C37"/>
  <c r="E37" s="1"/>
  <c r="T11"/>
  <c r="V11" s="1"/>
  <c r="T15"/>
  <c r="V15" s="1"/>
  <c r="T8"/>
  <c r="V8" s="1"/>
  <c r="T10"/>
  <c r="V10" s="1"/>
  <c r="T3"/>
  <c r="V3" s="1"/>
  <c r="T14"/>
  <c r="V14" s="1"/>
  <c r="C35"/>
  <c r="G35" s="1"/>
  <c r="I35" s="1"/>
  <c r="T6"/>
  <c r="V6" s="1"/>
  <c r="T7"/>
  <c r="V7" s="1"/>
  <c r="C29"/>
  <c r="E29" s="1"/>
  <c r="T13"/>
  <c r="V13" s="1"/>
  <c r="G33"/>
  <c r="I33" s="1"/>
  <c r="G38"/>
  <c r="I38" s="1"/>
  <c r="E38"/>
  <c r="G34"/>
  <c r="I34" s="1"/>
  <c r="E34"/>
  <c r="G39"/>
  <c r="I39" s="1"/>
  <c r="E39"/>
  <c r="C22" i="12"/>
  <c r="C20" s="1"/>
  <c r="C30" i="46"/>
  <c r="E30" s="1"/>
  <c r="E29"/>
  <c r="E34"/>
  <c r="G34"/>
  <c r="I34" s="1"/>
  <c r="G39"/>
  <c r="I39" s="1"/>
  <c r="E39"/>
  <c r="E36"/>
  <c r="G36"/>
  <c r="I36" s="1"/>
  <c r="G33"/>
  <c r="I33" s="1"/>
  <c r="E33"/>
  <c r="G35"/>
  <c r="I35" s="1"/>
  <c r="E35"/>
  <c r="G37"/>
  <c r="I37" s="1"/>
  <c r="E37"/>
  <c r="E38"/>
  <c r="G38"/>
  <c r="I38" s="1"/>
  <c r="R24" i="6"/>
  <c r="D16"/>
  <c r="C17" i="44"/>
  <c r="C20"/>
  <c r="C15" i="15"/>
  <c r="C18"/>
  <c r="C14" i="12"/>
  <c r="C17"/>
  <c r="R21" i="6"/>
  <c r="R8" i="1" s="1"/>
  <c r="R25" i="6"/>
  <c r="R26"/>
  <c r="I27"/>
  <c r="S19"/>
  <c r="S27" s="1"/>
  <c r="C13" i="43"/>
  <c r="N16" i="1"/>
  <c r="C29" i="43" s="1"/>
  <c r="L16" i="1"/>
  <c r="A20" i="51"/>
  <c r="B15" i="63" s="1"/>
  <c r="A6" i="51"/>
  <c r="B7" i="63" s="1"/>
  <c r="A20" i="64"/>
  <c r="N5" i="54"/>
  <c r="B43" i="63" s="1"/>
  <c r="A6" i="64"/>
  <c r="D27" i="6"/>
  <c r="D31" s="1"/>
  <c r="D6" i="66"/>
  <c r="D7"/>
  <c r="D8"/>
  <c r="T16" i="1"/>
  <c r="R22" i="6"/>
  <c r="R9" i="1" s="1"/>
  <c r="H19" i="6"/>
  <c r="H27" s="1"/>
  <c r="R23"/>
  <c r="G72" i="39"/>
  <c r="H70"/>
  <c r="G67" i="40"/>
  <c r="H65"/>
  <c r="Q68" i="44"/>
  <c r="Q77" s="1"/>
  <c r="Q59"/>
  <c r="Q64" s="1"/>
  <c r="F7" i="67"/>
  <c r="C18" i="72" l="1"/>
  <c r="C23" s="1"/>
  <c r="C24"/>
  <c r="C29"/>
  <c r="C24" i="12"/>
  <c r="C29"/>
  <c r="E36" i="73"/>
  <c r="G37"/>
  <c r="I37" s="1"/>
  <c r="E35"/>
  <c r="C30"/>
  <c r="E30" s="1"/>
  <c r="E4" i="67"/>
  <c r="C26" i="46"/>
  <c r="C27"/>
  <c r="C19" i="15"/>
  <c r="C20" s="1"/>
  <c r="C26" s="1"/>
  <c r="C21" i="44"/>
  <c r="C22" s="1"/>
  <c r="C25" s="1"/>
  <c r="C18" i="12"/>
  <c r="C23" s="1"/>
  <c r="R19" i="6"/>
  <c r="I5"/>
  <c r="I6"/>
  <c r="C14" i="43"/>
  <c r="C17"/>
  <c r="H67" i="40"/>
  <c r="I65"/>
  <c r="H72" i="39"/>
  <c r="I70"/>
  <c r="E7" i="67"/>
  <c r="C35" i="72" l="1"/>
  <c r="C33" s="1"/>
  <c r="C28"/>
  <c r="C26" s="1"/>
  <c r="C31" s="1"/>
  <c r="C30" s="1"/>
  <c r="C35" i="12"/>
  <c r="C33" s="1"/>
  <c r="C26" i="73"/>
  <c r="C27"/>
  <c r="E3" i="67"/>
  <c r="B2" i="46"/>
  <c r="R27" i="6"/>
  <c r="R6" i="1"/>
  <c r="R16" s="1"/>
  <c r="C28" i="44"/>
  <c r="C31" s="1"/>
  <c r="C18" i="43"/>
  <c r="C19" s="1"/>
  <c r="C23" i="15"/>
  <c r="C29" s="1"/>
  <c r="C36" s="1"/>
  <c r="C28" i="12"/>
  <c r="C26" s="1"/>
  <c r="C31" s="1"/>
  <c r="C30" s="1"/>
  <c r="I72" i="39"/>
  <c r="J70"/>
  <c r="I67" i="40"/>
  <c r="J65"/>
  <c r="B7" i="67"/>
  <c r="D19" i="9"/>
  <c r="C36" i="72" l="1"/>
  <c r="B2" s="1"/>
  <c r="C36" i="12"/>
  <c r="B2" s="1"/>
  <c r="B2" i="73"/>
  <c r="D4" s="1"/>
  <c r="L44" i="9"/>
  <c r="J59" i="15"/>
  <c r="J60" s="1"/>
  <c r="L46" s="1"/>
  <c r="C33"/>
  <c r="C31" s="1"/>
  <c r="B2" i="67"/>
  <c r="B4" i="46"/>
  <c r="D4"/>
  <c r="B3"/>
  <c r="C35" i="44"/>
  <c r="C33" s="1"/>
  <c r="C38"/>
  <c r="J21"/>
  <c r="J19" s="1"/>
  <c r="C13" i="15"/>
  <c r="C37" s="1"/>
  <c r="Q50"/>
  <c r="C25" i="43"/>
  <c r="C24" s="1"/>
  <c r="C22"/>
  <c r="C21" s="1"/>
  <c r="J19" i="15"/>
  <c r="J17" s="1"/>
  <c r="J14"/>
  <c r="J22" s="1"/>
  <c r="C56"/>
  <c r="C63" s="1"/>
  <c r="Q51" i="44"/>
  <c r="C15"/>
  <c r="J16"/>
  <c r="J67" i="40"/>
  <c r="K65"/>
  <c r="J72" i="39"/>
  <c r="K70"/>
  <c r="B3" i="72"/>
  <c r="D21" i="9"/>
  <c r="C19"/>
  <c r="D20"/>
  <c r="B4" i="72"/>
  <c r="B3" i="73" l="1"/>
  <c r="C60" i="15"/>
  <c r="C58" s="1"/>
  <c r="B4" i="73"/>
  <c r="L43" i="9"/>
  <c r="D22"/>
  <c r="G19"/>
  <c r="C32" s="1"/>
  <c r="Q49" i="15"/>
  <c r="C30"/>
  <c r="C39" s="1"/>
  <c r="Q70" s="1"/>
  <c r="B4" i="67"/>
  <c r="B3"/>
  <c r="C55" i="15"/>
  <c r="C64" s="1"/>
  <c r="J35"/>
  <c r="Q71"/>
  <c r="C28" i="43"/>
  <c r="C30" s="1"/>
  <c r="C32" s="1"/>
  <c r="B2" s="1"/>
  <c r="B5" s="1"/>
  <c r="J13" i="15"/>
  <c r="J23" s="1"/>
  <c r="J16" s="1"/>
  <c r="J25" s="1"/>
  <c r="Q72" i="44"/>
  <c r="C39"/>
  <c r="C32" s="1"/>
  <c r="C42" s="1"/>
  <c r="C43"/>
  <c r="J24"/>
  <c r="J15"/>
  <c r="J25" s="1"/>
  <c r="K72" i="39"/>
  <c r="L70"/>
  <c r="K67" i="40"/>
  <c r="L65"/>
  <c r="B4" i="12"/>
  <c r="B3"/>
  <c r="B5" i="72"/>
  <c r="B5" i="12"/>
  <c r="C57" i="15" l="1"/>
  <c r="C66" s="1"/>
  <c r="C67" s="1"/>
  <c r="C70" s="1"/>
  <c r="N43" i="9"/>
  <c r="G22"/>
  <c r="C40" i="15"/>
  <c r="Q48" s="1"/>
  <c r="Q54" s="1"/>
  <c r="C42" i="9"/>
  <c r="O38"/>
  <c r="C33"/>
  <c r="C35"/>
  <c r="F42" s="1"/>
  <c r="O43"/>
  <c r="C34"/>
  <c r="J39" i="15"/>
  <c r="J40" s="1"/>
  <c r="B4" i="43"/>
  <c r="Q69" i="15"/>
  <c r="B3" i="43"/>
  <c r="Q71" i="44"/>
  <c r="Q70" s="1"/>
  <c r="C44"/>
  <c r="C45" s="1"/>
  <c r="B2" s="1"/>
  <c r="J18"/>
  <c r="J27" s="1"/>
  <c r="C43" i="15"/>
  <c r="M65" i="40"/>
  <c r="L67"/>
  <c r="L72" i="39"/>
  <c r="M70"/>
  <c r="L51" i="15"/>
  <c r="C21" i="9"/>
  <c r="C20"/>
  <c r="G21" l="1"/>
  <c r="G20"/>
  <c r="L57" i="15"/>
  <c r="L60" s="1"/>
  <c r="Q58" s="1"/>
  <c r="Q68"/>
  <c r="Q66"/>
  <c r="Q57"/>
  <c r="C46"/>
  <c r="J42"/>
  <c r="J43" s="1"/>
  <c r="B2"/>
  <c r="B3" s="1"/>
  <c r="E42" i="9"/>
  <c r="P5" i="54" s="1"/>
  <c r="B46" i="63" s="1"/>
  <c r="M38" i="9"/>
  <c r="K27" s="1"/>
  <c r="K26"/>
  <c r="K25"/>
  <c r="N38"/>
  <c r="K28" s="1"/>
  <c r="D42"/>
  <c r="Q5" i="54" s="1"/>
  <c r="B47" i="63" s="1"/>
  <c r="D14" i="66"/>
  <c r="D63" i="9"/>
  <c r="N68"/>
  <c r="R5" i="54"/>
  <c r="B48" i="63" s="1"/>
  <c r="B4" i="44"/>
  <c r="B3"/>
  <c r="B5"/>
  <c r="N65" i="40"/>
  <c r="N67" s="1"/>
  <c r="M67"/>
  <c r="N70" i="39"/>
  <c r="N72" s="1"/>
  <c r="M72"/>
  <c r="Q67" i="15" l="1"/>
  <c r="Q63"/>
  <c r="Q76"/>
  <c r="C111" i="9"/>
  <c r="C104" s="1"/>
  <c r="C82"/>
  <c r="C81" s="1"/>
  <c r="C85" s="1"/>
  <c r="C86" s="1"/>
  <c r="D72" s="1"/>
  <c r="C103"/>
  <c r="C96"/>
  <c r="C91" s="1"/>
  <c r="D71"/>
  <c r="D66" s="1"/>
  <c r="N72" s="1"/>
  <c r="D70"/>
  <c r="D77"/>
  <c r="N75" s="1"/>
  <c r="C90"/>
  <c r="F14" i="66"/>
  <c r="B5"/>
  <c r="E14"/>
  <c r="J9" i="39"/>
  <c r="H9"/>
  <c r="F9"/>
  <c r="H9" i="40"/>
  <c r="J9"/>
  <c r="F9"/>
  <c r="C97" i="9" l="1"/>
  <c r="C98" s="1"/>
  <c r="E98" s="1"/>
  <c r="E99" s="1"/>
  <c r="C113"/>
  <c r="C115" s="1"/>
  <c r="D76" s="1"/>
  <c r="D74" s="1"/>
  <c r="N74" s="1"/>
  <c r="O77" s="1"/>
  <c r="C5" i="66"/>
  <c r="D5"/>
  <c r="C99" i="9"/>
  <c r="W9" i="40"/>
  <c r="AC9"/>
  <c r="V44" s="1"/>
  <c r="I44" s="1"/>
  <c r="S9" i="39"/>
  <c r="AA9"/>
  <c r="R49" s="1"/>
  <c r="AC9"/>
  <c r="V49" s="1"/>
  <c r="I49" s="1"/>
  <c r="W9"/>
  <c r="S9" i="40"/>
  <c r="AA9"/>
  <c r="R44" s="1"/>
  <c r="U9"/>
  <c r="AB9"/>
  <c r="T44" s="1"/>
  <c r="G44" s="1"/>
  <c r="AB9" i="39"/>
  <c r="T49" s="1"/>
  <c r="G49" s="1"/>
  <c r="U9"/>
  <c r="C114" i="9" l="1"/>
  <c r="E114" s="1"/>
  <c r="E115" s="1"/>
  <c r="Q77"/>
  <c r="O78"/>
  <c r="O79"/>
  <c r="G54" i="39"/>
  <c r="H54" s="1"/>
  <c r="G53"/>
  <c r="H53" s="1"/>
  <c r="I53"/>
  <c r="J53" s="1"/>
  <c r="G48" i="40"/>
  <c r="H48" s="1"/>
  <c r="G49"/>
  <c r="H49" s="1"/>
  <c r="R45"/>
  <c r="E44"/>
  <c r="I49" s="1"/>
  <c r="J49" s="1"/>
  <c r="R50" i="39"/>
  <c r="E49"/>
  <c r="I48" i="40"/>
  <c r="J48" s="1"/>
  <c r="O80" i="9" l="1"/>
  <c r="O81"/>
  <c r="C50" i="39"/>
  <c r="C49"/>
  <c r="C44" i="40"/>
  <c r="C45"/>
  <c r="E53" i="39"/>
  <c r="F53" s="1"/>
  <c r="E54"/>
  <c r="F54" s="1"/>
  <c r="E48" i="40"/>
  <c r="F48" s="1"/>
  <c r="E49"/>
  <c r="F49" s="1"/>
  <c r="I54" i="39"/>
  <c r="J54" s="1"/>
  <c r="B61" l="1"/>
  <c r="F61" s="1"/>
  <c r="B62"/>
  <c r="F62" s="1"/>
  <c r="B59"/>
  <c r="F59" s="1"/>
  <c r="B64"/>
  <c r="F64" s="1"/>
  <c r="B67"/>
  <c r="F67" s="1"/>
  <c r="F68"/>
  <c r="B2" s="1"/>
  <c r="B65"/>
  <c r="F65" s="1"/>
  <c r="B66"/>
  <c r="F66" s="1"/>
  <c r="B60"/>
  <c r="F60" s="1"/>
  <c r="B58"/>
  <c r="F58" s="1"/>
  <c r="B63"/>
  <c r="F63" s="1"/>
  <c r="B61" i="40"/>
  <c r="F61" s="1"/>
  <c r="B53"/>
  <c r="F53" s="1"/>
  <c r="B58"/>
  <c r="F58" s="1"/>
  <c r="B57"/>
  <c r="F57" s="1"/>
  <c r="B59"/>
  <c r="F59" s="1"/>
  <c r="F63"/>
  <c r="B2" s="1"/>
  <c r="B54"/>
  <c r="F54" s="1"/>
  <c r="B56"/>
  <c r="F56" s="1"/>
  <c r="B55"/>
  <c r="F55" s="1"/>
  <c r="B60"/>
  <c r="F60" s="1"/>
  <c r="B62"/>
  <c r="F62" s="1"/>
  <c r="B5" l="1"/>
  <c r="B4"/>
  <c r="B3"/>
  <c r="B3" i="39"/>
  <c r="B5"/>
  <c r="B4"/>
  <c r="L34" i="68" l="1"/>
  <c r="C14" l="1"/>
  <c r="C12"/>
  <c r="C16" l="1"/>
  <c r="C20"/>
  <c r="E20" l="1"/>
  <c r="D32" l="1"/>
  <c r="I20"/>
  <c r="F20"/>
  <c r="G20"/>
  <c r="C13"/>
  <c r="C17" l="1"/>
  <c r="C15"/>
  <c r="E14" s="1"/>
  <c r="E12"/>
  <c r="F32"/>
  <c r="E32"/>
  <c r="I12" l="1"/>
  <c r="F12"/>
  <c r="G12"/>
  <c r="C19"/>
  <c r="E18" s="1"/>
  <c r="E16"/>
  <c r="D33"/>
  <c r="G14"/>
  <c r="I14"/>
  <c r="F14"/>
  <c r="D31" l="1"/>
  <c r="G16"/>
  <c r="I16"/>
  <c r="F16"/>
  <c r="F33"/>
  <c r="E33"/>
  <c r="G18"/>
  <c r="D35"/>
  <c r="I18"/>
  <c r="F18"/>
  <c r="E31" l="1"/>
  <c r="F31"/>
  <c r="F35"/>
  <c r="E35"/>
  <c r="E3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sharedStrings.xml><?xml version="1.0" encoding="utf-8"?>
<sst xmlns="http://schemas.openxmlformats.org/spreadsheetml/2006/main" count="7564" uniqueCount="3152">
  <si>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</si>
  <si>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</si>
  <si>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</si>
  <si>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</si>
  <si>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</si>
  <si>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</si>
  <si>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</si>
  <si>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</si>
  <si>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</si>
  <si>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</si>
  <si>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</si>
  <si>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</si>
  <si>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</si>
  <si>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</si>
  <si>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</si>
  <si>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</si>
  <si>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</si>
  <si>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</si>
  <si>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</si>
  <si>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</si>
  <si>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</si>
  <si>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</si>
  <si>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</si>
  <si>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</si>
  <si>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</si>
  <si>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</si>
  <si>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</si>
  <si>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</si>
  <si>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</si>
  <si>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</si>
  <si>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</si>
  <si>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</si>
  <si>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</si>
  <si>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</si>
  <si>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</si>
  <si>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</si>
  <si>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</si>
  <si>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</si>
  <si>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</si>
  <si>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</si>
  <si>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</si>
  <si>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</si>
  <si>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</si>
  <si>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</si>
  <si>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</si>
  <si>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</si>
  <si>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</si>
  <si>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</si>
  <si>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</si>
  <si>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</si>
  <si>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</si>
  <si>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</si>
  <si>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</si>
  <si>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</si>
  <si>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</si>
  <si>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</si>
  <si>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</si>
  <si>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</si>
  <si>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</si>
  <si>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</si>
  <si>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</si>
  <si>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</si>
  <si>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</si>
  <si>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</si>
  <si>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</si>
  <si>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</si>
  <si>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</si>
  <si>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</si>
  <si>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</si>
  <si>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</si>
  <si>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</si>
  <si>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</si>
  <si>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</si>
  <si>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</si>
  <si>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</si>
  <si>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</si>
  <si>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</si>
  <si>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</si>
  <si>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</si>
  <si>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</si>
  <si>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</si>
  <si>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</si>
  <si>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</si>
  <si>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</si>
  <si>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</si>
  <si>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</si>
  <si>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</si>
  <si>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</si>
  <si>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</si>
  <si>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</si>
  <si>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</si>
  <si>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</si>
  <si>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</si>
  <si>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</si>
  <si>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</si>
  <si>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</si>
  <si>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</si>
  <si>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</si>
  <si>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</si>
  <si>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</si>
  <si>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</si>
  <si>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</si>
  <si>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</si>
  <si>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</si>
  <si>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</si>
  <si>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</si>
  <si>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</si>
  <si>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</si>
  <si>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</si>
  <si>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</si>
  <si>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</si>
  <si>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</si>
  <si>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</si>
  <si>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</si>
  <si>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</si>
  <si>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</si>
  <si>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</si>
  <si>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</si>
  <si>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</si>
  <si>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</si>
  <si>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</si>
  <si>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</si>
  <si>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</si>
  <si>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</si>
  <si>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</si>
  <si>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</si>
  <si>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</si>
  <si>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</si>
  <si>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</si>
  <si>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</si>
  <si>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</si>
  <si>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</si>
  <si>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</si>
  <si>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</si>
  <si>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</si>
  <si>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</si>
  <si>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</si>
  <si>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</si>
  <si>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</si>
  <si>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</si>
  <si>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</si>
  <si>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</si>
  <si>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</si>
  <si>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</si>
  <si>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</si>
  <si>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</si>
  <si>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</si>
  <si>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</si>
  <si>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</si>
  <si>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</si>
  <si>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</si>
  <si>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</si>
  <si>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</si>
  <si>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</si>
  <si>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</si>
  <si>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</si>
  <si>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</si>
  <si>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</si>
  <si>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</si>
  <si>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</si>
  <si>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</si>
  <si>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</si>
  <si>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</si>
  <si>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</si>
  <si>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</si>
  <si>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</si>
  <si>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</si>
  <si>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</si>
  <si>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</si>
  <si>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</si>
  <si>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</si>
  <si>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</si>
  <si>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</si>
  <si>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</si>
  <si>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</si>
  <si>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</si>
  <si>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</si>
  <si>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</si>
  <si>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</si>
  <si>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</si>
  <si>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</si>
  <si>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</si>
  <si>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</si>
  <si>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</si>
  <si>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</si>
  <si>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</si>
  <si>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</si>
  <si>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</si>
  <si>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</si>
  <si>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</si>
  <si>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</si>
  <si>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</si>
  <si>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</si>
  <si>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</si>
  <si>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</si>
  <si>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</si>
  <si>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</si>
  <si>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</si>
  <si>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</si>
  <si>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</si>
  <si>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</si>
  <si>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</si>
  <si>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</si>
  <si>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</si>
  <si>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</si>
  <si>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</si>
  <si>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</si>
  <si>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</si>
  <si>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</si>
  <si>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</si>
  <si>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</si>
  <si>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</si>
  <si>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</si>
  <si>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</si>
  <si>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</si>
  <si>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</si>
  <si>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</si>
  <si>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</si>
  <si>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</si>
  <si>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</si>
  <si>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</si>
  <si>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</si>
  <si>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</si>
  <si>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</si>
  <si>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</si>
  <si>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</si>
  <si>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</si>
  <si>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</si>
  <si>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</si>
  <si>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</si>
  <si>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</si>
  <si>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</si>
  <si>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</si>
  <si>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</si>
  <si>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</si>
  <si>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</si>
  <si>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</si>
  <si>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</si>
  <si>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</si>
  <si>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</si>
  <si>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</si>
  <si>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</si>
  <si>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</si>
  <si>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</si>
  <si>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</si>
  <si>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</si>
  <si>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</si>
  <si>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</si>
  <si>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</si>
  <si>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</si>
  <si>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</si>
  <si>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</si>
  <si>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</si>
  <si>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</si>
  <si>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</si>
  <si>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</si>
  <si>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</si>
  <si>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</si>
  <si>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</si>
  <si>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</si>
  <si>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</si>
  <si>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</si>
  <si>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</si>
  <si>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</si>
  <si>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</si>
  <si>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</si>
  <si>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</si>
  <si>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</si>
  <si>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</si>
  <si>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</si>
  <si>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</si>
  <si>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</si>
  <si>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</si>
  <si>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</si>
  <si>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</si>
  <si>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</si>
  <si>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</si>
  <si>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</si>
  <si>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</si>
  <si>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</si>
  <si>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</si>
  <si>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</si>
  <si>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</si>
  <si>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</si>
  <si>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</si>
  <si>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</si>
  <si>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</si>
  <si>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</si>
  <si>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</si>
  <si>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</si>
  <si>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</si>
  <si>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</si>
  <si>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</si>
  <si>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</si>
  <si>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</si>
  <si>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</si>
  <si>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</si>
  <si>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</si>
  <si>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</si>
  <si>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</si>
  <si>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</si>
  <si>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</si>
  <si>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</si>
  <si>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</si>
  <si>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</si>
  <si>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</si>
  <si>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</si>
  <si>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</si>
  <si>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</si>
  <si>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</si>
  <si>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</si>
  <si>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</si>
  <si>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</si>
  <si>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</si>
  <si>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</si>
  <si>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</si>
  <si>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</si>
  <si>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</si>
  <si>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</si>
  <si>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</si>
  <si>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</si>
  <si>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</si>
  <si>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</si>
  <si>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</si>
  <si>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</si>
  <si>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</si>
  <si>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</si>
  <si>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</si>
  <si>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</si>
  <si>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</si>
  <si>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</si>
  <si>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</si>
  <si>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</si>
  <si>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</si>
  <si>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</si>
  <si>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</si>
  <si>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</si>
  <si>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</si>
  <si>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</si>
  <si>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</si>
  <si>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</si>
  <si>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</si>
  <si>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</si>
  <si>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</si>
  <si>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</si>
  <si>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</si>
  <si>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</si>
  <si>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</si>
  <si>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</si>
  <si>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</si>
  <si>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</si>
  <si>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</si>
  <si>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</si>
  <si>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</si>
  <si>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</si>
  <si>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</si>
  <si>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</si>
  <si>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</si>
  <si>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</si>
  <si>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</si>
  <si>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</si>
  <si>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</si>
  <si>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</si>
  <si>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</si>
  <si>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</si>
  <si>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</si>
  <si>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</si>
  <si>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</si>
  <si>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</si>
  <si>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</si>
  <si>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</si>
  <si>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</si>
  <si>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</si>
  <si>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</si>
  <si>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</si>
  <si>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</si>
  <si>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</si>
  <si>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</si>
  <si>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</si>
  <si>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</si>
  <si>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</si>
  <si>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</si>
  <si>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</si>
  <si>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</si>
  <si>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</si>
  <si>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</si>
  <si>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</si>
  <si>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</si>
  <si>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</si>
  <si>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</si>
  <si>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</si>
  <si>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</si>
  <si>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</si>
  <si>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</si>
  <si>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</si>
  <si>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</si>
  <si>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</si>
  <si>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</si>
  <si>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</si>
  <si>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</si>
  <si>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</si>
  <si>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</si>
  <si>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</si>
  <si>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</si>
  <si>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</si>
  <si>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</si>
  <si>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</si>
  <si>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</si>
  <si>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</si>
  <si>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</si>
  <si>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</si>
  <si>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</si>
  <si>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</si>
  <si>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</si>
  <si>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</si>
  <si>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</si>
  <si>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</si>
  <si>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</si>
  <si>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</si>
  <si>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</si>
  <si>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</si>
  <si>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</si>
  <si>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</si>
  <si>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</si>
  <si>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</si>
  <si>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</si>
  <si>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</si>
  <si>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</si>
  <si>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</si>
  <si>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</si>
  <si>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</si>
  <si>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</si>
  <si>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</si>
  <si>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</si>
  <si>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</si>
  <si>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</si>
  <si>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</si>
  <si>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</si>
  <si>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</si>
  <si>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</si>
  <si>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</si>
  <si>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</si>
  <si>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</si>
  <si>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</si>
  <si>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</si>
  <si>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</si>
  <si>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</si>
  <si>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</si>
  <si>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</si>
  <si>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</si>
  <si>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</si>
  <si>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</si>
  <si>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</si>
  <si>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</si>
  <si>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</si>
  <si>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</si>
  <si>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</si>
  <si>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</si>
  <si>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</si>
  <si>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</si>
  <si>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</si>
  <si>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</si>
  <si>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</si>
  <si>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</si>
  <si>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</si>
  <si>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</si>
  <si>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</si>
  <si>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</si>
  <si>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</si>
  <si>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</si>
  <si>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</si>
  <si>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</si>
  <si>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</si>
  <si>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</si>
  <si>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</si>
  <si>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</si>
  <si>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</si>
  <si>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</si>
  <si>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</si>
  <si>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</si>
  <si>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</si>
  <si>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</si>
  <si>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</si>
  <si>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</si>
  <si>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</si>
  <si>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</si>
  <si>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</si>
  <si>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</si>
  <si>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</si>
  <si>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</si>
  <si>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</si>
  <si>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</si>
  <si>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</si>
  <si>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</si>
  <si>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</si>
  <si>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</si>
  <si>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</si>
  <si>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</si>
  <si>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</si>
  <si>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</si>
  <si>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</si>
  <si>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</si>
  <si>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</si>
  <si>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</si>
  <si>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</si>
  <si>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</si>
  <si>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</si>
  <si>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</si>
  <si>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</si>
  <si>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</si>
  <si>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</si>
  <si>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</si>
  <si>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</si>
  <si>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</si>
  <si>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</si>
  <si>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</si>
  <si>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</si>
  <si>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</si>
  <si>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</si>
  <si>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</si>
  <si>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</si>
  <si>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</si>
  <si>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</si>
  <si>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</si>
  <si>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</si>
  <si>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</si>
  <si>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</si>
  <si>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</si>
  <si>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</si>
  <si>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</si>
  <si>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</si>
  <si>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</si>
  <si>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</si>
  <si>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</si>
  <si>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</si>
  <si>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</si>
  <si>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</si>
  <si>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</si>
  <si>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</si>
  <si>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</si>
  <si>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</si>
  <si>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</si>
  <si>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</si>
  <si>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</si>
  <si>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</si>
  <si>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</si>
  <si>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</si>
  <si>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</si>
  <si>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</si>
  <si>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</si>
  <si>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</si>
  <si>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</si>
  <si>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</si>
  <si>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</si>
  <si>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</si>
  <si>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</si>
  <si>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</si>
  <si>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</si>
  <si>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</si>
  <si>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</si>
  <si>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</si>
  <si>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</si>
  <si>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</si>
  <si>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</si>
  <si>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</si>
  <si>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</si>
  <si>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</si>
  <si>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</si>
  <si>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</si>
  <si>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</si>
  <si>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</si>
  <si>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</si>
  <si>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</si>
  <si>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</si>
  <si>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</si>
  <si>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</si>
  <si>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</si>
  <si>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</si>
  <si>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</si>
  <si>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</si>
  <si>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</si>
  <si>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</si>
  <si>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</si>
  <si>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</si>
  <si>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</si>
  <si>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</si>
  <si>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</si>
  <si>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</si>
  <si>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</si>
  <si>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</si>
  <si>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</si>
  <si>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</si>
  <si>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</si>
  <si>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</si>
  <si>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</si>
  <si>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</si>
  <si>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</si>
  <si>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</si>
  <si>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</si>
  <si>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</si>
  <si>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</si>
  <si>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</si>
  <si>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</si>
  <si>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</si>
  <si>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</si>
  <si>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</si>
  <si>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</si>
  <si>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</si>
  <si>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</si>
  <si>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</si>
  <si>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</si>
  <si>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</si>
  <si>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</si>
  <si>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</si>
  <si>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</si>
  <si>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</si>
  <si>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</si>
  <si>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</si>
  <si>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</si>
  <si>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</si>
  <si>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</si>
  <si>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</si>
  <si>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</si>
  <si>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</si>
  <si>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</si>
  <si>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</si>
  <si>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</si>
  <si>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</si>
  <si>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</si>
  <si>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</si>
  <si>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</si>
  <si>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</si>
  <si>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</si>
  <si>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</si>
  <si>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</si>
  <si>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</si>
  <si>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</si>
  <si>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</si>
  <si>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</si>
  <si>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</si>
  <si>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</si>
  <si>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</si>
  <si>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</si>
  <si>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</si>
  <si>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</si>
  <si>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</si>
  <si>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</si>
  <si>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</si>
  <si>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</si>
  <si>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</si>
  <si>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</si>
  <si>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</si>
  <si>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</si>
  <si>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</si>
  <si>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</si>
  <si>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</si>
  <si>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</si>
  <si>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</si>
  <si>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</si>
  <si>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</si>
  <si>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</si>
  <si>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</si>
  <si>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</si>
  <si>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</si>
  <si>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</si>
  <si>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</si>
  <si>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</si>
  <si>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</si>
  <si>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</si>
  <si>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</si>
  <si>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</si>
  <si>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</si>
  <si>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</si>
  <si>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</si>
  <si>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</si>
  <si>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</si>
  <si>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</si>
  <si>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</si>
  <si>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</si>
  <si>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</si>
  <si>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</si>
  <si>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</si>
  <si>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</si>
  <si>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</si>
  <si>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</si>
  <si>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</si>
  <si>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</si>
  <si>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</si>
  <si>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</si>
  <si>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</si>
  <si>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</si>
  <si>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</si>
  <si>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</si>
  <si>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</si>
  <si>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</si>
  <si>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</si>
  <si>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</si>
  <si>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</si>
  <si>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</si>
  <si>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</si>
  <si>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</si>
  <si>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</si>
  <si>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</si>
  <si>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</si>
  <si>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</si>
  <si>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</si>
  <si>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</si>
  <si>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</si>
  <si>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</si>
  <si>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</si>
  <si>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</si>
  <si>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</si>
  <si>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</si>
  <si>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</si>
  <si>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</si>
  <si>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</si>
  <si>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</si>
  <si>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</si>
  <si>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</si>
  <si>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</si>
  <si>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</si>
  <si>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</si>
  <si>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</si>
  <si>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</si>
  <si>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</si>
  <si>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</si>
  <si>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</si>
  <si>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</si>
  <si>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</si>
  <si>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</si>
  <si>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</si>
  <si>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</si>
  <si>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</si>
  <si>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</si>
  <si>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</si>
  <si>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</si>
  <si>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</si>
  <si>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</si>
  <si>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</si>
  <si>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</si>
  <si>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</si>
  <si>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</si>
  <si>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</si>
  <si>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</si>
  <si>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</si>
  <si>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</si>
  <si>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</si>
  <si>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</si>
  <si>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</si>
  <si>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</si>
  <si>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</si>
  <si>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</si>
  <si>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</si>
  <si>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</si>
  <si>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</si>
  <si>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</si>
  <si>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</si>
  <si>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</si>
  <si>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</si>
  <si>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</si>
  <si>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</si>
  <si>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</si>
  <si>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</si>
  <si>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</si>
  <si>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</si>
  <si>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</si>
  <si>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</si>
  <si>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</si>
  <si>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</si>
  <si>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</si>
  <si>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</si>
  <si>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</si>
  <si>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</si>
  <si>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</si>
  <si>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</si>
  <si>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</si>
  <si>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</si>
  <si>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</si>
  <si>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</si>
  <si>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</si>
  <si>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</si>
  <si>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</si>
  <si>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</si>
  <si>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</si>
  <si>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</si>
  <si>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</si>
  <si>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</si>
  <si>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</si>
  <si>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</si>
  <si>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</si>
  <si>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</si>
  <si>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</si>
  <si>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</si>
  <si>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</si>
  <si>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</si>
  <si>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</si>
  <si>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</si>
  <si>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</si>
  <si>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</si>
  <si>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</si>
  <si>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</si>
  <si>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</si>
  <si>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</si>
  <si>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</si>
  <si>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</si>
  <si>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</si>
  <si>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</si>
  <si>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</si>
  <si>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</si>
  <si>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</si>
  <si>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</si>
  <si>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</si>
  <si>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</si>
  <si>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</si>
  <si>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</si>
  <si>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</si>
  <si>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</si>
  <si>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</si>
  <si>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</si>
  <si>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</si>
  <si>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</si>
  <si>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</si>
  <si>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</si>
  <si>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</si>
  <si>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</si>
  <si>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</si>
  <si>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</si>
  <si>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</si>
  <si>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</si>
  <si>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</si>
  <si>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</si>
  <si>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</si>
  <si>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</si>
  <si>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</si>
  <si>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</si>
  <si>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</si>
  <si>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</si>
  <si>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</si>
  <si>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</si>
  <si>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</si>
  <si>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</si>
  <si>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</si>
  <si>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</si>
  <si>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</si>
  <si>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</si>
  <si>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</si>
  <si>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</si>
  <si>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</si>
  <si>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</si>
  <si>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</si>
  <si>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</si>
  <si>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</si>
  <si>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</si>
  <si>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</si>
  <si>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</si>
  <si>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</si>
  <si>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</si>
  <si>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</si>
  <si>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</si>
  <si>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</si>
  <si>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</si>
  <si>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</si>
  <si>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</si>
  <si>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</si>
  <si>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</si>
  <si>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</si>
  <si>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</si>
  <si>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</si>
  <si>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</si>
  <si>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</si>
  <si>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</si>
  <si>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</si>
  <si>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</si>
  <si>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</si>
  <si>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</si>
  <si>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</si>
  <si>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</si>
  <si>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</si>
  <si>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</si>
  <si>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</si>
  <si>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</si>
  <si>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</si>
  <si>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</si>
  <si>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</si>
  <si>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</si>
  <si>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</si>
  <si>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</si>
  <si>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</si>
  <si>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</si>
  <si>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</si>
  <si>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</si>
  <si>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</si>
  <si>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</si>
  <si>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</si>
  <si>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</si>
  <si>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</si>
  <si>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</si>
  <si>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</si>
  <si>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</si>
  <si>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</si>
  <si>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</si>
  <si>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</si>
  <si>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</si>
  <si>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</si>
  <si>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</si>
  <si>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</si>
  <si>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</si>
  <si>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</si>
  <si>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</si>
  <si>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</si>
  <si>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</si>
  <si>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</si>
  <si>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</si>
  <si>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</si>
  <si>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</si>
  <si>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</si>
  <si>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</si>
  <si>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</si>
  <si>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</si>
  <si>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</si>
  <si>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</si>
  <si>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</si>
  <si>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</si>
  <si>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</si>
  <si>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</si>
  <si>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</si>
  <si>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</si>
  <si>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</si>
  <si>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</si>
  <si>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</si>
  <si>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</si>
  <si>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</si>
  <si>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</si>
  <si>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</si>
  <si>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</si>
  <si>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</si>
  <si>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</si>
  <si>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</si>
  <si>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</si>
  <si>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</si>
  <si>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</si>
  <si>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</si>
  <si>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</si>
  <si>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</si>
  <si>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</si>
  <si>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</si>
  <si>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</si>
  <si>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</si>
  <si>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</si>
  <si>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</si>
  <si>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</si>
  <si>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</si>
  <si>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</si>
  <si>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</si>
  <si>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</si>
  <si>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</si>
  <si>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</si>
  <si>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</si>
  <si>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</si>
  <si>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</si>
  <si>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</si>
  <si>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</si>
  <si>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</si>
  <si>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</si>
  <si>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</si>
  <si>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</si>
  <si>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</si>
  <si>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</si>
  <si>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</si>
  <si>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</si>
  <si>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</si>
  <si>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</si>
  <si>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</si>
  <si>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</si>
  <si>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</si>
  <si>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</si>
  <si>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</si>
  <si>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</si>
  <si>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</si>
  <si>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</si>
  <si>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</si>
  <si>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</si>
  <si>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</si>
  <si>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</si>
  <si>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</si>
  <si>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</si>
  <si>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</si>
  <si>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</si>
  <si>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</si>
  <si>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</si>
  <si>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</si>
  <si>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</si>
  <si>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</si>
  <si>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</si>
  <si>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</si>
  <si>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</si>
  <si>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</si>
  <si>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</si>
  <si>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</si>
  <si>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</si>
  <si>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</si>
  <si>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</si>
  <si>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</si>
  <si>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</si>
  <si>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</si>
  <si>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</si>
  <si>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</si>
  <si>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</si>
  <si>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</si>
  <si>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</si>
  <si>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</si>
  <si>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</si>
  <si>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</si>
  <si>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</si>
  <si>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</si>
  <si>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</si>
  <si>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</si>
  <si>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</si>
  <si>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</si>
  <si>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</si>
  <si>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</si>
  <si>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</si>
  <si>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</si>
  <si>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</si>
  <si>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</si>
  <si>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</si>
  <si>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</si>
  <si>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</si>
  <si>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</si>
  <si>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</si>
  <si>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</si>
  <si>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</si>
  <si>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</si>
  <si>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</si>
  <si>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</si>
  <si>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</si>
  <si>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</si>
  <si>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</si>
  <si>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</si>
  <si>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</si>
  <si>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</si>
  <si>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</si>
  <si>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</si>
  <si>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</si>
  <si>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</si>
  <si>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</si>
  <si>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</si>
  <si>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</si>
  <si>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</si>
  <si>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</si>
  <si>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</si>
  <si>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</si>
  <si>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</si>
  <si>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</si>
  <si>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</si>
  <si>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</si>
  <si>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</si>
  <si>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</si>
  <si>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</si>
  <si>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</si>
  <si>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</si>
  <si>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</si>
  <si>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</si>
  <si>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</si>
  <si>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</si>
  <si>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</si>
  <si>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</si>
  <si>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</si>
  <si>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</si>
  <si>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</si>
  <si>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</si>
  <si>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</si>
  <si>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</si>
  <si>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</si>
  <si>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</si>
  <si>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</si>
  <si>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</si>
  <si>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</si>
  <si>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</si>
  <si>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</si>
  <si>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</si>
  <si>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</si>
  <si>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</si>
  <si>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</si>
  <si>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</si>
  <si>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</si>
  <si>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</si>
  <si>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</si>
  <si>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</si>
  <si>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</si>
  <si>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</si>
  <si>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</si>
  <si>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</si>
  <si>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</si>
  <si>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</si>
  <si>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</si>
  <si>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</si>
  <si>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</si>
  <si>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</si>
  <si>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</si>
  <si>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</si>
  <si>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</si>
  <si>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</si>
  <si>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</si>
  <si>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</si>
  <si>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</si>
  <si>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</si>
  <si>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</si>
  <si>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</si>
  <si>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</si>
  <si>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</si>
  <si>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</si>
  <si>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</si>
  <si>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</si>
  <si>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</si>
  <si>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</si>
  <si>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</si>
  <si>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</si>
  <si>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</si>
  <si>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</si>
  <si>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</si>
  <si>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</si>
  <si>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</si>
  <si>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</si>
  <si>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</si>
  <si>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</si>
  <si>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</si>
  <si>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</si>
  <si>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</si>
  <si>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</si>
  <si>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</si>
  <si>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</si>
  <si>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</si>
  <si>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</si>
  <si>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</si>
  <si>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</si>
  <si>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</si>
  <si>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</si>
  <si>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</si>
  <si>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</si>
  <si>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</si>
  <si>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</si>
  <si>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</si>
  <si>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</si>
  <si>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</si>
  <si>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</si>
  <si>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</si>
  <si>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</si>
  <si>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</si>
  <si>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</si>
  <si>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</si>
  <si>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</si>
  <si>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</si>
  <si>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</si>
  <si>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</si>
  <si>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</si>
  <si>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</si>
  <si>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</si>
  <si>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</si>
  <si>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</si>
  <si>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</si>
  <si>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</si>
  <si>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</si>
  <si>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</si>
  <si>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</si>
  <si>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</si>
  <si>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</si>
  <si>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</si>
  <si>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</si>
  <si>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</si>
  <si>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</si>
  <si>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</si>
  <si>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</si>
  <si>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</si>
  <si>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</si>
  <si>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</si>
  <si>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</si>
  <si>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</si>
  <si>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</si>
  <si>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</si>
  <si>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</si>
  <si>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</si>
  <si>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</si>
  <si>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</si>
  <si>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</si>
  <si>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</si>
  <si>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</si>
  <si>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</si>
  <si>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</si>
  <si>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</si>
  <si>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</si>
  <si>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</si>
  <si>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</si>
  <si>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</si>
  <si>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</si>
  <si>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</si>
  <si>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</si>
  <si>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</si>
  <si>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</si>
  <si>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</si>
  <si>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</si>
  <si>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</si>
  <si>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</si>
  <si>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</si>
  <si>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</si>
  <si>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</si>
  <si>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</si>
  <si>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</si>
  <si>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</si>
  <si>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</si>
  <si>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</si>
  <si>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</si>
  <si>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</si>
  <si>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</si>
  <si>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</si>
  <si>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</si>
  <si>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</si>
  <si>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</si>
  <si>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</si>
  <si>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</si>
  <si>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</si>
  <si>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</si>
  <si>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</si>
  <si>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</si>
  <si>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</si>
  <si>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</si>
  <si>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</si>
  <si>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</si>
  <si>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</si>
  <si>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</si>
  <si>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</si>
  <si>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</si>
  <si>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</si>
  <si>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</si>
  <si>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</si>
  <si>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</si>
  <si>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</si>
  <si>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</si>
  <si>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</si>
  <si>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</si>
  <si>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</si>
  <si>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</si>
  <si>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</si>
  <si>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</si>
  <si>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</si>
  <si>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</si>
  <si>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</si>
  <si>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</si>
  <si>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</si>
  <si>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</si>
  <si>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</si>
  <si>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</si>
  <si>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</si>
  <si>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</si>
  <si>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</si>
  <si>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</si>
  <si>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</si>
  <si>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</si>
  <si>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</si>
  <si>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</si>
  <si>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</si>
  <si>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</si>
  <si>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</si>
  <si>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</si>
  <si>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</si>
  <si>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</si>
  <si>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</si>
  <si>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</si>
  <si>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</si>
  <si>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</si>
  <si>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</si>
  <si>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</si>
  <si>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</si>
  <si>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</si>
  <si>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</si>
  <si>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</si>
  <si>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</si>
  <si>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</si>
  <si>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</si>
  <si>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</si>
  <si>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</si>
  <si>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</si>
  <si>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</si>
  <si>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</si>
  <si>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</si>
  <si>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</si>
  <si>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</si>
  <si>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</si>
  <si>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</si>
  <si>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</si>
  <si>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</si>
  <si>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</si>
  <si>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</si>
  <si>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</si>
  <si>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</si>
  <si>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</si>
  <si>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</si>
  <si>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</si>
  <si>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</si>
  <si>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</si>
  <si>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</si>
  <si>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</si>
  <si>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</si>
  <si>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</si>
  <si>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</si>
  <si>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</si>
  <si>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</si>
  <si>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</si>
  <si>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</si>
  <si>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</si>
  <si>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</si>
  <si>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</si>
  <si>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</si>
  <si>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</si>
  <si>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</si>
  <si>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</si>
  <si>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</si>
  <si>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</si>
  <si>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</si>
  <si>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</si>
  <si>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</si>
  <si>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</si>
  <si>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</si>
  <si>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</si>
  <si>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</si>
  <si>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</si>
  <si>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</si>
  <si>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</si>
  <si>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</si>
  <si>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</si>
  <si>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</si>
  <si>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</si>
  <si>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</si>
  <si>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</si>
  <si>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</si>
  <si>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</si>
  <si>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</si>
  <si>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</si>
  <si>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</si>
  <si>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</si>
  <si>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</si>
  <si>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</si>
  <si>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</si>
  <si>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</si>
  <si>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</si>
  <si>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</si>
  <si>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</si>
  <si>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</si>
  <si>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</si>
  <si>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</si>
  <si>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</si>
  <si>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</si>
  <si>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</si>
  <si>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</si>
  <si>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</si>
  <si>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</si>
  <si>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</si>
  <si>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</si>
  <si>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</si>
  <si>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</si>
  <si>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</si>
  <si>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</si>
  <si>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</si>
  <si>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</si>
  <si>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</si>
  <si>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</si>
  <si>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</si>
  <si>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</si>
  <si>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</si>
  <si>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</si>
  <si>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</si>
  <si>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</si>
  <si>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</si>
  <si>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</si>
  <si>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</si>
  <si>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</si>
  <si>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</si>
  <si>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</si>
  <si>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</si>
  <si>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</si>
  <si>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</si>
  <si>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</si>
  <si>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</si>
  <si>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</si>
  <si>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</si>
  <si>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</si>
  <si>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</si>
  <si>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</si>
  <si>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</si>
  <si>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</si>
  <si>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</si>
  <si>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</si>
  <si>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</si>
  <si>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</si>
  <si>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</si>
  <si>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</si>
  <si>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</si>
  <si>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</si>
  <si>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</si>
  <si>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</si>
  <si>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</si>
  <si>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</si>
  <si>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</si>
  <si>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</si>
  <si>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</si>
  <si>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</si>
  <si>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</si>
  <si>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</si>
  <si>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</si>
  <si>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</si>
  <si>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</si>
  <si>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</si>
  <si>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</si>
  <si>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</si>
  <si>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</si>
  <si>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</si>
  <si>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</si>
  <si>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</si>
  <si>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</si>
  <si>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</si>
  <si>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</si>
  <si>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</si>
  <si>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</si>
  <si>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</si>
  <si>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</si>
  <si>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</si>
  <si>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</si>
  <si>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</si>
  <si>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</si>
  <si>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</si>
  <si>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</si>
  <si>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</si>
  <si>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</si>
  <si>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</si>
  <si>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</si>
  <si>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</si>
  <si>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</si>
  <si>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</si>
  <si>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</si>
  <si>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</si>
  <si>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</si>
  <si>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</si>
  <si>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</si>
  <si>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</si>
  <si>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</si>
  <si>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</si>
  <si>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</si>
  <si>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</si>
  <si>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</si>
  <si>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</si>
  <si>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</si>
  <si>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</si>
  <si>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</si>
  <si>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</si>
  <si>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</si>
  <si>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</si>
  <si>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</si>
  <si>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</si>
  <si>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</si>
  <si>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</si>
  <si>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</si>
  <si>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</si>
  <si>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</si>
  <si>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</si>
  <si>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</si>
  <si>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</si>
  <si>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</si>
  <si>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</si>
  <si>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</si>
  <si>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</si>
  <si>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</si>
  <si>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</si>
  <si>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</si>
  <si>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</si>
  <si>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</si>
  <si>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</si>
  <si>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</si>
  <si>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</si>
  <si>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</si>
  <si>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</si>
  <si>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</si>
  <si>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</si>
  <si>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</si>
  <si>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</si>
  <si>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</si>
  <si>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</si>
  <si>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</si>
  <si>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</si>
  <si>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</si>
  <si>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</si>
  <si>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</si>
  <si>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</si>
  <si>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</si>
  <si>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</si>
  <si>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</si>
  <si>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</si>
  <si>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</si>
  <si>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</si>
  <si>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</si>
  <si>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</si>
  <si>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</si>
  <si>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</si>
  <si>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</si>
  <si>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</si>
  <si>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</si>
  <si>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</si>
  <si>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</si>
  <si>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</si>
  <si>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</si>
  <si>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</si>
  <si>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</si>
  <si>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</si>
  <si>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</si>
  <si>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</si>
  <si>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</si>
  <si>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</si>
  <si>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</si>
  <si>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</si>
  <si>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</si>
  <si>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</si>
  <si>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</si>
  <si>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</si>
  <si>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</si>
  <si>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</si>
  <si>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</si>
  <si>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</si>
  <si>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</si>
  <si>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</si>
  <si>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</si>
  <si>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</si>
  <si>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</si>
  <si>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</si>
  <si>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</si>
  <si>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</si>
  <si>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</si>
  <si>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</si>
  <si>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</si>
  <si>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</si>
  <si>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</si>
  <si>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</si>
  <si>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</si>
  <si>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</si>
  <si>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</si>
  <si>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</si>
  <si>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</si>
  <si>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</si>
  <si>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</si>
  <si>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</si>
  <si>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</si>
  <si>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</si>
  <si>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</si>
  <si>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</si>
  <si>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</si>
  <si>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</si>
  <si>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</si>
  <si>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</si>
  <si>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</si>
  <si>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</si>
  <si>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</si>
  <si>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</si>
  <si>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</si>
  <si>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</si>
  <si>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</si>
  <si>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</si>
  <si>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</si>
  <si>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</si>
  <si>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</si>
  <si>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</si>
  <si>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</si>
  <si>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</si>
  <si>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</si>
  <si>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</si>
  <si>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</si>
  <si>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</si>
  <si>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</si>
  <si>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</si>
  <si>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</si>
  <si>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</si>
  <si>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</si>
  <si>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</si>
  <si>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</si>
  <si>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</si>
  <si>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</si>
  <si>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</si>
  <si>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</si>
  <si>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</si>
  <si>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</si>
  <si>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</si>
  <si>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</si>
  <si>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</si>
  <si>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</si>
  <si>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</si>
  <si>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</si>
  <si>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</si>
  <si>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</si>
  <si>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</si>
  <si>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</si>
  <si>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</si>
  <si>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</si>
  <si>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</si>
  <si>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</si>
  <si>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</si>
  <si>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</si>
  <si>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</si>
  <si>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</si>
  <si>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</si>
  <si>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</si>
  <si>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</si>
  <si>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</si>
  <si>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</si>
  <si>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</si>
  <si>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</si>
  <si>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</si>
  <si>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</si>
  <si>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</si>
  <si>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</si>
  <si>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</si>
  <si>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</si>
  <si>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</si>
  <si>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</si>
  <si>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</si>
  <si>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</si>
  <si>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</si>
  <si>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</si>
  <si>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</si>
  <si>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</si>
  <si>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</si>
  <si>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</si>
  <si>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</si>
  <si>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</si>
  <si>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</si>
  <si>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</si>
  <si>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</si>
  <si>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</si>
  <si>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</si>
  <si>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</si>
  <si>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</si>
  <si>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</si>
  <si>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</si>
  <si>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</si>
  <si>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</si>
  <si>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</si>
  <si>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</si>
  <si>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</si>
  <si>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</si>
  <si>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</si>
  <si>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</si>
  <si>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</si>
  <si>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</si>
  <si>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</si>
  <si>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</si>
  <si>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</si>
  <si>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</si>
  <si>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</si>
  <si>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</si>
  <si>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</si>
  <si>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</si>
  <si>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</si>
  <si>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</si>
  <si>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</si>
  <si>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</si>
  <si>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</si>
  <si>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</si>
  <si>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</si>
  <si>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</si>
  <si>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</si>
  <si>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</si>
  <si>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</si>
  <si>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</si>
  <si>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</si>
  <si>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</si>
  <si>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</si>
  <si>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</si>
  <si>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</si>
  <si>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</si>
  <si>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</si>
  <si>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</si>
  <si>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</si>
  <si>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</si>
  <si>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</si>
  <si>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</si>
  <si>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</si>
  <si>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</si>
  <si>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</si>
  <si>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</si>
  <si>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</si>
  <si>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</si>
  <si>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</si>
  <si>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</si>
  <si>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</si>
  <si>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</si>
  <si>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</si>
  <si>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</si>
  <si>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</si>
  <si>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</si>
  <si>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</si>
  <si>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</si>
  <si>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</si>
  <si>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</si>
  <si>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</si>
  <si>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</si>
  <si>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</si>
  <si>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</si>
  <si>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</si>
  <si>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</si>
  <si>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</si>
  <si>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</si>
  <si>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</si>
  <si>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</si>
  <si>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</si>
  <si>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</si>
  <si>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</si>
  <si>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</si>
  <si>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</si>
  <si>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</si>
  <si>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</si>
  <si>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</si>
  <si>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</si>
  <si>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</si>
  <si>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</si>
  <si>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</si>
  <si>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</si>
  <si>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</si>
  <si>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</si>
  <si>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</si>
  <si>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</si>
  <si>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</si>
  <si>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</si>
  <si>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</si>
  <si>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</si>
  <si>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</si>
  <si>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</si>
  <si>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</si>
  <si>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</si>
  <si>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</si>
  <si>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</si>
  <si>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</si>
  <si>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</si>
  <si>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</si>
  <si>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</si>
  <si>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</si>
  <si>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</si>
  <si>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</si>
  <si>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</si>
  <si>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</si>
  <si>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</si>
  <si>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</si>
  <si>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</si>
  <si>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</si>
  <si>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</si>
  <si>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</si>
  <si>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</si>
  <si>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</si>
  <si>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</si>
  <si>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</si>
  <si>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</si>
  <si>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</si>
  <si>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</si>
  <si>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</si>
  <si>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</si>
  <si>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</si>
  <si>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</si>
  <si>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</si>
  <si>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</si>
  <si>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</si>
  <si>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</si>
  <si>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</si>
  <si>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</si>
  <si>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</si>
  <si>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</si>
  <si>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</si>
  <si>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</si>
  <si>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</si>
  <si>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</si>
  <si>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</si>
  <si>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</si>
  <si>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</si>
  <si>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</si>
  <si>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</si>
  <si>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</si>
  <si>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</si>
  <si>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</si>
  <si>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</si>
  <si>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</si>
  <si>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</si>
  <si>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</si>
  <si>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</si>
  <si>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</si>
  <si>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</si>
  <si>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</si>
  <si>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</si>
  <si>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</si>
  <si>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</si>
  <si>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</si>
  <si>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</si>
  <si>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</si>
  <si>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</si>
  <si>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</si>
  <si>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</si>
  <si>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</si>
  <si>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</si>
  <si>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</si>
  <si>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</si>
  <si>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</si>
  <si>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</si>
  <si>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</si>
  <si>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</si>
  <si>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</si>
  <si>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</si>
  <si>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</si>
  <si>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</si>
  <si>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</si>
  <si>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</si>
  <si>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</si>
  <si>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</si>
  <si>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</si>
  <si>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</si>
  <si>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</si>
  <si>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</si>
  <si>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</si>
  <si>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</si>
  <si>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</si>
  <si>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</si>
  <si>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</si>
  <si>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</si>
  <si>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</si>
  <si>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</si>
  <si>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</si>
  <si>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</si>
  <si>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</si>
  <si>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</si>
  <si>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</si>
  <si>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</si>
  <si>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</si>
  <si>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</si>
  <si>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</si>
  <si>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</si>
  <si>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</si>
  <si>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</si>
  <si>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</si>
  <si>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</si>
  <si>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</si>
  <si>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</si>
  <si>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</si>
  <si>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</si>
  <si>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</si>
  <si>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</si>
  <si>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</si>
  <si>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</si>
  <si>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</si>
  <si>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</si>
  <si>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</si>
  <si>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</si>
  <si>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</si>
  <si>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</si>
  <si>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</si>
  <si>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</si>
  <si>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</si>
  <si>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</si>
  <si>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</si>
  <si>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</si>
  <si>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</si>
  <si>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</si>
  <si>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</si>
  <si>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</si>
  <si>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</si>
  <si>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</si>
  <si>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</si>
  <si>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</si>
  <si>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</si>
  <si>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</si>
  <si>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</si>
  <si>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</si>
  <si>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</si>
  <si>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</si>
  <si>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</si>
  <si>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</si>
  <si>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</si>
  <si>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</si>
  <si>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</si>
  <si>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</si>
  <si>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</si>
  <si>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</si>
  <si>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</si>
  <si>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</si>
  <si>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</si>
  <si>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</si>
  <si>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</si>
  <si>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</si>
  <si>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</si>
  <si>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</si>
  <si>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</si>
  <si>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</si>
  <si>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</si>
  <si>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</si>
  <si>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</si>
  <si>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</si>
  <si>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</si>
  <si>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</si>
  <si>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</si>
  <si>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</si>
  <si>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</si>
  <si>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</si>
  <si>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</si>
  <si>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</si>
  <si>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</si>
  <si>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</si>
  <si>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</si>
  <si>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</si>
  <si>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</si>
  <si>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</si>
  <si>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</si>
  <si>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</si>
  <si>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</si>
  <si>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</si>
  <si>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</si>
  <si>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</si>
  <si>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</si>
  <si>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</si>
  <si>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</si>
  <si>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</si>
  <si>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</si>
  <si>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</si>
  <si>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</si>
  <si>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</si>
  <si>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</si>
  <si>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</si>
  <si>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</si>
  <si>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</si>
  <si>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</si>
  <si>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</si>
  <si>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</si>
  <si>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</si>
  <si>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</si>
  <si>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</si>
  <si>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</si>
  <si>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</si>
  <si>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</si>
  <si>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</si>
  <si>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</si>
  <si>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</si>
  <si>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</si>
  <si>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</si>
  <si>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</si>
  <si>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</si>
  <si>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</si>
  <si>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</si>
  <si>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</si>
  <si>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</si>
  <si>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</si>
  <si>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</si>
  <si>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</si>
  <si>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</si>
  <si>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</si>
  <si>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</si>
  <si>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</si>
  <si>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</si>
  <si>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</si>
  <si>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</si>
  <si>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</si>
  <si>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</si>
  <si>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</si>
  <si>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</si>
  <si>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</si>
  <si>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</si>
  <si>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</si>
  <si>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</si>
  <si>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</si>
  <si>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</si>
  <si>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</si>
  <si>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</si>
  <si>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</si>
  <si>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</si>
  <si>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</si>
  <si>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</si>
  <si>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</si>
  <si>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</si>
  <si>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</si>
  <si>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</si>
  <si>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</si>
  <si>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</si>
  <si>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</si>
  <si>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</si>
  <si>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</si>
  <si>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</si>
  <si>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</si>
  <si>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</si>
  <si>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</si>
  <si>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</si>
  <si>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</si>
  <si>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</si>
  <si>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</si>
  <si>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</si>
  <si>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</si>
  <si>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</si>
  <si>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</si>
  <si>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</si>
  <si>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</si>
  <si>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</si>
  <si>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</si>
  <si>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</si>
  <si>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</si>
  <si>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</si>
  <si>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</si>
  <si>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</si>
  <si>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</si>
  <si>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</si>
  <si>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</si>
  <si>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</si>
  <si>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</si>
  <si>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</si>
  <si>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</si>
  <si>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</si>
  <si>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</si>
  <si>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</si>
  <si>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</si>
  <si>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</si>
  <si>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</si>
  <si>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</si>
  <si>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</si>
  <si>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</si>
  <si>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</si>
  <si>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</si>
  <si>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</si>
  <si>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</si>
  <si>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</si>
  <si>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</si>
  <si>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</si>
  <si>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</si>
  <si>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</si>
  <si>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</si>
  <si>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</si>
  <si>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</si>
  <si>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</si>
  <si>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</si>
  <si>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</si>
  <si>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</si>
  <si>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</si>
  <si>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</si>
  <si>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</si>
  <si>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</si>
  <si>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</si>
  <si>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</si>
  <si>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</si>
  <si>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</si>
  <si>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</si>
  <si>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</si>
  <si>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</si>
  <si>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</si>
  <si>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</si>
  <si>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</si>
  <si>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</si>
  <si>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</si>
  <si>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</si>
  <si>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</si>
  <si>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</si>
  <si>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</si>
  <si>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</si>
  <si>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</si>
  <si>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</si>
  <si>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</si>
  <si>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</si>
  <si>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</si>
  <si>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</si>
  <si>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</si>
  <si>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</si>
  <si>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</si>
  <si>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</si>
  <si>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</si>
  <si>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</si>
  <si>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</si>
  <si>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</si>
  <si>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</si>
  <si>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</si>
  <si>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</si>
  <si>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</si>
  <si>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</si>
  <si>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</si>
  <si>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</si>
  <si>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</si>
  <si>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</si>
  <si>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</si>
  <si>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</si>
  <si>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</si>
  <si>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</si>
  <si>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</si>
  <si>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</si>
  <si>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</si>
  <si>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</si>
  <si>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</si>
  <si>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</si>
  <si>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</si>
  <si>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</si>
  <si>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</si>
  <si>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</si>
  <si>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</si>
  <si>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</si>
  <si>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</si>
  <si>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</si>
  <si>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</si>
  <si>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</si>
  <si>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</si>
  <si>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</si>
  <si>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</si>
  <si>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</si>
  <si>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</si>
  <si>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</si>
  <si>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</si>
  <si>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</si>
  <si>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</si>
  <si>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</si>
  <si>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</si>
  <si>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</si>
  <si>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</si>
  <si>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</si>
  <si>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</si>
  <si>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</si>
  <si>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</si>
  <si>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</si>
  <si>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</si>
  <si>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</si>
  <si>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</si>
  <si>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</si>
  <si>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</si>
  <si>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</si>
  <si>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</si>
  <si>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</si>
  <si>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</si>
  <si>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</si>
  <si>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</si>
  <si>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</si>
  <si>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</si>
  <si>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</si>
  <si>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</si>
  <si>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</si>
  <si>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</si>
  <si>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</si>
  <si>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</si>
  <si>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</si>
  <si>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</si>
  <si>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</si>
  <si>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</si>
  <si>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</si>
  <si>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</si>
  <si>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</si>
  <si>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</si>
  <si>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</si>
  <si>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</si>
  <si>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</si>
  <si>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</si>
  <si>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</si>
  <si>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</si>
  <si>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</si>
  <si>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</si>
  <si>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</si>
  <si>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</si>
  <si>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</si>
  <si>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</si>
  <si>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</si>
  <si>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</si>
  <si>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</si>
  <si>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</si>
  <si>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</si>
  <si>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</si>
  <si>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</si>
  <si>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</si>
  <si>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</si>
  <si>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</si>
  <si>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</si>
  <si>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</si>
  <si>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</si>
  <si>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</si>
  <si>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</si>
  <si>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</si>
  <si>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</si>
  <si>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</si>
  <si>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</si>
  <si>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</si>
  <si>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</si>
  <si>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</si>
  <si>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</si>
  <si>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</si>
  <si>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</si>
  <si>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</si>
  <si>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</si>
  <si>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</si>
  <si>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</si>
  <si>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</si>
  <si>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</si>
  <si>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</si>
  <si>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</si>
  <si>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</si>
  <si>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</si>
  <si>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</si>
  <si>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</si>
  <si>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</si>
  <si>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</si>
  <si>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</si>
  <si>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</si>
  <si>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</si>
  <si>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</si>
  <si>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</si>
  <si>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</si>
  <si>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</si>
  <si>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</si>
  <si>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</si>
  <si>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</si>
  <si>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</si>
  <si>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</si>
  <si>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</si>
  <si>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</si>
  <si>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</si>
  <si>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</si>
  <si>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</si>
  <si>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</si>
  <si>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</si>
  <si>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</si>
  <si>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</si>
  <si>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</si>
  <si>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</si>
  <si>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</si>
  <si>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</si>
  <si>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</si>
  <si>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</si>
  <si>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</si>
  <si>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</si>
  <si>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</si>
  <si>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</si>
  <si>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</si>
  <si>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</si>
  <si>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</si>
  <si>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</si>
  <si>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</si>
  <si>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</si>
  <si>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</si>
  <si>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</si>
  <si>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</si>
  <si>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</si>
  <si>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</si>
  <si>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</si>
  <si>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</si>
  <si>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</si>
  <si>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</si>
  <si>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</si>
  <si>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</si>
  <si>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</si>
  <si>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</si>
  <si>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</si>
  <si>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</si>
  <si>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</si>
  <si>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</si>
  <si>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</si>
  <si>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</si>
  <si>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</si>
  <si>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</si>
  <si>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</si>
  <si>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</si>
  <si>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</si>
  <si>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</si>
  <si>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</si>
  <si>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</si>
  <si>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</si>
  <si>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</si>
  <si>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</si>
  <si>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</si>
  <si>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</si>
  <si>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</si>
  <si>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</si>
  <si>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</si>
  <si>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</si>
  <si>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</si>
  <si>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</si>
  <si>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</si>
  <si>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</si>
  <si>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</si>
  <si>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</si>
  <si>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</si>
  <si>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</si>
  <si>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</si>
  <si>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</si>
  <si>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</si>
  <si>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</si>
  <si>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</si>
  <si>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</si>
  <si>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</si>
  <si>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</si>
  <si>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</si>
  <si>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</si>
  <si>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</si>
  <si>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</si>
  <si>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</si>
  <si>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</si>
  <si>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</si>
  <si>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</si>
  <si>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</si>
  <si>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</si>
  <si>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</si>
  <si>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</si>
  <si>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</si>
  <si>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</si>
  <si>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</si>
  <si>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</si>
  <si>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</si>
  <si>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</si>
  <si>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</si>
  <si>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</si>
  <si>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</si>
  <si>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</si>
  <si>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</si>
  <si>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</si>
  <si>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</si>
  <si>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</si>
  <si>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</si>
  <si>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</si>
  <si>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</si>
  <si>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</si>
  <si>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</si>
  <si>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</si>
  <si>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</si>
  <si>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</si>
  <si>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</si>
  <si>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</si>
  <si>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</si>
  <si>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</si>
  <si>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</si>
  <si>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</si>
  <si>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</si>
  <si>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</si>
  <si>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</si>
  <si>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</si>
  <si>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</si>
  <si>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</si>
  <si>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</si>
  <si>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</si>
  <si>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</si>
  <si>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</si>
  <si>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</si>
  <si>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</si>
  <si>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</si>
  <si>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</si>
  <si>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</si>
  <si>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</si>
  <si>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</si>
  <si>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</si>
  <si>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</si>
  <si>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</si>
  <si>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</si>
  <si>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</si>
  <si>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</si>
  <si>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</si>
  <si>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</si>
  <si>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</si>
  <si>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</si>
  <si>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</si>
  <si>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</si>
  <si>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</si>
  <si>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</si>
  <si>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</si>
  <si>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</si>
  <si>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</si>
  <si>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</si>
  <si>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</si>
  <si>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</si>
  <si>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</si>
  <si>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</si>
  <si>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</si>
  <si>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</si>
  <si>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</si>
  <si>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</si>
  <si>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</si>
  <si>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</si>
  <si>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</si>
  <si>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</si>
  <si>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</si>
  <si>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</si>
  <si>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</si>
  <si>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</si>
  <si>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</si>
  <si>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</si>
  <si>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</si>
  <si>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</si>
  <si>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</si>
  <si>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</si>
  <si>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</si>
  <si>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</si>
  <si>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</si>
  <si>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</si>
  <si>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</si>
  <si>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</si>
  <si>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</si>
  <si>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</si>
  <si>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</si>
  <si>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</si>
  <si>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</si>
  <si>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</si>
  <si>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</si>
  <si>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</si>
  <si>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</si>
  <si>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</si>
  <si>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</si>
  <si>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</si>
  <si>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</si>
  <si>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</si>
  <si>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</si>
  <si>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</si>
  <si>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</si>
  <si>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</si>
  <si>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</si>
  <si>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</si>
  <si>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</si>
  <si>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</si>
  <si>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</si>
  <si>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</si>
  <si>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</si>
  <si>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</si>
  <si>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</si>
  <si>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</si>
  <si>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</si>
  <si>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</si>
  <si>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</si>
  <si>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</si>
  <si>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</si>
  <si>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</si>
  <si>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</si>
  <si>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</si>
  <si>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</si>
  <si>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</si>
  <si>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</si>
  <si>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</si>
  <si>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</si>
  <si>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</si>
  <si>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</si>
  <si>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</si>
  <si>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</si>
  <si>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</si>
  <si>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</si>
  <si>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</si>
  <si>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</si>
  <si>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</si>
  <si>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</si>
  <si>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</si>
  <si>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</si>
  <si>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</si>
  <si>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</si>
  <si>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</si>
  <si>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</si>
  <si>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</si>
  <si>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</si>
  <si>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</si>
  <si>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</si>
  <si>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</si>
  <si>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</si>
  <si>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</si>
  <si>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</si>
  <si>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</si>
  <si>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</si>
  <si>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</si>
  <si>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</si>
  <si>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</si>
  <si>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</si>
  <si>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</si>
  <si>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</si>
  <si>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</si>
  <si>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</si>
  <si>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</si>
  <si>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</si>
  <si>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</si>
  <si>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</si>
  <si>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</si>
  <si>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</si>
  <si>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</si>
  <si>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</si>
  <si>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</si>
  <si>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</si>
  <si>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</si>
  <si>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</si>
  <si>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</si>
  <si>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</si>
  <si>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</si>
  <si>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</si>
  <si>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</si>
  <si>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</si>
  <si>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</si>
  <si>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</si>
  <si>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</si>
  <si>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</si>
  <si>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</si>
  <si>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</si>
  <si>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</si>
  <si>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</si>
  <si>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</si>
  <si>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</si>
  <si>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</si>
  <si>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</si>
  <si>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</si>
  <si>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</si>
  <si>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</si>
  <si>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</si>
  <si>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</si>
  <si>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</si>
  <si>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</si>
  <si>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</si>
  <si>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</si>
  <si>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</si>
  <si>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</si>
  <si>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</si>
  <si>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</si>
  <si>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</si>
  <si>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</si>
  <si>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</si>
  <si>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</si>
  <si>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</si>
  <si>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</si>
  <si>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</si>
  <si>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</si>
  <si>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</si>
  <si>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</si>
  <si>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</si>
  <si>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</si>
  <si>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</si>
  <si>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</si>
  <si>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</si>
  <si>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</si>
  <si>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</si>
  <si>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</si>
  <si>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</si>
  <si>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</si>
  <si>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</si>
  <si>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</si>
  <si>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</si>
  <si>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</si>
  <si>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</si>
  <si>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</si>
  <si>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</si>
  <si>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</si>
  <si>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</si>
  <si>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</si>
  <si>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</si>
  <si>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</si>
  <si>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</si>
  <si>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</si>
  <si>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</si>
  <si>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</si>
  <si>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</si>
  <si>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</si>
  <si>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</si>
  <si>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</si>
  <si>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</si>
  <si>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</si>
  <si>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</si>
  <si>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</si>
  <si>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</si>
  <si>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</si>
  <si>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</si>
  <si>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</si>
  <si>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</si>
  <si>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</si>
  <si>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</si>
  <si>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</si>
  <si>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</si>
  <si>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</si>
  <si>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</si>
  <si>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</si>
  <si>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</si>
  <si>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</si>
  <si>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</si>
  <si>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</si>
  <si>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</si>
  <si>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</si>
  <si>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</si>
  <si>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</si>
  <si>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</si>
  <si>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</si>
  <si>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</si>
  <si>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</si>
  <si>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</si>
  <si>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</si>
  <si>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</si>
  <si>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</si>
  <si>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</si>
  <si>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</si>
  <si>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</si>
  <si>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</si>
  <si>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</si>
  <si>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</si>
  <si>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</si>
  <si>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</si>
  <si>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</si>
  <si>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</si>
  <si>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</si>
  <si>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</si>
  <si>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</si>
  <si>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</si>
  <si>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</si>
  <si>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</si>
  <si>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</si>
  <si>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</si>
  <si>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</si>
  <si>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</si>
  <si>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</si>
  <si>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</si>
  <si>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</si>
  <si>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</si>
  <si>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</si>
  <si>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</si>
  <si>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</si>
  <si>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</si>
  <si>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</si>
  <si>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</si>
  <si>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</si>
  <si>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</si>
  <si>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</si>
  <si>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</si>
  <si>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</si>
  <si>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</si>
  <si>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</si>
  <si>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</si>
  <si>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</si>
  <si>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</si>
  <si>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</si>
  <si>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</si>
  <si>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</si>
  <si>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</si>
  <si>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</si>
  <si>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</si>
  <si>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</si>
  <si>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</si>
  <si>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</si>
  <si>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</si>
  <si>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</si>
  <si>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</si>
  <si>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</si>
  <si>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</si>
  <si>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</si>
  <si>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</si>
  <si>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</si>
  <si>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</si>
  <si>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</si>
  <si>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</si>
  <si>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</si>
  <si>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</si>
  <si>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</si>
  <si>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</si>
  <si>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</si>
  <si>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</si>
  <si>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</si>
  <si>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</si>
  <si>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</si>
  <si>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</si>
  <si>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</si>
  <si>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</si>
  <si>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</si>
  <si>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</si>
  <si>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</si>
  <si>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</si>
  <si>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</si>
  <si>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</si>
  <si>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</si>
  <si>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</si>
  <si>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</si>
  <si>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</si>
  <si>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</si>
  <si>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</si>
  <si>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</si>
  <si>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</si>
  <si>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</si>
  <si>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</si>
  <si>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</si>
  <si>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</si>
  <si>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</si>
  <si>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</si>
  <si>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</si>
  <si>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</si>
  <si>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</si>
  <si>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</si>
  <si>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</si>
  <si>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</si>
  <si>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</si>
  <si>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</si>
  <si>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</si>
  <si>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</si>
  <si>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</si>
  <si>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</si>
  <si>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</si>
  <si>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</si>
  <si>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</si>
  <si>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</si>
  <si>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</si>
  <si>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</si>
  <si>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</si>
  <si>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</si>
  <si>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</si>
  <si>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</si>
  <si>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</si>
  <si>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</si>
  <si>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</si>
  <si>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</si>
  <si>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</si>
  <si>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</si>
  <si>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</si>
  <si>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</si>
  <si>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</si>
  <si>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</si>
  <si>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</si>
  <si>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</si>
  <si>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</si>
  <si>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</si>
  <si>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</si>
  <si>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</si>
  <si>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</si>
  <si>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</si>
  <si>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</si>
  <si>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</si>
  <si>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</si>
  <si>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</si>
  <si>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</si>
  <si>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</si>
  <si>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</si>
  <si>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</si>
  <si>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</si>
  <si>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</si>
  <si>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</si>
  <si>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</si>
  <si>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</si>
  <si>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</si>
  <si>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</si>
  <si>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</si>
  <si>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</si>
  <si>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</si>
  <si>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</si>
  <si>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</si>
  <si>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</si>
  <si>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</si>
  <si>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</si>
  <si>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</si>
  <si>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</si>
  <si>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</si>
  <si>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</si>
  <si>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</si>
  <si>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</si>
  <si>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</si>
  <si>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</si>
  <si>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</si>
  <si>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</si>
  <si>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</si>
  <si>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</si>
  <si>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</si>
  <si>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</si>
  <si>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</si>
  <si>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</si>
  <si>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</si>
  <si>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</si>
  <si>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</si>
  <si>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</si>
  <si>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</si>
  <si>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</si>
  <si>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</si>
  <si>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</si>
  <si>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</si>
  <si>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</si>
  <si>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</si>
  <si>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</si>
  <si>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</si>
  <si>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</si>
  <si>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</si>
  <si>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</si>
  <si>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</si>
  <si>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</si>
  <si>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</si>
  <si>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</si>
  <si>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</si>
  <si>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</si>
  <si>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</si>
  <si>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</si>
  <si>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</si>
  <si>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</si>
  <si>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</si>
  <si>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</si>
  <si>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</si>
  <si>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</si>
  <si>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</si>
  <si>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</si>
  <si>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</si>
  <si>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</si>
  <si>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</si>
  <si>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</si>
  <si>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</si>
  <si>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</si>
  <si>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</si>
  <si>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</si>
  <si>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</si>
  <si>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</si>
  <si>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</si>
  <si>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</si>
  <si>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</si>
  <si>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</si>
  <si>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</si>
  <si>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</si>
  <si>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</si>
  <si>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</si>
  <si>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</si>
  <si>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</si>
  <si>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</si>
  <si>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</si>
  <si>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</si>
  <si>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</si>
  <si>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</si>
  <si>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</si>
  <si>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</si>
  <si>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</si>
  <si>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</si>
  <si>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</si>
  <si>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</si>
  <si>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</si>
  <si>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</si>
  <si>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</si>
  <si>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</si>
  <si>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</si>
  <si>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</si>
  <si>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</si>
  <si>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</si>
  <si>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</si>
  <si>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</si>
  <si>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</si>
  <si>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</si>
  <si>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</si>
  <si>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</si>
  <si>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</si>
  <si>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</si>
  <si>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</si>
  <si>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</si>
  <si>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</si>
  <si>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</si>
  <si>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</si>
  <si>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</si>
  <si>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</si>
  <si>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</si>
  <si>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</si>
  <si>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</si>
  <si>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</si>
  <si>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</si>
  <si>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</si>
  <si>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</si>
  <si>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</si>
  <si>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</si>
  <si>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</si>
  <si>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</si>
  <si>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</si>
  <si>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</si>
  <si>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</si>
  <si>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</si>
  <si>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</si>
  <si>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</si>
  <si>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</si>
  <si>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</si>
  <si>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</si>
  <si>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</si>
  <si>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</si>
  <si>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</si>
  <si>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</si>
  <si>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</si>
  <si>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</si>
  <si>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</si>
  <si>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</si>
  <si>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</si>
  <si>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</si>
  <si>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</si>
  <si>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</si>
  <si>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</si>
  <si>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</si>
  <si>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</si>
  <si>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</si>
  <si>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</si>
  <si>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</si>
  <si>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</si>
  <si>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</si>
  <si>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</si>
  <si>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</si>
  <si>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</si>
  <si>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</si>
  <si>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</si>
  <si>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</si>
  <si>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</si>
  <si>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</si>
  <si>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</si>
  <si>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</si>
  <si>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</si>
  <si>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</si>
  <si>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</si>
  <si>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</si>
  <si>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</si>
  <si>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</si>
  <si>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</si>
  <si>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</si>
  <si>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</si>
  <si>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</si>
  <si>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</si>
  <si>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</si>
  <si>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</si>
  <si>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</si>
  <si>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</si>
  <si>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</si>
  <si>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</si>
  <si>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</si>
  <si>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</si>
  <si>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</si>
  <si>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</si>
  <si>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</si>
  <si>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</si>
  <si>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</si>
  <si>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</si>
  <si>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</si>
  <si>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</si>
  <si>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</si>
  <si>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</si>
  <si>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</si>
  <si>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</si>
  <si>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</si>
  <si>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</si>
  <si>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</si>
  <si>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</si>
  <si>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</si>
  <si>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</si>
  <si>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</si>
  <si>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</si>
  <si>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</si>
  <si>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</si>
  <si>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</si>
  <si>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</si>
  <si>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</si>
  <si>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</si>
  <si>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</si>
  <si>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</si>
  <si>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</si>
  <si>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</si>
  <si>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</si>
  <si>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</si>
  <si>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</si>
  <si>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</si>
  <si>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</si>
  <si>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</si>
  <si>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</si>
  <si>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</si>
  <si>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</si>
  <si>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</si>
  <si>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</si>
  <si>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</si>
  <si>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</si>
  <si>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</si>
  <si>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</si>
  <si>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</si>
  <si>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</si>
  <si>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</si>
  <si>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</si>
  <si>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</si>
  <si>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</si>
  <si>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</si>
  <si>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</si>
  <si>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</si>
  <si>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</si>
  <si>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</si>
  <si>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</si>
  <si>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</si>
  <si>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</si>
  <si>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</si>
  <si>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</si>
  <si>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</si>
  <si>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</si>
  <si>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</si>
  <si>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</si>
  <si>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</si>
  <si>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</si>
  <si>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</si>
  <si>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</si>
  <si>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</si>
  <si>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</si>
  <si>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</si>
  <si>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</si>
  <si>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</si>
  <si>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</si>
  <si>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</si>
  <si>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</si>
  <si>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</si>
  <si>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</si>
  <si>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</si>
  <si>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4" type="noConversion"/>
  </si>
  <si>
    <t>2018-4</t>
    <phoneticPr fontId="4" type="noConversion"/>
  </si>
  <si>
    <t>出让</t>
  </si>
  <si>
    <t>陈颖</t>
  </si>
  <si>
    <t>杨红英</t>
  </si>
  <si>
    <t>企业</t>
  </si>
  <si>
    <t>一致</t>
  </si>
  <si>
    <t>商业</t>
  </si>
  <si>
    <t>地上</t>
    <phoneticPr fontId="229" type="noConversion"/>
  </si>
  <si>
    <t>商业配套</t>
    <phoneticPr fontId="229" type="noConversion"/>
  </si>
  <si>
    <t>小计</t>
    <phoneticPr fontId="229" type="noConversion"/>
  </si>
  <si>
    <t>地下</t>
    <phoneticPr fontId="229" type="noConversion"/>
  </si>
  <si>
    <t>地下车库</t>
    <phoneticPr fontId="229" type="noConversion"/>
  </si>
  <si>
    <t>地下仓储</t>
    <phoneticPr fontId="229" type="noConversion"/>
  </si>
  <si>
    <t>合计</t>
    <phoneticPr fontId="229" type="noConversion"/>
  </si>
  <si>
    <t>住宅</t>
    <phoneticPr fontId="229" type="noConversion"/>
  </si>
  <si>
    <t>-</t>
    <phoneticPr fontId="229" type="noConversion"/>
  </si>
  <si>
    <t>=</t>
    <phoneticPr fontId="229" type="noConversion"/>
  </si>
  <si>
    <t>变更后</t>
    <phoneticPr fontId="229" type="noConversion"/>
  </si>
  <si>
    <t>变更前</t>
    <phoneticPr fontId="229" type="noConversion"/>
  </si>
  <si>
    <t>住宅减少</t>
    <phoneticPr fontId="229" type="noConversion"/>
  </si>
  <si>
    <t>商业配套减少</t>
    <phoneticPr fontId="229" type="noConversion"/>
  </si>
  <si>
    <t>车库不变</t>
    <phoneticPr fontId="229" type="noConversion"/>
  </si>
  <si>
    <t>新增</t>
    <phoneticPr fontId="229" type="noConversion"/>
  </si>
  <si>
    <t>地上</t>
  </si>
  <si>
    <t>地下</t>
  </si>
  <si>
    <t>仓储</t>
  </si>
  <si>
    <t>车库</t>
  </si>
  <si>
    <t>住宅</t>
    <phoneticPr fontId="4" type="noConversion"/>
  </si>
  <si>
    <t>商业（配套）</t>
  </si>
  <si>
    <t>商业（配套）</t>
    <phoneticPr fontId="4" type="noConversion"/>
  </si>
  <si>
    <t>地下仓储</t>
  </si>
  <si>
    <t>地下仓储</t>
    <phoneticPr fontId="4" type="noConversion"/>
  </si>
  <si>
    <t>地下车库</t>
    <phoneticPr fontId="4" type="noConversion"/>
  </si>
  <si>
    <t>住宅</t>
    <phoneticPr fontId="8" type="noConversion"/>
  </si>
  <si>
    <t>商业（配套）</t>
    <phoneticPr fontId="8" type="noConversion"/>
  </si>
  <si>
    <t>地下仓储</t>
    <phoneticPr fontId="8" type="noConversion"/>
  </si>
  <si>
    <t>地下车库</t>
    <phoneticPr fontId="8"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</si>
  <si>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</si>
  <si>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t>剩余法</t>
    </r>
    <r>
      <rPr>
        <sz val="11"/>
        <color theme="1"/>
        <rFont val="Arial"/>
        <family val="2"/>
      </rPr>
      <t>-</t>
    </r>
    <r>
      <rPr>
        <sz val="11"/>
        <color theme="1"/>
        <rFont val="宋体"/>
        <family val="3"/>
        <charset val="134"/>
      </rPr>
      <t>待开发商业</t>
    </r>
    <phoneticPr fontId="15" type="noConversion"/>
  </si>
  <si>
    <t>剩余法-待开发住宅</t>
  </si>
  <si>
    <t>居住用地（指二类居住用地）</t>
  </si>
  <si>
    <t>朝阳区王四营乡东部道口村柏阳景园</t>
    <phoneticPr fontId="4" type="noConversion"/>
  </si>
  <si>
    <t>柏阳景园</t>
    <phoneticPr fontId="4" type="noConversion"/>
  </si>
  <si>
    <t>住宅</t>
    <phoneticPr fontId="22" type="noConversion"/>
  </si>
  <si>
    <t>50-60（含）</t>
  </si>
  <si>
    <t>正常</t>
  </si>
  <si>
    <t>较好</t>
  </si>
  <si>
    <t>估价对象周边居住用地比例、居住小区规模和社区发展完善程度，综合评价居住社区成熟度较好</t>
    <phoneticPr fontId="4" type="noConversion"/>
  </si>
  <si>
    <t>七通</t>
  </si>
  <si>
    <t>一般</t>
  </si>
  <si>
    <t>南北</t>
  </si>
  <si>
    <t>南北</t>
    <phoneticPr fontId="22" type="noConversion"/>
  </si>
  <si>
    <t>城市高速路—京哈高速</t>
    <phoneticPr fontId="22" type="noConversion"/>
  </si>
  <si>
    <t>楼层</t>
    <phoneticPr fontId="22" type="noConversion"/>
  </si>
  <si>
    <r>
      <rPr>
        <sz val="11"/>
        <rFont val="宋体"/>
        <family val="3"/>
        <charset val="134"/>
      </rPr>
      <t>中楼层</t>
    </r>
    <r>
      <rPr>
        <sz val="11"/>
        <rFont val="Arial"/>
        <family val="2"/>
      </rPr>
      <t>/6</t>
    </r>
    <phoneticPr fontId="22" type="noConversion"/>
  </si>
  <si>
    <r>
      <rPr>
        <sz val="11"/>
        <rFont val="宋体"/>
        <family val="3"/>
        <charset val="134"/>
      </rPr>
      <t>底层</t>
    </r>
    <r>
      <rPr>
        <sz val="11"/>
        <rFont val="Arial"/>
        <family val="2"/>
      </rPr>
      <t>/5</t>
    </r>
    <phoneticPr fontId="22" type="noConversion"/>
  </si>
  <si>
    <r>
      <rPr>
        <sz val="11"/>
        <rFont val="宋体"/>
        <family val="3"/>
        <charset val="134"/>
      </rPr>
      <t>底层</t>
    </r>
    <r>
      <rPr>
        <sz val="11"/>
        <rFont val="Arial"/>
        <family val="2"/>
      </rPr>
      <t>/6</t>
    </r>
    <phoneticPr fontId="22" type="noConversion"/>
  </si>
  <si>
    <t>A</t>
    <phoneticPr fontId="275" type="noConversion"/>
  </si>
  <si>
    <t>B</t>
    <phoneticPr fontId="275" type="noConversion"/>
  </si>
  <si>
    <t>C</t>
    <phoneticPr fontId="275" type="noConversion"/>
  </si>
  <si>
    <t>80-90</t>
    <phoneticPr fontId="22" type="noConversion"/>
  </si>
  <si>
    <t>板楼</t>
  </si>
  <si>
    <t>板楼</t>
    <phoneticPr fontId="22" type="noConversion"/>
  </si>
  <si>
    <t>混合</t>
  </si>
  <si>
    <t>混合</t>
    <phoneticPr fontId="22" type="noConversion"/>
  </si>
  <si>
    <t>普通装修</t>
  </si>
  <si>
    <t>普通装修</t>
    <phoneticPr fontId="22" type="noConversion"/>
  </si>
  <si>
    <t>物业公司</t>
  </si>
  <si>
    <t>物业公司</t>
    <phoneticPr fontId="22" type="noConversion"/>
  </si>
  <si>
    <t>七通</t>
    <phoneticPr fontId="22" type="noConversion"/>
  </si>
  <si>
    <t>平层</t>
  </si>
  <si>
    <t>平层</t>
    <phoneticPr fontId="22" type="noConversion"/>
  </si>
  <si>
    <t>建成年代</t>
    <phoneticPr fontId="22" type="noConversion"/>
  </si>
  <si>
    <t>售价</t>
  </si>
  <si>
    <t>精装修</t>
  </si>
  <si>
    <t>精装修</t>
    <phoneticPr fontId="22" type="noConversion"/>
  </si>
  <si>
    <t>普通装修</t>
    <phoneticPr fontId="22" type="noConversion"/>
  </si>
  <si>
    <t>有</t>
  </si>
  <si>
    <t>无</t>
  </si>
  <si>
    <t>1000米以外</t>
  </si>
  <si>
    <t>七通一平</t>
  </si>
  <si>
    <t>按公示增长率计算</t>
  </si>
  <si>
    <t>容积率修正</t>
  </si>
  <si>
    <t>自定义容积率</t>
  </si>
  <si>
    <t>好</t>
  </si>
  <si>
    <r>
      <rPr>
        <sz val="11"/>
        <color theme="1"/>
        <rFont val="宋体"/>
        <family val="3"/>
        <charset val="134"/>
      </rPr>
      <t>基准地价</t>
    </r>
    <r>
      <rPr>
        <sz val="11"/>
        <color theme="1"/>
        <rFont val="Arial"/>
        <family val="2"/>
      </rPr>
      <t>-</t>
    </r>
    <r>
      <rPr>
        <sz val="11"/>
        <color theme="1"/>
        <rFont val="宋体"/>
        <family val="3"/>
        <charset val="134"/>
      </rPr>
      <t>商业</t>
    </r>
    <phoneticPr fontId="15" type="noConversion"/>
  </si>
  <si>
    <t>基准地价-住宅</t>
  </si>
  <si>
    <t>项目局部</t>
  </si>
  <si>
    <t>土地</t>
  </si>
  <si>
    <r>
      <t>剩余法</t>
    </r>
    <r>
      <rPr>
        <sz val="11"/>
        <color theme="1"/>
        <rFont val="Arial"/>
        <family val="2"/>
      </rPr>
      <t>-</t>
    </r>
    <r>
      <rPr>
        <sz val="11"/>
        <color theme="1"/>
        <rFont val="宋体"/>
        <family val="3"/>
        <charset val="134"/>
      </rPr>
      <t>待开发住宅</t>
    </r>
    <r>
      <rPr>
        <sz val="11"/>
        <color theme="1"/>
        <rFont val="宋体"/>
        <family val="2"/>
        <charset val="134"/>
        <scheme val="minor"/>
      </rPr>
      <t/>
    </r>
    <phoneticPr fontId="15" type="noConversion"/>
  </si>
  <si>
    <t>批发零售用地</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</si>
  <si>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</si>
  <si>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商圈，周边办公楼项目较多，入驻率高，办公集聚程度一般</t>
    </r>
    <phoneticPr fontId="4" type="noConversion"/>
  </si>
  <si>
    <t>富力又一城</t>
    <phoneticPr fontId="4" type="noConversion"/>
  </si>
  <si>
    <t>恒大御景湾</t>
    <phoneticPr fontId="4" type="noConversion"/>
  </si>
  <si>
    <t>商业</t>
    <phoneticPr fontId="27" type="noConversion"/>
  </si>
  <si>
    <t>30-40（含）</t>
  </si>
  <si>
    <t>20-30（含）</t>
  </si>
  <si>
    <t>城市支路-大鲁店北路</t>
    <phoneticPr fontId="27" type="noConversion"/>
  </si>
  <si>
    <t>城市支路-黄厂路</t>
    <phoneticPr fontId="27" type="noConversion"/>
  </si>
  <si>
    <t>区域自然环境：；人文环境；综合评价环境状况较好</t>
    <phoneticPr fontId="4" type="noConversion"/>
  </si>
  <si>
    <t>单面临街</t>
  </si>
  <si>
    <t>单面临街</t>
    <phoneticPr fontId="27" type="noConversion"/>
  </si>
  <si>
    <t>一般</t>
    <phoneticPr fontId="27" type="noConversion"/>
  </si>
  <si>
    <t>好</t>
    <phoneticPr fontId="27" type="noConversion"/>
  </si>
  <si>
    <t>较好</t>
    <phoneticPr fontId="27" type="noConversion"/>
  </si>
  <si>
    <t>较差</t>
    <phoneticPr fontId="27" type="noConversion"/>
  </si>
  <si>
    <t>差</t>
    <phoneticPr fontId="27" type="noConversion"/>
  </si>
  <si>
    <t>一层</t>
  </si>
  <si>
    <t>一层</t>
    <phoneticPr fontId="27" type="noConversion"/>
  </si>
  <si>
    <t>住宅底商</t>
  </si>
  <si>
    <t>住宅底商</t>
    <phoneticPr fontId="27" type="noConversion"/>
  </si>
  <si>
    <t>商业街商铺</t>
  </si>
  <si>
    <t>商业街商铺</t>
    <phoneticPr fontId="27" type="noConversion"/>
  </si>
  <si>
    <t>商业综合楼</t>
  </si>
  <si>
    <t>商业综合楼</t>
    <phoneticPr fontId="27" type="noConversion"/>
  </si>
  <si>
    <t>混合</t>
    <phoneticPr fontId="27" type="noConversion"/>
  </si>
  <si>
    <t>普通装修</t>
    <phoneticPr fontId="27" type="noConversion"/>
  </si>
  <si>
    <t>七通</t>
    <phoneticPr fontId="27" type="noConversion"/>
  </si>
  <si>
    <t>六通</t>
    <phoneticPr fontId="27" type="noConversion"/>
  </si>
  <si>
    <t>五通</t>
  </si>
  <si>
    <t>五通</t>
    <phoneticPr fontId="27" type="noConversion"/>
  </si>
  <si>
    <t>正常</t>
    <phoneticPr fontId="27" type="noConversion"/>
  </si>
  <si>
    <t>临路状况</t>
    <phoneticPr fontId="27" type="noConversion"/>
  </si>
  <si>
    <t>60-70（含）</t>
  </si>
  <si>
    <t>基准地价-70住宅</t>
    <phoneticPr fontId="15"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</si>
  <si>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5" type="noConversion"/>
  </si>
  <si>
    <t>用途</t>
  </si>
  <si>
    <t>方法</t>
  </si>
  <si>
    <t>楼面熟地单价</t>
  </si>
  <si>
    <t>权重</t>
  </si>
  <si>
    <t>权重楼面熟地单价（元/㎡）</t>
  </si>
  <si>
    <t>楼面熟地总价（元/㎡）</t>
  </si>
  <si>
    <t>政府土地出让收益楼面单价（元/㎡）</t>
  </si>
  <si>
    <t>政府土地出让收益总价（元/㎡）</t>
  </si>
  <si>
    <t>地面熟地单价（元/㎡）</t>
  </si>
  <si>
    <t>地上住宅（70年）</t>
  </si>
  <si>
    <t>基准地价法</t>
  </si>
  <si>
    <t>剩余法</t>
  </si>
  <si>
    <t>地下仓储（50年）</t>
  </si>
  <si>
    <t>地上住宅</t>
  </si>
  <si>
    <t>年期修正</t>
  </si>
  <si>
    <r>
      <t>Ã</t>
    </r>
    <r>
      <rPr>
        <b/>
        <sz val="14"/>
        <color theme="1"/>
        <rFont val="仿宋_GB2312"/>
        <family val="3"/>
        <charset val="134"/>
      </rPr>
      <t>熟地价</t>
    </r>
  </si>
  <si>
    <r>
      <t>Ã</t>
    </r>
    <r>
      <rPr>
        <b/>
        <sz val="14"/>
        <color theme="1"/>
        <rFont val="仿宋_GB2312"/>
        <family val="3"/>
        <charset val="134"/>
      </rPr>
      <t>政府土地出让收益</t>
    </r>
  </si>
  <si>
    <t>部位</t>
  </si>
  <si>
    <t>出让建筑</t>
  </si>
  <si>
    <t>楼面熟地</t>
  </si>
  <si>
    <t>熟地总价</t>
  </si>
  <si>
    <t>地面熟地单价</t>
  </si>
  <si>
    <t>出让建筑面积</t>
  </si>
  <si>
    <t>政府土地出让收益楼面单价</t>
    <phoneticPr fontId="229" type="noConversion"/>
  </si>
  <si>
    <t>政府土地出让收益总价（元/㎡）</t>
    <phoneticPr fontId="229" type="noConversion"/>
  </si>
  <si>
    <t>面积</t>
  </si>
  <si>
    <t>单价</t>
  </si>
  <si>
    <t>(万元）</t>
  </si>
  <si>
    <r>
      <t>（元/</t>
    </r>
    <r>
      <rPr>
        <b/>
        <sz val="12"/>
        <color rgb="FF000000"/>
        <rFont val="华文仿宋"/>
        <family val="3"/>
        <charset val="134"/>
      </rPr>
      <t>㎡</t>
    </r>
    <r>
      <rPr>
        <b/>
        <sz val="12"/>
        <color theme="1"/>
        <rFont val="仿宋_GB2312"/>
        <family val="3"/>
        <charset val="134"/>
      </rPr>
      <t>）</t>
    </r>
  </si>
  <si>
    <r>
      <t>（</t>
    </r>
    <r>
      <rPr>
        <b/>
        <sz val="12"/>
        <color theme="1"/>
        <rFont val="华文仿宋"/>
        <family val="3"/>
        <charset val="134"/>
      </rPr>
      <t>㎡</t>
    </r>
    <r>
      <rPr>
        <b/>
        <sz val="12"/>
        <color theme="1"/>
        <rFont val="仿宋_GB2312"/>
        <family val="3"/>
        <charset val="134"/>
      </rPr>
      <t>）</t>
    </r>
  </si>
  <si>
    <r>
      <t>（元/</t>
    </r>
    <r>
      <rPr>
        <b/>
        <sz val="12"/>
        <color theme="1"/>
        <rFont val="华文仿宋"/>
        <family val="3"/>
        <charset val="134"/>
      </rPr>
      <t>㎡</t>
    </r>
    <r>
      <rPr>
        <b/>
        <sz val="12"/>
        <color theme="1"/>
        <rFont val="仿宋_GB2312"/>
        <family val="3"/>
        <charset val="134"/>
      </rPr>
      <t>）</t>
    </r>
    <phoneticPr fontId="229" type="noConversion"/>
  </si>
  <si>
    <r>
      <t>（</t>
    </r>
    <r>
      <rPr>
        <b/>
        <sz val="12"/>
        <color rgb="FF000000"/>
        <rFont val="华文仿宋"/>
        <family val="3"/>
        <charset val="134"/>
      </rPr>
      <t>㎡</t>
    </r>
    <r>
      <rPr>
        <b/>
        <sz val="12"/>
        <color theme="1"/>
        <rFont val="仿宋_GB2312"/>
        <family val="3"/>
        <charset val="134"/>
      </rPr>
      <t>）</t>
    </r>
  </si>
  <si>
    <t>住宅（调整容积率）</t>
    <phoneticPr fontId="229" type="noConversion"/>
  </si>
  <si>
    <t>住宅</t>
    <phoneticPr fontId="229" type="noConversion"/>
  </si>
  <si>
    <t>商业（配套）（调整容积率）</t>
    <phoneticPr fontId="229" type="noConversion"/>
  </si>
  <si>
    <t>商业（配套）</t>
    <phoneticPr fontId="229" type="noConversion"/>
  </si>
  <si>
    <t>地下仓储</t>
    <phoneticPr fontId="229" type="noConversion"/>
  </si>
  <si>
    <t>地下车库</t>
    <phoneticPr fontId="229" type="noConversion"/>
  </si>
  <si>
    <t>_</t>
    <phoneticPr fontId="229"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</si>
</sst>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name val="宋体"/>
      <family val="3"/>
      <charset val="134"/>
      <scheme val="minor"/>
    </font>
    <font>
      <b/>
      <sz val="12"/>
      <color theme="1"/>
      <name val="Adobe 黑体 Std R"/>
      <family val="2"/>
      <charset val="134"/>
    </font>
    <font>
      <b/>
      <sz val="14"/>
      <color theme="1"/>
      <name val="Wingdings 2"/>
      <family val="1"/>
      <charset val="2"/>
    </font>
    <font>
      <b/>
      <sz val="12"/>
      <color theme="1"/>
      <name val="仿宋_GB2312"/>
      <family val="3"/>
      <charset val="134"/>
    </font>
    <font>
      <sz val="11"/>
      <color theme="1"/>
      <name val="Calibri"/>
      <family val="2"/>
    </font>
    <font>
      <b/>
      <sz val="12"/>
      <color rgb="FF000000"/>
      <name val="华文仿宋"/>
      <family val="3"/>
      <charset val="134"/>
    </font>
    <font>
      <b/>
      <sz val="12"/>
      <color theme="1"/>
      <name val="华文仿宋"/>
      <family val="3"/>
      <charset val="134"/>
    </font>
    <font>
      <sz val="12"/>
      <color theme="1"/>
      <name val="Calibri"/>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tint="0.79998168889431442"/>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cellStyleXfs>
  <cellXfs count="3594">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3"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3"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3"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3"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79" fillId="2" borderId="20" xfId="0" applyFont="1" applyFill="1" applyBorder="1" applyAlignment="1" applyProtection="1">
      <alignment horizontal="left" vertical="center" wrapText="1"/>
      <protection locked="0"/>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xf>
    <xf numFmtId="0" fontId="72" fillId="0" borderId="2" xfId="0" applyFont="1" applyBorder="1" applyAlignment="1" applyProtection="1">
      <alignment horizontal="center" vertical="center"/>
      <protection locked="0"/>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146" fillId="0" borderId="0" xfId="0" applyFont="1">
      <alignment vertical="center"/>
    </xf>
    <xf numFmtId="0" fontId="146" fillId="0" borderId="2" xfId="0" applyFont="1" applyBorder="1">
      <alignment vertical="center"/>
    </xf>
    <xf numFmtId="0" fontId="0" fillId="0" borderId="2" xfId="0" applyBorder="1">
      <alignment vertical="center"/>
    </xf>
    <xf numFmtId="0" fontId="0" fillId="6" borderId="2" xfId="0" applyFill="1" applyBorder="1">
      <alignment vertical="center"/>
    </xf>
    <xf numFmtId="0" fontId="146" fillId="17" borderId="0" xfId="0" applyFont="1" applyFill="1">
      <alignment vertical="center"/>
    </xf>
    <xf numFmtId="0" fontId="0" fillId="17" borderId="0" xfId="0" applyFill="1">
      <alignment vertical="center"/>
    </xf>
    <xf numFmtId="0" fontId="0" fillId="17" borderId="2" xfId="0" applyFill="1" applyBorder="1">
      <alignment vertical="center"/>
    </xf>
    <xf numFmtId="0" fontId="0" fillId="9" borderId="2" xfId="0" applyFill="1" applyBorder="1">
      <alignment vertical="center"/>
    </xf>
    <xf numFmtId="0" fontId="0" fillId="0" borderId="0" xfId="0" applyAlignment="1">
      <alignment horizontal="center" vertical="center"/>
    </xf>
    <xf numFmtId="0" fontId="147" fillId="0" borderId="0" xfId="0" applyFont="1" applyAlignment="1">
      <alignment horizontal="center" vertical="center"/>
    </xf>
    <xf numFmtId="0" fontId="0" fillId="18" borderId="2" xfId="0" applyFill="1" applyBorder="1">
      <alignment vertical="center"/>
    </xf>
    <xf numFmtId="177" fontId="82" fillId="0" borderId="2" xfId="2" applyNumberFormat="1" applyFont="1" applyFill="1" applyBorder="1" applyAlignment="1" applyProtection="1">
      <alignment vertical="center"/>
      <protection locked="0"/>
    </xf>
    <xf numFmtId="0" fontId="82" fillId="0" borderId="59" xfId="0" applyNumberFormat="1" applyFont="1" applyFill="1" applyBorder="1" applyAlignment="1" applyProtection="1">
      <alignment horizontal="center" vertical="center" wrapText="1"/>
      <protection locked="0"/>
    </xf>
    <xf numFmtId="49" fontId="262" fillId="0" borderId="7"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127" fillId="18" borderId="2" xfId="3" applyFont="1" applyFill="1" applyBorder="1" applyAlignment="1" applyProtection="1">
      <alignment horizontal="center" vertical="center" wrapText="1"/>
      <protection locked="0"/>
    </xf>
    <xf numFmtId="0" fontId="164" fillId="18" borderId="2" xfId="3" applyFont="1" applyFill="1" applyBorder="1" applyAlignment="1" applyProtection="1">
      <alignment horizontal="center" vertical="center" wrapText="1"/>
      <protection locked="0"/>
    </xf>
    <xf numFmtId="49" fontId="82" fillId="2" borderId="1" xfId="0" applyNumberFormat="1" applyFont="1" applyFill="1" applyBorder="1" applyAlignment="1" applyProtection="1">
      <alignment horizontal="center" vertical="center" wrapText="1"/>
      <protection locked="0"/>
    </xf>
    <xf numFmtId="49" fontId="82" fillId="2" borderId="42" xfId="0" applyNumberFormat="1"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82" fillId="18" borderId="50" xfId="0" applyNumberFormat="1" applyFont="1" applyFill="1" applyBorder="1" applyAlignment="1" applyProtection="1">
      <alignment horizontal="center" vertical="center" wrapText="1"/>
      <protection locked="0"/>
    </xf>
    <xf numFmtId="0" fontId="276" fillId="19" borderId="2" xfId="0" applyFont="1" applyFill="1" applyBorder="1" applyAlignment="1">
      <alignment horizontal="center" vertical="center" wrapText="1"/>
    </xf>
    <xf numFmtId="0" fontId="276" fillId="19" borderId="10" xfId="0" applyFont="1" applyFill="1" applyBorder="1" applyAlignment="1">
      <alignment horizontal="center" vertical="center" wrapText="1"/>
    </xf>
    <xf numFmtId="0" fontId="276" fillId="19" borderId="3" xfId="0" applyFont="1" applyFill="1" applyBorder="1" applyAlignment="1">
      <alignment horizontal="center" vertical="center" wrapText="1"/>
    </xf>
    <xf numFmtId="0" fontId="146" fillId="20" borderId="2" xfId="0" applyFont="1" applyFill="1" applyBorder="1" applyAlignment="1">
      <alignment vertical="center" wrapText="1"/>
    </xf>
    <xf numFmtId="0" fontId="0" fillId="20" borderId="2" xfId="0" applyFill="1" applyBorder="1" applyAlignment="1">
      <alignment vertical="center" wrapText="1"/>
    </xf>
    <xf numFmtId="0" fontId="146" fillId="21" borderId="2" xfId="0" applyFont="1" applyFill="1" applyBorder="1" applyAlignment="1">
      <alignment vertical="center" wrapText="1"/>
    </xf>
    <xf numFmtId="0" fontId="0" fillId="21" borderId="2" xfId="0" applyFill="1" applyBorder="1" applyAlignment="1">
      <alignment vertical="center" wrapText="1"/>
    </xf>
    <xf numFmtId="0" fontId="146" fillId="22" borderId="2" xfId="0" applyFont="1" applyFill="1" applyBorder="1" applyAlignment="1">
      <alignment vertical="center" wrapText="1"/>
    </xf>
    <xf numFmtId="0" fontId="0" fillId="22" borderId="2" xfId="0" applyFill="1" applyBorder="1" applyAlignment="1">
      <alignment vertical="center" wrapText="1"/>
    </xf>
    <xf numFmtId="0" fontId="146" fillId="23" borderId="2" xfId="0" applyFont="1" applyFill="1" applyBorder="1" applyAlignment="1">
      <alignment vertical="center" wrapText="1"/>
    </xf>
    <xf numFmtId="0" fontId="0" fillId="23" borderId="2" xfId="0" applyFill="1" applyBorder="1" applyAlignment="1">
      <alignment vertical="center" wrapText="1"/>
    </xf>
    <xf numFmtId="0" fontId="146" fillId="10" borderId="2" xfId="0" applyFont="1" applyFill="1" applyBorder="1" applyAlignment="1">
      <alignment vertical="center" wrapText="1"/>
    </xf>
    <xf numFmtId="0" fontId="0" fillId="10" borderId="2" xfId="0" applyFill="1" applyBorder="1" applyAlignment="1">
      <alignment vertical="center" wrapText="1"/>
    </xf>
    <xf numFmtId="0" fontId="277" fillId="0" borderId="0" xfId="0" applyFont="1">
      <alignment vertical="center"/>
    </xf>
    <xf numFmtId="0" fontId="278" fillId="0" borderId="39" xfId="0" applyFont="1" applyBorder="1" applyAlignment="1">
      <alignment horizontal="center" vertical="center" wrapText="1"/>
    </xf>
    <xf numFmtId="0" fontId="279" fillId="0" borderId="0" xfId="0" applyFont="1" applyAlignment="1">
      <alignment vertical="center" wrapText="1"/>
    </xf>
    <xf numFmtId="0" fontId="278" fillId="0" borderId="65" xfId="0" applyFont="1" applyBorder="1" applyAlignment="1">
      <alignment horizontal="center" vertical="center" wrapText="1"/>
    </xf>
    <xf numFmtId="0" fontId="278" fillId="0" borderId="66" xfId="0" applyFont="1" applyBorder="1" applyAlignment="1">
      <alignment horizontal="center" vertical="center" wrapText="1"/>
    </xf>
    <xf numFmtId="0" fontId="181" fillId="0" borderId="66" xfId="0" applyFont="1" applyBorder="1" applyAlignment="1">
      <alignment vertical="center" wrapText="1"/>
    </xf>
    <xf numFmtId="0" fontId="195" fillId="0" borderId="66" xfId="0" applyFont="1" applyBorder="1" applyAlignment="1">
      <alignment vertical="center" wrapText="1"/>
    </xf>
    <xf numFmtId="0" fontId="177" fillId="0" borderId="66" xfId="0" applyFont="1" applyBorder="1" applyAlignment="1">
      <alignment horizontal="center" vertical="center" wrapText="1"/>
    </xf>
    <xf numFmtId="0" fontId="282" fillId="0" borderId="156" xfId="0" applyFont="1" applyBorder="1" applyAlignment="1">
      <alignment vertical="center" wrapText="1"/>
    </xf>
    <xf numFmtId="0" fontId="282" fillId="0" borderId="155" xfId="0" applyFont="1" applyBorder="1" applyAlignment="1">
      <alignment vertical="center" wrapText="1"/>
    </xf>
    <xf numFmtId="0" fontId="195" fillId="0" borderId="65" xfId="0" applyFont="1" applyBorder="1" applyAlignment="1">
      <alignment vertical="center" wrapText="1"/>
    </xf>
    <xf numFmtId="0" fontId="177" fillId="0" borderId="35" xfId="0" applyFont="1" applyBorder="1" applyAlignment="1">
      <alignment vertical="center" wrapText="1"/>
    </xf>
    <xf numFmtId="0" fontId="279" fillId="0" borderId="31" xfId="0" applyFont="1" applyBorder="1" applyAlignment="1">
      <alignment vertical="center" wrapText="1"/>
    </xf>
    <xf numFmtId="0" fontId="195" fillId="0" borderId="59" xfId="0" applyFont="1" applyBorder="1" applyAlignment="1">
      <alignment vertical="center" wrapText="1"/>
    </xf>
    <xf numFmtId="0" fontId="177" fillId="0" borderId="36" xfId="0" applyFont="1" applyBorder="1" applyAlignment="1">
      <alignment horizontal="center" vertical="center" wrapText="1"/>
    </xf>
    <xf numFmtId="0" fontId="282" fillId="0" borderId="36" xfId="0" applyFont="1" applyBorder="1" applyAlignment="1">
      <alignment vertical="center" wrapText="1"/>
    </xf>
    <xf numFmtId="0" fontId="282" fillId="0" borderId="82" xfId="0" applyFont="1" applyBorder="1" applyAlignment="1">
      <alignment vertical="center" wrapText="1"/>
    </xf>
    <xf numFmtId="0" fontId="195" fillId="0" borderId="60" xfId="0" applyFont="1" applyBorder="1" applyAlignment="1">
      <alignment vertical="center" wrapText="1"/>
    </xf>
    <xf numFmtId="0" fontId="177" fillId="0" borderId="54" xfId="0" applyFont="1" applyBorder="1" applyAlignment="1">
      <alignment vertical="center" wrapText="1"/>
    </xf>
    <xf numFmtId="0" fontId="282" fillId="0" borderId="80" xfId="0" applyFont="1" applyBorder="1" applyAlignment="1">
      <alignment vertical="center" wrapText="1"/>
    </xf>
    <xf numFmtId="0" fontId="282" fillId="0" borderId="66" xfId="0" applyFont="1" applyBorder="1" applyAlignment="1">
      <alignment vertical="center" wrapText="1"/>
    </xf>
    <xf numFmtId="0" fontId="150" fillId="0" borderId="66" xfId="0" applyFont="1" applyBorder="1" applyAlignment="1">
      <alignment horizontal="center" vertical="center" wrapText="1"/>
    </xf>
    <xf numFmtId="0" fontId="164" fillId="9" borderId="2" xfId="0"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62" fillId="0" borderId="9"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95" fillId="0" borderId="36" xfId="0" applyFont="1" applyBorder="1" applyAlignment="1">
      <alignment horizontal="center" vertical="center" wrapText="1"/>
    </xf>
    <xf numFmtId="0" fontId="195" fillId="0" borderId="37" xfId="0" applyFont="1" applyBorder="1" applyAlignment="1">
      <alignment horizontal="center" vertical="center" wrapText="1"/>
    </xf>
    <xf numFmtId="0" fontId="195" fillId="0" borderId="38" xfId="0" applyFont="1" applyBorder="1" applyAlignment="1">
      <alignment horizontal="center" vertical="center" wrapText="1"/>
    </xf>
    <xf numFmtId="0" fontId="161" fillId="0" borderId="36" xfId="0" applyFont="1" applyBorder="1" applyAlignment="1">
      <alignment horizontal="center" vertical="center" wrapText="1"/>
    </xf>
    <xf numFmtId="0" fontId="161" fillId="0" borderId="38" xfId="0" applyFont="1" applyBorder="1" applyAlignment="1">
      <alignment horizontal="center" vertical="center" wrapText="1"/>
    </xf>
    <xf numFmtId="0" fontId="277" fillId="0" borderId="61" xfId="0" applyFont="1" applyBorder="1" applyAlignment="1">
      <alignment horizontal="center" vertical="center"/>
    </xf>
    <xf numFmtId="0" fontId="277" fillId="0" borderId="0" xfId="0" applyFont="1" applyBorder="1" applyAlignment="1">
      <alignment horizontal="left" vertical="center"/>
    </xf>
    <xf numFmtId="0" fontId="278" fillId="0" borderId="35" xfId="0" applyFont="1" applyBorder="1" applyAlignment="1">
      <alignment horizontal="center" vertical="center" wrapText="1"/>
    </xf>
    <xf numFmtId="0" fontId="278" fillId="0" borderId="79" xfId="0" applyFont="1" applyBorder="1" applyAlignment="1">
      <alignment horizontal="center" vertical="center" wrapText="1"/>
    </xf>
    <xf numFmtId="0" fontId="278" fillId="0" borderId="80" xfId="0" applyFont="1" applyBorder="1" applyAlignment="1">
      <alignment horizontal="center" vertical="center" wrapText="1"/>
    </xf>
    <xf numFmtId="0" fontId="278" fillId="0" borderId="154" xfId="0" applyFont="1" applyBorder="1" applyAlignment="1">
      <alignment horizontal="center" vertical="center" wrapText="1"/>
    </xf>
    <xf numFmtId="0" fontId="195" fillId="0" borderId="155" xfId="0" applyFont="1" applyBorder="1" applyAlignment="1">
      <alignment horizontal="center" vertical="center" wrapText="1"/>
    </xf>
    <xf numFmtId="0" fontId="195" fillId="0" borderId="80" xfId="0" applyFont="1" applyBorder="1" applyAlignment="1">
      <alignment horizontal="center" vertical="center" wrapText="1"/>
    </xf>
    <xf numFmtId="0" fontId="195" fillId="0" borderId="35" xfId="0" applyFont="1" applyBorder="1" applyAlignment="1">
      <alignment horizontal="center" vertical="center" wrapText="1"/>
    </xf>
    <xf numFmtId="0" fontId="195" fillId="0" borderId="79" xfId="0" applyFont="1" applyBorder="1" applyAlignment="1">
      <alignment horizontal="center" vertical="center" wrapText="1"/>
    </xf>
    <xf numFmtId="0" fontId="177" fillId="0" borderId="35" xfId="0" applyFont="1" applyBorder="1" applyAlignment="1">
      <alignment horizontal="center" vertical="center" wrapText="1"/>
    </xf>
    <xf numFmtId="0" fontId="177" fillId="0" borderId="80" xfId="0" applyFont="1" applyBorder="1" applyAlignment="1">
      <alignment horizontal="center" vertical="center" wrapText="1"/>
    </xf>
    <xf numFmtId="0" fontId="146" fillId="20" borderId="10" xfId="0" applyFont="1" applyFill="1" applyBorder="1" applyAlignment="1">
      <alignment horizontal="center" vertical="center" wrapText="1"/>
    </xf>
    <xf numFmtId="0" fontId="146" fillId="20" borderId="21" xfId="0" applyFont="1" applyFill="1" applyBorder="1" applyAlignment="1">
      <alignment horizontal="center" vertical="center" wrapText="1"/>
    </xf>
    <xf numFmtId="0" fontId="0" fillId="20" borderId="10" xfId="0" applyFill="1" applyBorder="1" applyAlignment="1">
      <alignment horizontal="center" vertical="center" wrapText="1"/>
    </xf>
    <xf numFmtId="0" fontId="0" fillId="20" borderId="21" xfId="0" applyFill="1" applyBorder="1" applyAlignment="1">
      <alignment horizontal="center" vertical="center" wrapText="1"/>
    </xf>
    <xf numFmtId="0" fontId="146" fillId="22" borderId="10" xfId="0" applyFont="1" applyFill="1" applyBorder="1" applyAlignment="1">
      <alignment horizontal="center" vertical="center" wrapText="1"/>
    </xf>
    <xf numFmtId="0" fontId="146" fillId="22" borderId="21" xfId="0" applyFont="1" applyFill="1" applyBorder="1" applyAlignment="1">
      <alignment horizontal="center" vertical="center" wrapText="1"/>
    </xf>
    <xf numFmtId="0" fontId="0" fillId="22" borderId="10" xfId="0" applyFill="1" applyBorder="1" applyAlignment="1">
      <alignment horizontal="center" vertical="center" wrapText="1"/>
    </xf>
    <xf numFmtId="0" fontId="0" fillId="22" borderId="21" xfId="0" applyFill="1" applyBorder="1" applyAlignment="1">
      <alignment horizontal="center" vertical="center" wrapText="1"/>
    </xf>
    <xf numFmtId="0" fontId="0" fillId="21" borderId="10" xfId="0" applyFill="1" applyBorder="1" applyAlignment="1">
      <alignment horizontal="center" vertical="center" wrapText="1"/>
    </xf>
    <xf numFmtId="0" fontId="0" fillId="21" borderId="21" xfId="0" applyFill="1" applyBorder="1" applyAlignment="1">
      <alignment horizontal="center" vertical="center" wrapText="1"/>
    </xf>
    <xf numFmtId="0" fontId="146" fillId="10" borderId="10" xfId="0" applyFont="1" applyFill="1" applyBorder="1" applyAlignment="1">
      <alignment horizontal="center" vertical="center" wrapText="1"/>
    </xf>
    <xf numFmtId="0" fontId="146" fillId="10" borderId="21" xfId="0" applyFont="1" applyFill="1" applyBorder="1" applyAlignment="1">
      <alignment horizontal="center" vertical="center" wrapText="1"/>
    </xf>
    <xf numFmtId="0" fontId="0" fillId="10" borderId="10" xfId="0" applyFill="1" applyBorder="1" applyAlignment="1">
      <alignment horizontal="center" vertical="center" wrapText="1"/>
    </xf>
    <xf numFmtId="0" fontId="0" fillId="10" borderId="21" xfId="0" applyFill="1" applyBorder="1" applyAlignment="1">
      <alignment horizontal="center" vertical="center" wrapText="1"/>
    </xf>
    <xf numFmtId="0" fontId="0" fillId="10" borderId="10" xfId="0" applyFill="1" applyBorder="1" applyAlignment="1">
      <alignment horizontal="center" vertical="center"/>
    </xf>
    <xf numFmtId="0" fontId="0" fillId="10" borderId="21" xfId="0" applyFill="1" applyBorder="1" applyAlignment="1">
      <alignment horizontal="center" vertical="center"/>
    </xf>
    <xf numFmtId="0" fontId="0" fillId="23" borderId="10" xfId="0" applyFill="1" applyBorder="1" applyAlignment="1">
      <alignment horizontal="center" vertical="center"/>
    </xf>
    <xf numFmtId="0" fontId="0" fillId="23" borderId="21" xfId="0" applyFill="1" applyBorder="1" applyAlignment="1">
      <alignment horizontal="center" vertical="center"/>
    </xf>
    <xf numFmtId="0" fontId="0" fillId="22" borderId="10" xfId="0" applyFill="1" applyBorder="1" applyAlignment="1">
      <alignment horizontal="center" vertical="center"/>
    </xf>
    <xf numFmtId="0" fontId="0" fillId="22" borderId="21" xfId="0" applyFill="1" applyBorder="1" applyAlignment="1">
      <alignment horizontal="center" vertical="center"/>
    </xf>
    <xf numFmtId="0" fontId="0" fillId="21" borderId="10" xfId="0" applyFill="1" applyBorder="1" applyAlignment="1">
      <alignment horizontal="center" vertical="center"/>
    </xf>
    <xf numFmtId="0" fontId="0" fillId="21" borderId="21" xfId="0" applyFill="1" applyBorder="1" applyAlignment="1">
      <alignment horizontal="center" vertical="center"/>
    </xf>
    <xf numFmtId="0" fontId="0" fillId="20" borderId="10" xfId="0" applyFill="1" applyBorder="1" applyAlignment="1">
      <alignment horizontal="center" vertical="center"/>
    </xf>
    <xf numFmtId="0" fontId="0" fillId="20" borderId="21" xfId="0" applyFill="1" applyBorder="1" applyAlignment="1">
      <alignment horizontal="center" vertical="center"/>
    </xf>
    <xf numFmtId="0" fontId="146" fillId="23" borderId="10" xfId="0" applyFont="1" applyFill="1" applyBorder="1" applyAlignment="1">
      <alignment horizontal="center" vertical="center" wrapText="1"/>
    </xf>
    <xf numFmtId="0" fontId="146" fillId="23" borderId="21" xfId="0" applyFont="1" applyFill="1" applyBorder="1" applyAlignment="1">
      <alignment horizontal="center" vertical="center" wrapText="1"/>
    </xf>
    <xf numFmtId="0" fontId="0" fillId="23" borderId="10" xfId="0" applyFill="1" applyBorder="1" applyAlignment="1">
      <alignment horizontal="center" vertical="center" wrapText="1"/>
    </xf>
    <xf numFmtId="0" fontId="0" fillId="23" borderId="21" xfId="0" applyFill="1" applyBorder="1" applyAlignment="1">
      <alignment horizontal="center" vertical="center" wrapText="1"/>
    </xf>
    <xf numFmtId="0" fontId="146" fillId="21" borderId="10" xfId="0" applyFont="1" applyFill="1" applyBorder="1" applyAlignment="1">
      <alignment horizontal="center" vertical="center" wrapText="1"/>
    </xf>
    <xf numFmtId="0" fontId="146" fillId="21" borderId="21" xfId="0" applyFont="1" applyFill="1" applyBorder="1" applyAlignment="1">
      <alignment horizontal="center" vertical="center" wrapText="1"/>
    </xf>
    <xf numFmtId="0" fontId="146" fillId="0" borderId="10" xfId="0" applyFont="1" applyBorder="1" applyAlignment="1">
      <alignment horizontal="center" vertical="center"/>
    </xf>
    <xf numFmtId="0" fontId="146" fillId="0" borderId="21" xfId="0" applyFont="1" applyBorder="1" applyAlignment="1">
      <alignment horizontal="center" vertical="center"/>
    </xf>
    <xf numFmtId="0" fontId="147" fillId="0" borderId="19" xfId="0" applyFont="1" applyBorder="1" applyAlignment="1">
      <alignment horizontal="center" vertical="center"/>
    </xf>
    <xf numFmtId="0" fontId="147" fillId="0" borderId="20" xfId="0" applyFont="1" applyBorder="1" applyAlignment="1">
      <alignment horizontal="center" vertical="center"/>
    </xf>
    <xf numFmtId="0" fontId="146" fillId="6" borderId="5" xfId="0" applyFont="1" applyFill="1" applyBorder="1" applyAlignment="1">
      <alignment horizontal="center" vertical="center"/>
    </xf>
    <xf numFmtId="0" fontId="146" fillId="6" borderId="9" xfId="0" applyFont="1" applyFill="1" applyBorder="1" applyAlignment="1">
      <alignment horizontal="center" vertical="center"/>
    </xf>
    <xf numFmtId="0" fontId="0" fillId="6" borderId="9" xfId="0" applyFill="1" applyBorder="1" applyAlignment="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619126</xdr:colOff>
      <xdr:row>0</xdr:row>
      <xdr:rowOff>0</xdr:rowOff>
    </xdr:from>
    <xdr:to>
      <xdr:col>8</xdr:col>
      <xdr:colOff>398504</xdr:colOff>
      <xdr:row>18</xdr:row>
      <xdr:rowOff>47624</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19126" y="0"/>
          <a:ext cx="5265778" cy="3133724"/>
        </a:xfrm>
        <a:prstGeom prst="rect">
          <a:avLst/>
        </a:prstGeom>
        <a:noFill/>
        <a:ln w="1">
          <a:noFill/>
          <a:miter lim="800000"/>
          <a:headEnd/>
          <a:tailEnd type="none" w="med" len="med"/>
        </a:ln>
        <a:effectLst/>
      </xdr:spPr>
    </xdr:pic>
    <xdr:clientData/>
  </xdr:twoCellAnchor>
  <xdr:twoCellAnchor editAs="oneCell">
    <xdr:from>
      <xdr:col>8</xdr:col>
      <xdr:colOff>0</xdr:colOff>
      <xdr:row>0</xdr:row>
      <xdr:rowOff>0</xdr:rowOff>
    </xdr:from>
    <xdr:to>
      <xdr:col>21</xdr:col>
      <xdr:colOff>238125</xdr:colOff>
      <xdr:row>16</xdr:row>
      <xdr:rowOff>95250</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486400" y="0"/>
          <a:ext cx="9153525" cy="2838450"/>
        </a:xfrm>
        <a:prstGeom prst="rect">
          <a:avLst/>
        </a:prstGeom>
        <a:noFill/>
        <a:ln w="1">
          <a:noFill/>
          <a:miter lim="800000"/>
          <a:headEnd/>
          <a:tailEnd type="none" w="med" len="med"/>
        </a:ln>
        <a:effectLst/>
      </xdr:spPr>
    </xdr:pic>
    <xdr:clientData/>
  </xdr:twoCellAnchor>
  <xdr:twoCellAnchor editAs="oneCell">
    <xdr:from>
      <xdr:col>0</xdr:col>
      <xdr:colOff>0</xdr:colOff>
      <xdr:row>67</xdr:row>
      <xdr:rowOff>20404</xdr:rowOff>
    </xdr:from>
    <xdr:to>
      <xdr:col>8</xdr:col>
      <xdr:colOff>57149</xdr:colOff>
      <xdr:row>96</xdr:row>
      <xdr:rowOff>9526</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4584129"/>
          <a:ext cx="5543549" cy="4961172"/>
        </a:xfrm>
        <a:prstGeom prst="rect">
          <a:avLst/>
        </a:prstGeom>
        <a:noFill/>
        <a:ln w="1">
          <a:noFill/>
          <a:miter lim="800000"/>
          <a:headEnd/>
          <a:tailEnd type="none" w="med" len="med"/>
        </a:ln>
        <a:effectLst/>
      </xdr:spPr>
    </xdr:pic>
    <xdr:clientData/>
  </xdr:twoCellAnchor>
  <xdr:twoCellAnchor editAs="oneCell">
    <xdr:from>
      <xdr:col>7</xdr:col>
      <xdr:colOff>504825</xdr:colOff>
      <xdr:row>67</xdr:row>
      <xdr:rowOff>56320</xdr:rowOff>
    </xdr:from>
    <xdr:to>
      <xdr:col>15</xdr:col>
      <xdr:colOff>114299</xdr:colOff>
      <xdr:row>94</xdr:row>
      <xdr:rowOff>148396</xdr:rowOff>
    </xdr:to>
    <xdr:pic>
      <xdr:nvPicPr>
        <xdr:cNvPr id="5427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5305425" y="14620045"/>
          <a:ext cx="5095874" cy="4721226"/>
        </a:xfrm>
        <a:prstGeom prst="rect">
          <a:avLst/>
        </a:prstGeom>
        <a:noFill/>
        <a:ln w="1">
          <a:noFill/>
          <a:miter lim="800000"/>
          <a:headEnd/>
          <a:tailEnd type="none" w="med" len="med"/>
        </a:ln>
        <a:effectLst/>
      </xdr:spPr>
    </xdr:pic>
    <xdr:clientData/>
  </xdr:twoCellAnchor>
  <xdr:twoCellAnchor editAs="oneCell">
    <xdr:from>
      <xdr:col>0</xdr:col>
      <xdr:colOff>0</xdr:colOff>
      <xdr:row>96</xdr:row>
      <xdr:rowOff>114299</xdr:rowOff>
    </xdr:from>
    <xdr:to>
      <xdr:col>8</xdr:col>
      <xdr:colOff>210363</xdr:colOff>
      <xdr:row>127</xdr:row>
      <xdr:rowOff>28574</xdr:rowOff>
    </xdr:to>
    <xdr:pic>
      <xdr:nvPicPr>
        <xdr:cNvPr id="5427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19650074"/>
          <a:ext cx="5696763" cy="5229225"/>
        </a:xfrm>
        <a:prstGeom prst="rect">
          <a:avLst/>
        </a:prstGeom>
        <a:noFill/>
        <a:ln w="1">
          <a:noFill/>
          <a:miter lim="800000"/>
          <a:headEnd/>
          <a:tailEnd type="none" w="med" len="med"/>
        </a:ln>
        <a:effectLst/>
      </xdr:spPr>
    </xdr:pic>
    <xdr:clientData/>
  </xdr:twoCellAnchor>
  <xdr:twoCellAnchor editAs="oneCell">
    <xdr:from>
      <xdr:col>8</xdr:col>
      <xdr:colOff>247650</xdr:colOff>
      <xdr:row>95</xdr:row>
      <xdr:rowOff>4780</xdr:rowOff>
    </xdr:from>
    <xdr:to>
      <xdr:col>16</xdr:col>
      <xdr:colOff>561975</xdr:colOff>
      <xdr:row>125</xdr:row>
      <xdr:rowOff>133349</xdr:rowOff>
    </xdr:to>
    <xdr:pic>
      <xdr:nvPicPr>
        <xdr:cNvPr id="5427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5734050" y="19369105"/>
          <a:ext cx="5800725" cy="5272069"/>
        </a:xfrm>
        <a:prstGeom prst="rect">
          <a:avLst/>
        </a:prstGeom>
        <a:noFill/>
        <a:ln w="1">
          <a:noFill/>
          <a:miter lim="800000"/>
          <a:headEnd/>
          <a:tailEnd type="none" w="med" len="med"/>
        </a:ln>
        <a:effectLst/>
      </xdr:spPr>
    </xdr:pic>
    <xdr:clientData/>
  </xdr:twoCellAnchor>
  <xdr:twoCellAnchor editAs="oneCell">
    <xdr:from>
      <xdr:col>10</xdr:col>
      <xdr:colOff>219075</xdr:colOff>
      <xdr:row>18</xdr:row>
      <xdr:rowOff>95250</xdr:rowOff>
    </xdr:from>
    <xdr:to>
      <xdr:col>14</xdr:col>
      <xdr:colOff>104775</xdr:colOff>
      <xdr:row>49</xdr:row>
      <xdr:rowOff>76200</xdr:rowOff>
    </xdr:to>
    <xdr:pic>
      <xdr:nvPicPr>
        <xdr:cNvPr id="54283" name="Picture 11"/>
        <xdr:cNvPicPr>
          <a:picLocks noChangeAspect="1" noChangeArrowheads="1"/>
        </xdr:cNvPicPr>
      </xdr:nvPicPr>
      <xdr:blipFill>
        <a:blip xmlns:r="http://schemas.openxmlformats.org/officeDocument/2006/relationships" r:embed="rId7" cstate="print"/>
        <a:srcRect/>
        <a:stretch>
          <a:fillRect/>
        </a:stretch>
      </xdr:blipFill>
      <xdr:spPr bwMode="auto">
        <a:xfrm>
          <a:off x="7077075" y="3181350"/>
          <a:ext cx="2628900" cy="5314950"/>
        </a:xfrm>
        <a:prstGeom prst="rect">
          <a:avLst/>
        </a:prstGeom>
        <a:noFill/>
        <a:ln w="1">
          <a:noFill/>
          <a:miter lim="800000"/>
          <a:headEnd/>
          <a:tailEnd type="none" w="med" len="med"/>
        </a:ln>
        <a:effectLst/>
      </xdr:spPr>
    </xdr:pic>
    <xdr:clientData/>
  </xdr:twoCellAnchor>
  <xdr:twoCellAnchor editAs="oneCell">
    <xdr:from>
      <xdr:col>0</xdr:col>
      <xdr:colOff>0</xdr:colOff>
      <xdr:row>26</xdr:row>
      <xdr:rowOff>104775</xdr:rowOff>
    </xdr:from>
    <xdr:to>
      <xdr:col>8</xdr:col>
      <xdr:colOff>638175</xdr:colOff>
      <xdr:row>36</xdr:row>
      <xdr:rowOff>9525</xdr:rowOff>
    </xdr:to>
    <xdr:pic>
      <xdr:nvPicPr>
        <xdr:cNvPr id="54284" name="Picture 12"/>
        <xdr:cNvPicPr>
          <a:picLocks noChangeAspect="1" noChangeArrowheads="1"/>
        </xdr:cNvPicPr>
      </xdr:nvPicPr>
      <xdr:blipFill>
        <a:blip xmlns:r="http://schemas.openxmlformats.org/officeDocument/2006/relationships" r:embed="rId8" cstate="print"/>
        <a:srcRect/>
        <a:stretch>
          <a:fillRect/>
        </a:stretch>
      </xdr:blipFill>
      <xdr:spPr bwMode="auto">
        <a:xfrm>
          <a:off x="0" y="4591050"/>
          <a:ext cx="6124575" cy="1609725"/>
        </a:xfrm>
        <a:prstGeom prst="rect">
          <a:avLst/>
        </a:prstGeom>
        <a:noFill/>
        <a:ln w="1">
          <a:noFill/>
          <a:miter lim="800000"/>
          <a:headEnd/>
          <a:tailEnd type="none" w="med" len="med"/>
        </a:ln>
        <a:effectLst/>
      </xdr:spPr>
    </xdr:pic>
    <xdr:clientData/>
  </xdr:twoCellAnchor>
  <xdr:twoCellAnchor editAs="oneCell">
    <xdr:from>
      <xdr:col>0</xdr:col>
      <xdr:colOff>114301</xdr:colOff>
      <xdr:row>36</xdr:row>
      <xdr:rowOff>28575</xdr:rowOff>
    </xdr:from>
    <xdr:to>
      <xdr:col>8</xdr:col>
      <xdr:colOff>571501</xdr:colOff>
      <xdr:row>45</xdr:row>
      <xdr:rowOff>76200</xdr:rowOff>
    </xdr:to>
    <xdr:pic>
      <xdr:nvPicPr>
        <xdr:cNvPr id="54285" name="Picture 13"/>
        <xdr:cNvPicPr>
          <a:picLocks noChangeAspect="1" noChangeArrowheads="1"/>
        </xdr:cNvPicPr>
      </xdr:nvPicPr>
      <xdr:blipFill>
        <a:blip xmlns:r="http://schemas.openxmlformats.org/officeDocument/2006/relationships" r:embed="rId9" cstate="print"/>
        <a:srcRect/>
        <a:stretch>
          <a:fillRect/>
        </a:stretch>
      </xdr:blipFill>
      <xdr:spPr bwMode="auto">
        <a:xfrm>
          <a:off x="114301" y="6219825"/>
          <a:ext cx="5943600" cy="1590675"/>
        </a:xfrm>
        <a:prstGeom prst="rect">
          <a:avLst/>
        </a:prstGeom>
        <a:noFill/>
        <a:ln w="1">
          <a:noFill/>
          <a:miter lim="800000"/>
          <a:headEnd/>
          <a:tailEnd type="none" w="med" len="med"/>
        </a:ln>
        <a:effectLst/>
      </xdr:spPr>
    </xdr:pic>
    <xdr:clientData/>
  </xdr:twoCellAnchor>
  <xdr:twoCellAnchor editAs="oneCell">
    <xdr:from>
      <xdr:col>0</xdr:col>
      <xdr:colOff>0</xdr:colOff>
      <xdr:row>54</xdr:row>
      <xdr:rowOff>133350</xdr:rowOff>
    </xdr:from>
    <xdr:to>
      <xdr:col>9</xdr:col>
      <xdr:colOff>85725</xdr:colOff>
      <xdr:row>65</xdr:row>
      <xdr:rowOff>9525</xdr:rowOff>
    </xdr:to>
    <xdr:pic>
      <xdr:nvPicPr>
        <xdr:cNvPr id="54286" name="Picture 14"/>
        <xdr:cNvPicPr>
          <a:picLocks noChangeAspect="1" noChangeArrowheads="1"/>
        </xdr:cNvPicPr>
      </xdr:nvPicPr>
      <xdr:blipFill>
        <a:blip xmlns:r="http://schemas.openxmlformats.org/officeDocument/2006/relationships" r:embed="rId10" cstate="print"/>
        <a:srcRect/>
        <a:stretch>
          <a:fillRect/>
        </a:stretch>
      </xdr:blipFill>
      <xdr:spPr bwMode="auto">
        <a:xfrm>
          <a:off x="0" y="9410700"/>
          <a:ext cx="6257925" cy="1752600"/>
        </a:xfrm>
        <a:prstGeom prst="rect">
          <a:avLst/>
        </a:prstGeom>
        <a:noFill/>
        <a:ln w="1">
          <a:noFill/>
          <a:miter lim="800000"/>
          <a:headEnd/>
          <a:tailEnd type="none" w="med" len="med"/>
        </a:ln>
        <a:effectLst/>
      </xdr:spPr>
    </xdr:pic>
    <xdr:clientData/>
  </xdr:twoCellAnchor>
  <xdr:twoCellAnchor editAs="oneCell">
    <xdr:from>
      <xdr:col>0</xdr:col>
      <xdr:colOff>0</xdr:colOff>
      <xdr:row>18</xdr:row>
      <xdr:rowOff>114300</xdr:rowOff>
    </xdr:from>
    <xdr:to>
      <xdr:col>8</xdr:col>
      <xdr:colOff>361950</xdr:colOff>
      <xdr:row>27</xdr:row>
      <xdr:rowOff>76200</xdr:rowOff>
    </xdr:to>
    <xdr:pic>
      <xdr:nvPicPr>
        <xdr:cNvPr id="54287" name="Picture 15"/>
        <xdr:cNvPicPr>
          <a:picLocks noChangeAspect="1" noChangeArrowheads="1"/>
        </xdr:cNvPicPr>
      </xdr:nvPicPr>
      <xdr:blipFill>
        <a:blip xmlns:r="http://schemas.openxmlformats.org/officeDocument/2006/relationships" r:embed="rId11" cstate="print"/>
        <a:srcRect/>
        <a:stretch>
          <a:fillRect/>
        </a:stretch>
      </xdr:blipFill>
      <xdr:spPr bwMode="auto">
        <a:xfrm>
          <a:off x="0" y="3200400"/>
          <a:ext cx="5848350" cy="1533525"/>
        </a:xfrm>
        <a:prstGeom prst="rect">
          <a:avLst/>
        </a:prstGeom>
        <a:noFill/>
        <a:ln w="1">
          <a:noFill/>
          <a:miter lim="800000"/>
          <a:headEnd/>
          <a:tailEnd type="none" w="med" len="med"/>
        </a:ln>
        <a:effectLst/>
      </xdr:spPr>
    </xdr:pic>
    <xdr:clientData/>
  </xdr:twoCellAnchor>
  <xdr:twoCellAnchor editAs="oneCell">
    <xdr:from>
      <xdr:col>0</xdr:col>
      <xdr:colOff>0</xdr:colOff>
      <xdr:row>44</xdr:row>
      <xdr:rowOff>123825</xdr:rowOff>
    </xdr:from>
    <xdr:to>
      <xdr:col>8</xdr:col>
      <xdr:colOff>657225</xdr:colOff>
      <xdr:row>54</xdr:row>
      <xdr:rowOff>66675</xdr:rowOff>
    </xdr:to>
    <xdr:pic>
      <xdr:nvPicPr>
        <xdr:cNvPr id="54289" name="Picture 17"/>
        <xdr:cNvPicPr>
          <a:picLocks noChangeAspect="1" noChangeArrowheads="1"/>
        </xdr:cNvPicPr>
      </xdr:nvPicPr>
      <xdr:blipFill>
        <a:blip xmlns:r="http://schemas.openxmlformats.org/officeDocument/2006/relationships" r:embed="rId12" cstate="print"/>
        <a:srcRect/>
        <a:stretch>
          <a:fillRect/>
        </a:stretch>
      </xdr:blipFill>
      <xdr:spPr bwMode="auto">
        <a:xfrm>
          <a:off x="0" y="7686675"/>
          <a:ext cx="6143625" cy="16573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581025</xdr:colOff>
      <xdr:row>8</xdr:row>
      <xdr:rowOff>28575</xdr:rowOff>
    </xdr:to>
    <xdr:pic>
      <xdr:nvPicPr>
        <xdr:cNvPr id="604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810625" cy="1400175"/>
        </a:xfrm>
        <a:prstGeom prst="rect">
          <a:avLst/>
        </a:prstGeom>
        <a:noFill/>
        <a:ln w="1">
          <a:noFill/>
          <a:miter lim="800000"/>
          <a:headEnd/>
          <a:tailEnd type="none" w="med" len="med"/>
        </a:ln>
        <a:effectLst/>
      </xdr:spPr>
    </xdr:pic>
    <xdr:clientData/>
  </xdr:twoCellAnchor>
  <xdr:twoCellAnchor editAs="oneCell">
    <xdr:from>
      <xdr:col>0</xdr:col>
      <xdr:colOff>152400</xdr:colOff>
      <xdr:row>26</xdr:row>
      <xdr:rowOff>104775</xdr:rowOff>
    </xdr:from>
    <xdr:to>
      <xdr:col>12</xdr:col>
      <xdr:colOff>619125</xdr:colOff>
      <xdr:row>34</xdr:row>
      <xdr:rowOff>152400</xdr:rowOff>
    </xdr:to>
    <xdr:pic>
      <xdr:nvPicPr>
        <xdr:cNvPr id="60419"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52400" y="4562475"/>
          <a:ext cx="8696325" cy="1419225"/>
        </a:xfrm>
        <a:prstGeom prst="rect">
          <a:avLst/>
        </a:prstGeom>
        <a:noFill/>
        <a:ln w="1">
          <a:noFill/>
          <a:miter lim="800000"/>
          <a:headEnd/>
          <a:tailEnd type="none" w="med" len="med"/>
        </a:ln>
        <a:effectLst/>
      </xdr:spPr>
    </xdr:pic>
    <xdr:clientData/>
  </xdr:twoCellAnchor>
  <xdr:twoCellAnchor editAs="oneCell">
    <xdr:from>
      <xdr:col>0</xdr:col>
      <xdr:colOff>0</xdr:colOff>
      <xdr:row>8</xdr:row>
      <xdr:rowOff>142875</xdr:rowOff>
    </xdr:from>
    <xdr:to>
      <xdr:col>12</xdr:col>
      <xdr:colOff>542925</xdr:colOff>
      <xdr:row>17</xdr:row>
      <xdr:rowOff>38100</xdr:rowOff>
    </xdr:to>
    <xdr:pic>
      <xdr:nvPicPr>
        <xdr:cNvPr id="60420"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1514475"/>
          <a:ext cx="8772525" cy="1438275"/>
        </a:xfrm>
        <a:prstGeom prst="rect">
          <a:avLst/>
        </a:prstGeom>
        <a:noFill/>
        <a:ln w="1">
          <a:noFill/>
          <a:miter lim="800000"/>
          <a:headEnd/>
          <a:tailEnd type="none" w="med" len="med"/>
        </a:ln>
        <a:effectLst/>
      </xdr:spPr>
    </xdr:pic>
    <xdr:clientData/>
  </xdr:twoCellAnchor>
  <xdr:twoCellAnchor editAs="oneCell">
    <xdr:from>
      <xdr:col>0</xdr:col>
      <xdr:colOff>19050</xdr:colOff>
      <xdr:row>0</xdr:row>
      <xdr:rowOff>0</xdr:rowOff>
    </xdr:from>
    <xdr:to>
      <xdr:col>12</xdr:col>
      <xdr:colOff>600075</xdr:colOff>
      <xdr:row>8</xdr:row>
      <xdr:rowOff>28575</xdr:rowOff>
    </xdr:to>
    <xdr:pic>
      <xdr:nvPicPr>
        <xdr:cNvPr id="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8810625" cy="1400175"/>
        </a:xfrm>
        <a:prstGeom prst="rect">
          <a:avLst/>
        </a:prstGeom>
        <a:noFill/>
        <a:ln w="1">
          <a:noFill/>
          <a:miter lim="800000"/>
          <a:headEnd/>
          <a:tailEnd type="none" w="med" len="med"/>
        </a:ln>
        <a:effectLst/>
      </xdr:spPr>
    </xdr:pic>
    <xdr:clientData/>
  </xdr:twoCellAnchor>
  <xdr:twoCellAnchor editAs="oneCell">
    <xdr:from>
      <xdr:col>0</xdr:col>
      <xdr:colOff>0</xdr:colOff>
      <xdr:row>17</xdr:row>
      <xdr:rowOff>57150</xdr:rowOff>
    </xdr:from>
    <xdr:to>
      <xdr:col>12</xdr:col>
      <xdr:colOff>600075</xdr:colOff>
      <xdr:row>25</xdr:row>
      <xdr:rowOff>76200</xdr:rowOff>
    </xdr:to>
    <xdr:pic>
      <xdr:nvPicPr>
        <xdr:cNvPr id="7"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0" y="2971800"/>
          <a:ext cx="8829675" cy="13906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575;&#38451;&#26223;&#22253;&#27979;&#31639;&#65288;&#20303;&#23429;70&#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575;&#38451;&#26223;&#22253;&#27979;&#31639;&#65288;&#20303;&#23429;70&#65289;&#20027;&#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6575;&#38451;&#26223;&#22253;&#27979;&#31639;&#65288;&#20303;&#23429;70&#65289;&#20027;&#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70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73">
          <cell r="C73" t="str">
            <v>较好</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结果表一"/>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70住宅"/>
      <sheetName val="基准地价-商业"/>
      <sheetName val="不动产比较法-办公"/>
      <sheetName val="不动产比较法-工业"/>
      <sheetName val="不动产比较法-车位"/>
      <sheetName val="不动产比较法-仓储"/>
      <sheetName val="典型户型修正"/>
      <sheetName val="存贷款利率"/>
      <sheetName val="估价对象房地状况"/>
      <sheetName val="住宅案例"/>
      <sheetName val="商业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5">
          <cell r="I5">
            <v>2364.58</v>
          </cell>
        </row>
        <row r="12">
          <cell r="D12">
            <v>0.4</v>
          </cell>
        </row>
      </sheetData>
      <sheetData sheetId="17" refreshError="1">
        <row r="36">
          <cell r="C36">
            <v>28694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29">
          <cell r="C29">
            <v>24574</v>
          </cell>
        </row>
        <row r="38">
          <cell r="C38">
            <v>4420</v>
          </cell>
        </row>
      </sheetData>
      <sheetData sheetId="35" refreshError="1">
        <row r="29">
          <cell r="C29">
            <v>14628</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结果表一"/>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70住宅"/>
      <sheetName val="基准地价-商业"/>
      <sheetName val="不动产比较法-办公"/>
      <sheetName val="不动产比较法-工业"/>
      <sheetName val="不动产比较法-车位"/>
      <sheetName val="不动产比较法-仓储"/>
      <sheetName val="典型户型修正"/>
      <sheetName val="存贷款利率"/>
      <sheetName val="估价对象房地状况"/>
      <sheetName val="住宅案例"/>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1">
          <cell r="C21">
            <v>17560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2656</v>
      </c>
      <c r="B1" s="2868" t="s">
        <v>2753</v>
      </c>
    </row>
    <row r="2" spans="1:55" s="2872" customFormat="1" ht="15" thickTop="1">
      <c r="A2" s="2870" t="s">
        <v>2660</v>
      </c>
      <c r="B2" s="2871" t="str">
        <f>'预评函-封皮'!B37</f>
        <v>北京市出让国有建设用地使用权预评估</v>
      </c>
      <c r="AX2" s="2873"/>
      <c r="AZ2" s="2873"/>
      <c r="BA2" s="2874"/>
      <c r="BC2" s="2874"/>
    </row>
    <row r="3" spans="1:55" s="2875" customFormat="1">
      <c r="A3" s="2854" t="s">
        <v>2661</v>
      </c>
      <c r="B3" s="2857">
        <f>'预评函-封皮'!B40</f>
        <v>0</v>
      </c>
    </row>
    <row r="4" spans="1:55" s="2856" customFormat="1">
      <c r="A4" s="2854" t="s">
        <v>2662</v>
      </c>
      <c r="B4" s="2855" t="str">
        <f>'预评函-封皮'!B46</f>
        <v>陈颖、杨红英</v>
      </c>
      <c r="N4" s="2856" t="str">
        <f>'预评函-1'!A28</f>
        <v>本次估价的“抵押净值”是指估价对象“抵押价格”减去估价对象在估价期日以“土地销售收入”为基数计算的预计抵押权实现进行处置时需缴纳的各项费用、税金等相关费用后的价格。</v>
      </c>
    </row>
    <row r="5" spans="1:55" s="2869" customFormat="1" ht="15" thickBot="1">
      <c r="A5" s="2876" t="s">
        <v>2663</v>
      </c>
      <c r="B5" s="2877" t="str">
        <f>'预评函-封皮'!B49</f>
        <v>康正预评字号</v>
      </c>
    </row>
    <row r="6" spans="1:55" s="2878" customFormat="1" ht="15" thickTop="1">
      <c r="A6" s="2870" t="s">
        <v>2705</v>
      </c>
      <c r="B6" s="2871" t="str">
        <f>'预评函-1'!A4</f>
        <v>受贵公司委托，我公司对北京市出让国有建设用地使用权进行了预评估。</v>
      </c>
      <c r="AM6" s="2879"/>
    </row>
    <row r="7" spans="1:55" s="2853" customFormat="1">
      <c r="A7" s="2854" t="s">
        <v>2657</v>
      </c>
      <c r="B7" s="2855" t="str">
        <f>'预评函-1'!A6</f>
        <v>估价对象为使用的、位于北京市出让国有建设用地使用权。根据《国有土地使用证》[]，估价对象（分摊）出让国有建设用地使用权面积为68743.19平方米。根据《建设工程规划许可证》[]、《出让合同》[]，估价对象规划建筑面积为31245.48平方米。</v>
      </c>
    </row>
    <row r="8" spans="1:55" s="2853" customFormat="1">
      <c r="A8" s="2854" t="s">
        <v>2658</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2708</v>
      </c>
      <c r="B9" s="2855" t="str">
        <f>'预评函-1'!A9</f>
        <v>本次评估为委托估价方了解标的物之市场价格提供参考依据而评估出让国有建设用地使用权市场价格。</v>
      </c>
    </row>
    <row r="10" spans="1:55" s="2853" customFormat="1">
      <c r="A10" s="2854" t="s">
        <v>2659</v>
      </c>
      <c r="B10" s="2855" t="str">
        <f>'预评函-1'!A11</f>
        <v>2019年3月4日</v>
      </c>
    </row>
    <row r="11" spans="1:55" s="2853" customFormat="1">
      <c r="A11" s="2854" t="s">
        <v>2665</v>
      </c>
      <c r="B11" s="2855" t="str">
        <f>'预评函-1'!A14</f>
        <v>根据《国有土地使用证》[]，本次评估估价对象证载（地类）用途为。</v>
      </c>
    </row>
    <row r="12" spans="1:55" s="2853" customFormat="1">
      <c r="A12" s="2854" t="s">
        <v>2666</v>
      </c>
      <c r="B12" s="2855" t="str">
        <f>'预评函-1'!A15</f>
        <v>本次评估设定用途即为证载用途。</v>
      </c>
    </row>
    <row r="13" spans="1:55" s="2853" customFormat="1">
      <c r="A13" s="2854" t="s">
        <v>2667</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2668</v>
      </c>
      <c r="B14" s="2855" t="str">
        <f>'预评函-1'!A18</f>
        <v>。本次评估设定土地开发程度为红线外市政基础设施达“七通”、宗地红线内场地平整。</v>
      </c>
    </row>
    <row r="15" spans="1:55" s="2853" customFormat="1">
      <c r="A15" s="2854" t="s">
        <v>2664</v>
      </c>
      <c r="B15" s="2855" t="str">
        <f>'预评函-1'!A20</f>
        <v>根据《国有土地使用证》[]，估价对象（分摊）出让国有建设用地使用权面积为68743.19平方米。根据《建设工程规划许可证》[]、《出让合同》[]，估价对象规划建筑面积为31245.48平方米。</v>
      </c>
    </row>
    <row r="16" spans="1:55" s="2853" customFormat="1">
      <c r="A16" s="2854" t="s">
        <v>2669</v>
      </c>
      <c r="B16" s="2855" t="str">
        <f>'预评函-1'!A22</f>
        <v>本次估价对象为出让国有建设用地使用权，《国有土地使用证》[]证载土地终止日期为住宅2074年3月6日、商业2044年3月6日地下车库2054年3月6日、地下仓储2054年3月6日。截至估价期日，出让国有建设用地使用权剩余土地使用年限为。</v>
      </c>
    </row>
    <row r="17" spans="1:48" s="2853" customFormat="1">
      <c r="A17" s="2854" t="s">
        <v>2670</v>
      </c>
      <c r="B17" s="2855" t="str">
        <f>'预评函-1'!A23</f>
        <v>本次评估设定估价对象剩余土地使用年限为。</v>
      </c>
    </row>
    <row r="18" spans="1:48" s="2853" customFormat="1">
      <c r="A18" s="2854" t="s">
        <v>2671</v>
      </c>
      <c r="B18" s="2855" t="str">
        <f>'预评函-1'!A25</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19" spans="1:48" s="2853" customFormat="1">
      <c r="A19" s="2854" t="s">
        <v>2672</v>
      </c>
      <c r="B19" s="285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3" customFormat="1">
      <c r="A20" s="2854" t="s">
        <v>2673</v>
      </c>
      <c r="B20" s="2855" t="str">
        <f>'预评函-1'!A27</f>
        <v>——</v>
      </c>
    </row>
    <row r="21" spans="1:48" s="2869" customFormat="1" ht="15" thickBot="1">
      <c r="A21" s="2876" t="s">
        <v>2674</v>
      </c>
      <c r="B21" s="28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5" t="s">
        <v>2675</v>
      </c>
      <c r="B22" s="2866"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54" t="s">
        <v>2676</v>
      </c>
      <c r="B23" s="2855" t="str">
        <f>'预评函-2'!K2</f>
        <v>估价期日：2019年3月4日</v>
      </c>
    </row>
    <row r="24" spans="1:48">
      <c r="A24" s="2854" t="s">
        <v>2677</v>
      </c>
      <c r="B24" s="2855" t="str">
        <f>'预评函-2'!R2</f>
        <v>估价期日的国有建设用地使用权性质：出让</v>
      </c>
    </row>
    <row r="25" spans="1:48">
      <c r="A25" s="2854" t="s">
        <v>2733</v>
      </c>
      <c r="B25" s="2855" t="str">
        <f>'预评函-2'!A3</f>
        <v>估价期日土地使用者</v>
      </c>
    </row>
    <row r="26" spans="1:48">
      <c r="A26" s="2854" t="s">
        <v>2709</v>
      </c>
      <c r="B26" s="2855" t="str">
        <f>'预评函-2'!A5</f>
        <v>中信开发</v>
      </c>
    </row>
    <row r="27" spans="1:48">
      <c r="A27" s="2854" t="s">
        <v>2734</v>
      </c>
      <c r="B27" s="2855" t="str">
        <f>'预评函-2'!B3</f>
        <v>宗地编号/不动产单元号</v>
      </c>
    </row>
    <row r="28" spans="1:48">
      <c r="A28" s="2854" t="s">
        <v>2710</v>
      </c>
      <c r="B28" s="2855" t="str">
        <f>'预评函-2'!B5</f>
        <v>11111111111</v>
      </c>
    </row>
    <row r="29" spans="1:48">
      <c r="A29" s="2854" t="s">
        <v>2736</v>
      </c>
      <c r="B29" s="2855">
        <f>'预评函-2'!C5</f>
        <v>22</v>
      </c>
    </row>
    <row r="30" spans="1:48">
      <c r="A30" s="2854" t="s">
        <v>2737</v>
      </c>
      <c r="B30" s="2855" t="str">
        <f>'预评函-2'!D3</f>
        <v>土地使用证编号/不动产权证书编号</v>
      </c>
    </row>
    <row r="31" spans="1:48">
      <c r="A31" s="2854" t="s">
        <v>2711</v>
      </c>
      <c r="B31" s="2855" t="str">
        <f>'预评函-2'!D5</f>
        <v>京国土字第111号</v>
      </c>
    </row>
    <row r="32" spans="1:48">
      <c r="A32" s="2854" t="s">
        <v>2712</v>
      </c>
      <c r="B32" s="2855">
        <f>'预评函-2'!E5</f>
        <v>0</v>
      </c>
      <c r="AV32" s="2859"/>
    </row>
    <row r="33" spans="1:2">
      <c r="A33" s="2854" t="s">
        <v>2713</v>
      </c>
      <c r="B33" s="2855">
        <f>'预评函-2'!F5</f>
        <v>258</v>
      </c>
    </row>
    <row r="34" spans="1:2">
      <c r="A34" s="2854" t="s">
        <v>2714</v>
      </c>
      <c r="B34" s="2855">
        <f>'预评函-2'!G5</f>
        <v>0</v>
      </c>
    </row>
    <row r="35" spans="1:2">
      <c r="A35" s="2854" t="s">
        <v>2715</v>
      </c>
      <c r="B35" s="2855">
        <f>'预评函-2'!H5</f>
        <v>1.5</v>
      </c>
    </row>
    <row r="36" spans="1:2">
      <c r="A36" s="2854" t="s">
        <v>2716</v>
      </c>
      <c r="B36" s="2855">
        <f>'预评函-2'!I5</f>
        <v>1.5</v>
      </c>
    </row>
    <row r="37" spans="1:2">
      <c r="A37" s="2854" t="s">
        <v>2717</v>
      </c>
      <c r="B37" s="2855">
        <f>'预评函-2'!J5</f>
        <v>1.5</v>
      </c>
    </row>
    <row r="38" spans="1:2">
      <c r="A38" s="2854" t="s">
        <v>2718</v>
      </c>
      <c r="B38" s="2855" t="str">
        <f>'预评函-2'!K5</f>
        <v>红线外七通、宗地红线内</v>
      </c>
    </row>
    <row r="39" spans="1:2">
      <c r="A39" s="2854" t="s">
        <v>2719</v>
      </c>
      <c r="B39" s="2855" t="str">
        <f>'预评函-2'!L5</f>
        <v>红线外七通、宗地红线内场地</v>
      </c>
    </row>
    <row r="40" spans="1:2">
      <c r="A40" s="2854" t="s">
        <v>2738</v>
      </c>
      <c r="B40" s="2855" t="str">
        <f>'预评函-2'!M3</f>
        <v>（剩余）土地使用年限/年</v>
      </c>
    </row>
    <row r="41" spans="1:2">
      <c r="A41" s="2854" t="s">
        <v>2720</v>
      </c>
      <c r="B41" s="2855">
        <f>'预评函-2'!M5</f>
        <v>0</v>
      </c>
    </row>
    <row r="42" spans="1:2">
      <c r="A42" s="2854" t="s">
        <v>2739</v>
      </c>
      <c r="B42" s="2855" t="str">
        <f>'预评函-2'!N3</f>
        <v>（分摊）出让国有建设用地使用权面积/㎡</v>
      </c>
    </row>
    <row r="43" spans="1:2">
      <c r="A43" s="2854" t="s">
        <v>2721</v>
      </c>
      <c r="B43" s="2855">
        <f>'预评函-2'!N5</f>
        <v>68743.19</v>
      </c>
    </row>
    <row r="44" spans="1:2">
      <c r="A44" s="2854" t="s">
        <v>2740</v>
      </c>
      <c r="B44" s="2855" t="str">
        <f>'预评函-2'!O3</f>
        <v>规划建筑面积/㎡</v>
      </c>
    </row>
    <row r="45" spans="1:2">
      <c r="A45" s="2854" t="s">
        <v>2722</v>
      </c>
      <c r="B45" s="2855">
        <f>'预评函-2'!O5</f>
        <v>31245.480000000003</v>
      </c>
    </row>
    <row r="46" spans="1:2">
      <c r="A46" s="2854" t="s">
        <v>2723</v>
      </c>
      <c r="B46" s="2855" t="e">
        <f ca="1">'预评函-2'!P5</f>
        <v>#DIV/0!</v>
      </c>
    </row>
    <row r="47" spans="1:2">
      <c r="A47" s="2854" t="s">
        <v>2724</v>
      </c>
      <c r="B47" s="2855" t="e">
        <f ca="1">'预评函-2'!Q5</f>
        <v>#DIV/0!</v>
      </c>
    </row>
    <row r="48" spans="1:2">
      <c r="A48" s="2854" t="s">
        <v>2725</v>
      </c>
      <c r="B48" s="2855" t="e">
        <f ca="1">'预评函-2'!R5</f>
        <v>#DIV/0!</v>
      </c>
    </row>
    <row r="49" spans="1:2">
      <c r="A49" s="2854" t="s">
        <v>2741</v>
      </c>
      <c r="B49" s="2855" t="str">
        <f>'预评函-2'!A6</f>
        <v>抵押价格</v>
      </c>
    </row>
    <row r="50" spans="1:2">
      <c r="A50" s="2854" t="s">
        <v>2726</v>
      </c>
      <c r="B50" s="2855" t="str">
        <f>'预评函-2'!R6</f>
        <v>——</v>
      </c>
    </row>
    <row r="51" spans="1:2">
      <c r="A51" s="2854" t="s">
        <v>2742</v>
      </c>
      <c r="B51" s="2855" t="str">
        <f>'预评函-2'!A7</f>
        <v>——</v>
      </c>
    </row>
    <row r="52" spans="1:2">
      <c r="A52" s="2854" t="s">
        <v>2727</v>
      </c>
      <c r="B52" s="2855" t="str">
        <f>'预评函-2'!R7</f>
        <v>——</v>
      </c>
    </row>
    <row r="53" spans="1:2">
      <c r="A53" s="2854" t="s">
        <v>2743</v>
      </c>
      <c r="B53" s="2855">
        <f>'预评函-2'!A8</f>
        <v>0</v>
      </c>
    </row>
    <row r="54" spans="1:2" s="2869" customFormat="1" ht="15" thickBot="1">
      <c r="A54" s="2876" t="s">
        <v>2728</v>
      </c>
      <c r="B54" s="2877" t="str">
        <f>'预评函-2'!R8</f>
        <v>——</v>
      </c>
    </row>
    <row r="55" spans="1:2" ht="15" thickTop="1">
      <c r="A55" s="2865" t="s">
        <v>2678</v>
      </c>
      <c r="B55" s="2866" t="str">
        <f>'预评函-3'!A2</f>
        <v>1.权利限制：根据估价对象《不动产权证书》原件、《国有土地使用权》复印件，截至估价期日，估价对象抵押权未见登记。未设定租赁等其他他项权利。</v>
      </c>
    </row>
    <row r="56" spans="1:2">
      <c r="A56" s="2854" t="s">
        <v>2679</v>
      </c>
      <c r="B56" s="2855" t="str">
        <f>'预评函-3'!A3</f>
        <v>2.基础设施条件：估价对象实际开发程度为红线外七通、宗地红线内；本次评估设定开发程度为红线外七通、宗地红线内场地。</v>
      </c>
    </row>
    <row r="57" spans="1:2">
      <c r="A57" s="2854" t="s">
        <v>2680</v>
      </c>
      <c r="B57" s="2855" t="str">
        <f>'预评函-3'!A4</f>
        <v>3.估价规划限制条件：详见《建设工程规划许可证》[]、《出让合同》[]。</v>
      </c>
    </row>
    <row r="58" spans="1:2" s="2869" customFormat="1" ht="15" thickBot="1">
      <c r="A58" s="2876" t="s">
        <v>2729</v>
      </c>
      <c r="B58" s="2877" t="str">
        <f>'预评函-3'!A5</f>
        <v>4.影响价格的其他限定条件：无。</v>
      </c>
    </row>
    <row r="59" spans="1:2" ht="15" thickTop="1">
      <c r="A59" s="2865" t="s">
        <v>2681</v>
      </c>
      <c r="B59" s="2866" t="str">
        <f>'预评函-3'!A8</f>
        <v>2.本次评估设定估价对象宗地权属无争议，未被查封或者以其他形式限制其房地产权利，未设定抵押权等他项权利，不涉及第三方权利义务。</v>
      </c>
    </row>
    <row r="60" spans="1:2">
      <c r="A60" s="2854" t="s">
        <v>2682</v>
      </c>
      <c r="B60" s="2855" t="str">
        <f>'预评函-3'!A9</f>
        <v>——</v>
      </c>
    </row>
    <row r="61" spans="1:2">
      <c r="A61" s="2854" t="s">
        <v>2684</v>
      </c>
      <c r="B61" s="2855" t="str">
        <f>'预评函-3'!A10</f>
        <v>——</v>
      </c>
    </row>
    <row r="62" spans="1:2">
      <c r="A62" s="2854" t="s">
        <v>2683</v>
      </c>
      <c r="B62" s="2855" t="str">
        <f>'预评函-3'!A11</f>
        <v>——</v>
      </c>
    </row>
    <row r="63" spans="1:2">
      <c r="A63" s="2854" t="s">
        <v>2685</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2686</v>
      </c>
      <c r="B64" s="2860" t="str">
        <f>'预评函-3'!A13</f>
        <v>（3）。</v>
      </c>
    </row>
    <row r="65" spans="1:2">
      <c r="A65" s="2854" t="s">
        <v>2687</v>
      </c>
      <c r="B65" s="2861" t="str">
        <f>'预评函-3'!A14</f>
        <v>——</v>
      </c>
    </row>
    <row r="66" spans="1:2">
      <c r="A66" s="2854" t="s">
        <v>2688</v>
      </c>
      <c r="B66" s="28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2689</v>
      </c>
      <c r="B67" s="28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2692</v>
      </c>
      <c r="B68" s="2880">
        <f>'预评函-3'!D30</f>
        <v>42558</v>
      </c>
    </row>
    <row r="69" spans="1:2" ht="15" thickTop="1">
      <c r="A69" s="2865" t="s">
        <v>2690</v>
      </c>
      <c r="B69" s="2866" t="str">
        <f>'预评函-3'!A20</f>
        <v>陈颖</v>
      </c>
    </row>
    <row r="70" spans="1:2">
      <c r="A70" s="2854" t="s">
        <v>2690</v>
      </c>
      <c r="B70" s="2861">
        <f ca="1">'预评函-3'!B20</f>
        <v>2004110096</v>
      </c>
    </row>
    <row r="71" spans="1:2">
      <c r="A71" s="2854" t="s">
        <v>2691</v>
      </c>
      <c r="B71" s="2855" t="str">
        <f>'预评函-3'!A21</f>
        <v>杨红英</v>
      </c>
    </row>
    <row r="72" spans="1:2" s="2869" customFormat="1" ht="15" thickBot="1">
      <c r="A72" s="2876" t="s">
        <v>2691</v>
      </c>
      <c r="B72" s="2882">
        <f ca="1">'预评函-3'!B21</f>
        <v>2004110128</v>
      </c>
    </row>
    <row r="73" spans="1:2" ht="15" thickTop="1">
      <c r="A73" s="2865" t="s">
        <v>2750</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2751</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2752</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2786</v>
      </c>
      <c r="B76" s="286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7" zoomScale="90" zoomScaleNormal="100" zoomScaleSheetLayoutView="90" workbookViewId="0">
      <selection activeCell="I24" sqref="I24"/>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1937</v>
      </c>
      <c r="B1" s="3274" t="str">
        <f>IF(B10="北京市","北京市",C10)&amp;F10&amp;B16&amp;"国有建设用地使用权"&amp;B9&amp;"预评估"</f>
        <v>北京市出让国有建设用地使用权预评估</v>
      </c>
      <c r="C1" s="3275"/>
      <c r="D1" s="3275"/>
      <c r="E1" s="3275"/>
      <c r="F1" s="3275"/>
      <c r="G1" s="3275"/>
      <c r="H1" s="3275"/>
      <c r="I1" s="3276"/>
      <c r="J1" s="1691"/>
      <c r="K1" s="2432" t="str">
        <f>IF(B10="北京市","北京市",C10)&amp;F10&amp;B16&amp;"国有建设用地使用权"&amp;B9</f>
        <v>北京市出让国有建设用地使用权</v>
      </c>
      <c r="L1" s="1720"/>
      <c r="M1" s="1720"/>
      <c r="N1" s="1691"/>
      <c r="O1" s="1692"/>
      <c r="P1" s="1691"/>
      <c r="Q1" s="1691"/>
      <c r="R1" s="1691"/>
      <c r="S1" s="1691"/>
      <c r="T1" s="1691"/>
      <c r="U1" s="1691"/>
    </row>
    <row r="2" spans="1:21">
      <c r="A2" s="1657" t="s">
        <v>1938</v>
      </c>
      <c r="B2" s="1839"/>
      <c r="D2" s="1691"/>
      <c r="E2" s="1691"/>
      <c r="F2" s="1691"/>
      <c r="G2" s="1691"/>
      <c r="H2" s="1657"/>
      <c r="I2" s="1692"/>
      <c r="J2" s="1691"/>
      <c r="K2" s="2432" t="str">
        <f>IF(B10="北京市","北京市",C10)&amp;F10&amp;B16&amp;"国有建设用地使用权"</f>
        <v>北京市出让国有建设用地使用权</v>
      </c>
      <c r="L2" s="1720"/>
      <c r="M2" s="1720"/>
      <c r="N2" s="1691"/>
      <c r="O2" s="1692"/>
      <c r="P2" s="1691"/>
      <c r="Q2" s="1691"/>
      <c r="R2" s="1691"/>
      <c r="S2" s="1691"/>
      <c r="T2" s="1691"/>
      <c r="U2" s="1691"/>
    </row>
    <row r="3" spans="1:21">
      <c r="A3" s="1658" t="s">
        <v>1939</v>
      </c>
      <c r="B3" s="1659">
        <v>43529</v>
      </c>
      <c r="C3" s="1660" t="s">
        <v>1995</v>
      </c>
      <c r="D3" s="1659">
        <v>43528</v>
      </c>
      <c r="E3" s="1691"/>
      <c r="F3" s="1691"/>
      <c r="G3" s="1691"/>
      <c r="H3" s="1657"/>
      <c r="I3" s="1692"/>
      <c r="J3" s="1691"/>
      <c r="K3" s="1771"/>
      <c r="L3" s="1720"/>
      <c r="M3" s="1720"/>
      <c r="N3" s="1691"/>
      <c r="O3" s="1692"/>
      <c r="P3" s="1691"/>
      <c r="Q3" s="1691"/>
      <c r="R3" s="1691"/>
      <c r="S3" s="1691"/>
      <c r="T3" s="1691"/>
      <c r="U3" s="1691"/>
    </row>
    <row r="4" spans="1:21" ht="15" thickBot="1">
      <c r="A4" s="1661" t="s">
        <v>1940</v>
      </c>
      <c r="B4" s="1840" t="s">
        <v>2988</v>
      </c>
      <c r="C4" s="1843">
        <f ca="1">SUMIF(土地估价师,B4,估价师及机构信息!E3:E24)</f>
        <v>2004110096</v>
      </c>
      <c r="D4" s="1840" t="s">
        <v>2989</v>
      </c>
      <c r="E4" s="1843">
        <f ca="1">SUMIF(土地估价师,D4,估价师及机构信息!E3:E24)</f>
        <v>2004110128</v>
      </c>
      <c r="F4" s="1840" t="s">
        <v>951</v>
      </c>
      <c r="G4" s="1843">
        <f>SUMIF(土地估价师,F4,估价师及机构信息!E3:E24)</f>
        <v>0</v>
      </c>
      <c r="H4" s="1840" t="s">
        <v>951</v>
      </c>
      <c r="I4" s="1843">
        <f>SUMIF(土地估价师,H4,估价师及机构信息!E3:E24)</f>
        <v>0</v>
      </c>
      <c r="J4" s="1691"/>
      <c r="K4" s="2432" t="str">
        <f>IF(AND(F4="——",H4="——"),B4&amp;"、"&amp;D4,IF(AND(F4&lt;&gt;"——",H4="——"),B4&amp;"、"&amp;D4&amp;"、"&amp;F4,B4&amp;"、"&amp;D4&amp;"、"&amp;F4&amp;"、"&amp;H4))</f>
        <v>陈颖、杨红英</v>
      </c>
      <c r="L4" s="1720"/>
      <c r="M4" s="1720"/>
      <c r="N4" s="1691"/>
      <c r="O4" s="1692"/>
      <c r="P4" s="1691"/>
      <c r="Q4" s="1691"/>
      <c r="R4" s="1691"/>
      <c r="S4" s="1691"/>
      <c r="T4" s="1691"/>
      <c r="U4" s="1691"/>
    </row>
    <row r="5" spans="1:21" ht="15" thickTop="1">
      <c r="A5" s="1662" t="s">
        <v>1941</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2706</v>
      </c>
      <c r="B6" s="1786"/>
      <c r="C6" s="1758"/>
      <c r="D6" s="1665"/>
      <c r="E6" s="1691"/>
      <c r="F6" s="1691"/>
      <c r="G6" s="1691"/>
      <c r="H6" s="1657"/>
      <c r="I6" s="1692"/>
      <c r="J6" s="1691"/>
      <c r="K6" s="3029" t="str">
        <f>IF(COUNTIF(B6,"*上海银行*"),"上海银行","")</f>
        <v/>
      </c>
      <c r="L6" s="1720"/>
      <c r="M6" s="1720"/>
      <c r="N6" s="1691"/>
      <c r="O6" s="1692"/>
      <c r="P6" s="1691"/>
      <c r="Q6" s="1691"/>
      <c r="R6" s="1691"/>
      <c r="S6" s="1691"/>
      <c r="T6" s="1691"/>
      <c r="U6" s="1691"/>
    </row>
    <row r="7" spans="1:21">
      <c r="A7" s="1666" t="s">
        <v>2707</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1942</v>
      </c>
      <c r="B8" s="1667" t="s">
        <v>2987</v>
      </c>
      <c r="C8" s="1668"/>
      <c r="D8" s="3280" t="s">
        <v>1944</v>
      </c>
      <c r="E8" s="1841"/>
      <c r="F8" s="1669"/>
      <c r="G8" s="1657"/>
      <c r="H8" s="1657"/>
      <c r="I8" s="1704"/>
      <c r="J8" s="1691"/>
      <c r="K8" s="1771"/>
      <c r="L8" s="1720"/>
      <c r="M8" s="1720"/>
      <c r="N8" s="1691"/>
      <c r="O8" s="1692"/>
      <c r="P8" s="1691"/>
      <c r="Q8" s="1691"/>
      <c r="R8" s="1691"/>
      <c r="S8" s="1691"/>
      <c r="T8" s="1691"/>
      <c r="U8" s="1691"/>
    </row>
    <row r="9" spans="1:21" ht="15" thickBot="1">
      <c r="A9" s="1670" t="s">
        <v>1943</v>
      </c>
      <c r="B9" s="1671"/>
      <c r="C9" s="1672"/>
      <c r="D9" s="3281"/>
      <c r="E9" s="1671"/>
      <c r="F9" s="1744"/>
      <c r="G9" s="1739"/>
      <c r="H9" s="1739"/>
      <c r="I9" s="1740"/>
      <c r="J9" s="1691"/>
      <c r="K9" s="1771"/>
      <c r="L9" s="1720"/>
      <c r="M9" s="1720"/>
      <c r="N9" s="1691"/>
      <c r="O9" s="1692"/>
      <c r="P9" s="1691"/>
      <c r="Q9" s="1691"/>
      <c r="R9" s="1691"/>
      <c r="S9" s="1691"/>
      <c r="T9" s="1691"/>
      <c r="U9" s="1691"/>
    </row>
    <row r="10" spans="1:21" ht="15" thickTop="1">
      <c r="A10" s="1741" t="s">
        <v>1999</v>
      </c>
      <c r="B10" s="3173" t="s">
        <v>1945</v>
      </c>
      <c r="C10" s="1673"/>
      <c r="D10" s="1664"/>
      <c r="E10" s="1674" t="s">
        <v>1946</v>
      </c>
      <c r="F10" s="1675"/>
      <c r="G10" s="1742"/>
      <c r="H10" s="1743"/>
      <c r="I10" s="1664"/>
      <c r="J10" s="1691"/>
      <c r="K10" s="1771"/>
      <c r="L10" s="1720"/>
      <c r="M10" s="1720"/>
      <c r="N10" s="1691"/>
      <c r="O10" s="1692"/>
      <c r="P10" s="1691"/>
      <c r="Q10" s="1691"/>
      <c r="R10" s="1691"/>
      <c r="S10" s="1691"/>
      <c r="T10" s="1691"/>
      <c r="U10" s="1691"/>
    </row>
    <row r="11" spans="1:21">
      <c r="A11" s="1694" t="s">
        <v>2000</v>
      </c>
      <c r="B11" s="1695" t="s">
        <v>2990</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2058</v>
      </c>
      <c r="B12" s="3277"/>
      <c r="C12" s="3278"/>
      <c r="D12" s="3279"/>
      <c r="E12" s="1696" t="s">
        <v>2061</v>
      </c>
      <c r="F12" s="3295" t="s">
        <v>2888</v>
      </c>
      <c r="G12" s="3296"/>
      <c r="H12" s="3296"/>
      <c r="I12" s="3297"/>
      <c r="J12" s="1691"/>
      <c r="K12" s="1771"/>
      <c r="L12" s="1720"/>
      <c r="M12" s="1720"/>
      <c r="N12" s="1691"/>
      <c r="O12" s="1692"/>
      <c r="P12" s="1691"/>
      <c r="Q12" s="1691"/>
      <c r="R12" s="1691"/>
      <c r="S12" s="1691"/>
      <c r="T12" s="1691"/>
      <c r="U12" s="1691"/>
    </row>
    <row r="13" spans="1:21">
      <c r="A13" s="1684" t="s">
        <v>2059</v>
      </c>
      <c r="B13" s="3277"/>
      <c r="C13" s="3278"/>
      <c r="D13" s="3279"/>
      <c r="E13" s="1696" t="s">
        <v>2061</v>
      </c>
      <c r="F13" s="3295" t="s">
        <v>2889</v>
      </c>
      <c r="G13" s="3296"/>
      <c r="H13" s="3296"/>
      <c r="I13" s="3297"/>
      <c r="J13" s="1691"/>
      <c r="K13" s="1771"/>
      <c r="L13" s="1720"/>
      <c r="M13" s="1720"/>
      <c r="N13" s="1691"/>
      <c r="O13" s="1692"/>
      <c r="P13" s="1691"/>
      <c r="Q13" s="1691"/>
      <c r="R13" s="1691"/>
      <c r="S13" s="1691"/>
      <c r="T13" s="1691"/>
      <c r="U13" s="1691"/>
    </row>
    <row r="14" spans="1:21">
      <c r="A14" s="1658" t="s">
        <v>2062</v>
      </c>
      <c r="B14" s="1696"/>
      <c r="C14" s="1842" t="s">
        <v>2991</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c r="A15" s="2622"/>
      <c r="B15" s="1660"/>
      <c r="C15" s="1660"/>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42.75">
      <c r="A16" s="1677" t="s">
        <v>1947</v>
      </c>
      <c r="B16" s="1678" t="s">
        <v>2987</v>
      </c>
      <c r="C16" s="1696" t="s">
        <v>1948</v>
      </c>
      <c r="D16" s="2623" t="s">
        <v>1949</v>
      </c>
      <c r="E16" s="1719" t="s">
        <v>2992</v>
      </c>
      <c r="F16" s="1719"/>
      <c r="G16" s="1719" t="s">
        <v>35</v>
      </c>
      <c r="H16" s="1719" t="s">
        <v>3016</v>
      </c>
      <c r="I16" s="1683" t="s">
        <v>1954</v>
      </c>
      <c r="J16" s="1691"/>
      <c r="K16" s="2433" t="str">
        <f>IF(D17="","",D16&amp;TEXT(D17,"yyyy年m月d日;;"))</f>
        <v>住宅2074年3月6日</v>
      </c>
      <c r="L16" s="1696" t="str">
        <f>IF(OR(K16="",M16=""),"","、")</f>
        <v>、</v>
      </c>
      <c r="M16" s="2433" t="str">
        <f>IF(E17="","",E16&amp;TEXT(E17,"yyyy年m月d日;;"))</f>
        <v>商业2044年3月6日</v>
      </c>
      <c r="N16" s="1696" t="str">
        <f>IF(OR(M16="",O16=""),"","、")</f>
        <v/>
      </c>
      <c r="O16" s="2433" t="str">
        <f>IF(F17="","",F16&amp;TEXT(F17,"yyyy年m月d日;;"))</f>
        <v/>
      </c>
      <c r="P16" s="1696" t="str">
        <f>IF(OR(O16="",Q16=""),"","、")</f>
        <v/>
      </c>
      <c r="Q16" s="2433" t="str">
        <f>IF(G17="","",G16&amp;TEXT(G17,"yyyy年m月d日;;"))</f>
        <v>地下车库2054年3月6日</v>
      </c>
      <c r="R16" s="1696" t="str">
        <f>IF(OR(Q16="",S16=""),"","、")</f>
        <v>、</v>
      </c>
      <c r="S16" s="2433" t="str">
        <f>IF(H17="","",H16&amp;TEXT(H17,"yyyy年m月d日;;"))</f>
        <v>地下仓储2054年3月6日</v>
      </c>
      <c r="T16" s="1696" t="str">
        <f>IF(OR(S16="",U16=""),"","、")</f>
        <v/>
      </c>
      <c r="U16" s="2433" t="str">
        <f>IF(I17="","",I16&amp;TEXT(I17,"yyyy年m月d日;;"))</f>
        <v/>
      </c>
    </row>
    <row r="17" spans="1:21">
      <c r="A17" s="1760"/>
      <c r="B17" s="1679"/>
      <c r="C17" s="1680" t="s">
        <v>1955</v>
      </c>
      <c r="D17" s="1697">
        <v>63619</v>
      </c>
      <c r="E17" s="1697">
        <v>52662</v>
      </c>
      <c r="F17" s="1697"/>
      <c r="G17" s="1697">
        <v>56314</v>
      </c>
      <c r="H17" s="1697">
        <v>56314</v>
      </c>
      <c r="I17" s="1697"/>
      <c r="J17" s="1691"/>
      <c r="K17" s="2432" t="str">
        <f>CONCATENATE(K16,L16,M16,N16,O16,P16,Q16,R16,S16,T16,,U16)</f>
        <v>住宅2074年3月6日、商业2044年3月6日地下车库2054年3月6日、地下仓储2054年3月6日</v>
      </c>
      <c r="L17" s="1720"/>
      <c r="M17" s="1720"/>
      <c r="N17" s="1691"/>
      <c r="O17" s="1692"/>
      <c r="P17" s="1691"/>
      <c r="Q17" s="1691"/>
      <c r="R17" s="1691"/>
      <c r="S17" s="1691"/>
      <c r="T17" s="1691"/>
      <c r="U17" s="1691"/>
    </row>
    <row r="18" spans="1:21">
      <c r="A18" s="1760"/>
      <c r="B18" s="1679"/>
      <c r="C18" s="1680" t="s">
        <v>1956</v>
      </c>
      <c r="D18" s="1681">
        <v>70</v>
      </c>
      <c r="E18" s="1681">
        <v>40</v>
      </c>
      <c r="F18" s="1681"/>
      <c r="G18" s="1681">
        <v>50</v>
      </c>
      <c r="H18" s="1681">
        <v>50</v>
      </c>
      <c r="I18" s="1681"/>
      <c r="J18" s="1691"/>
      <c r="K18" s="1771"/>
      <c r="L18" s="1720"/>
      <c r="M18" s="1720"/>
      <c r="N18" s="1691"/>
      <c r="O18" s="1692"/>
      <c r="P18" s="1691"/>
      <c r="Q18" s="1691"/>
      <c r="R18" s="1691"/>
      <c r="S18" s="1691"/>
      <c r="T18" s="1691"/>
      <c r="U18" s="1691"/>
    </row>
    <row r="19" spans="1:21">
      <c r="A19" s="1760"/>
      <c r="B19" s="1679"/>
      <c r="C19" s="1657" t="s">
        <v>1957</v>
      </c>
      <c r="D19" s="1755">
        <f>IF(B16="出让",IF(D17="","",ROUNDDOWN(MIN((D17-$D$3)/365,D18),2)),D18)</f>
        <v>55.04</v>
      </c>
      <c r="E19" s="1682">
        <f>IF(B16="出让",IF(E17="","",ROUNDDOWN(MIN((E17-$D$3)/365,E18),2)),E18)</f>
        <v>25.02</v>
      </c>
      <c r="F19" s="1682" t="str">
        <f>IF(B16="出让",IF(F17="","",ROUNDDOWN(MIN((F17-$D$3)/365,F18),2)),F18)</f>
        <v/>
      </c>
      <c r="G19" s="1682">
        <f>IF(B16="出让",IF(G17="","",ROUNDDOWN(MIN((G17-$D$3)/365,G18),2)),G18)</f>
        <v>35.03</v>
      </c>
      <c r="H19" s="1682">
        <f>IF(B16="出让",IF(H17="","",ROUNDDOWN(MIN((H17-$D$3)/365,H18),2)),H18)</f>
        <v>35.03</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292"/>
      <c r="E20" s="3293"/>
      <c r="F20" s="3293"/>
      <c r="G20" s="3293"/>
      <c r="H20" s="3293"/>
      <c r="I20" s="3294"/>
      <c r="J20" s="1691"/>
      <c r="K20" s="1771"/>
      <c r="L20" s="1720"/>
      <c r="M20" s="1720"/>
      <c r="N20" s="1691"/>
      <c r="O20" s="1692"/>
      <c r="P20" s="1691"/>
      <c r="Q20" s="1691"/>
      <c r="R20" s="1691"/>
      <c r="S20" s="1691"/>
      <c r="T20" s="1691"/>
      <c r="U20" s="1691"/>
    </row>
    <row r="21" spans="1:21">
      <c r="A21" s="1760" t="s">
        <v>1958</v>
      </c>
      <c r="B21" s="1761" t="s">
        <v>1959</v>
      </c>
      <c r="C21" s="1756">
        <f>'数据-汇总表'!E3</f>
        <v>31245.480000000003</v>
      </c>
      <c r="D21" s="1757" t="s">
        <v>1960</v>
      </c>
      <c r="E21" s="3282" t="s">
        <v>1998</v>
      </c>
      <c r="F21" s="3283"/>
      <c r="G21" s="3283"/>
      <c r="H21" s="3283"/>
      <c r="I21" s="3284"/>
      <c r="J21" s="1691"/>
      <c r="K21" s="1771"/>
      <c r="L21" s="1720"/>
      <c r="M21" s="1720"/>
      <c r="N21" s="1691"/>
      <c r="O21" s="1692"/>
      <c r="P21" s="1691"/>
      <c r="Q21" s="1691"/>
      <c r="R21" s="1691"/>
      <c r="S21" s="1691"/>
      <c r="T21" s="1691"/>
      <c r="U21" s="1691"/>
    </row>
    <row r="22" spans="1:21">
      <c r="A22" s="3118" t="s">
        <v>951</v>
      </c>
      <c r="B22" s="1658" t="s">
        <v>1961</v>
      </c>
      <c r="C22" s="1683">
        <f>'数据-汇总表'!D3</f>
        <v>68743.19</v>
      </c>
      <c r="D22" s="1684" t="s">
        <v>1960</v>
      </c>
      <c r="E22" s="3282" t="s">
        <v>2890</v>
      </c>
      <c r="F22" s="3283"/>
      <c r="G22" s="3283"/>
      <c r="H22" s="3283"/>
      <c r="I22" s="3284"/>
      <c r="J22" s="1691"/>
      <c r="K22" s="1771"/>
      <c r="L22" s="1720"/>
      <c r="M22" s="1720"/>
      <c r="N22" s="1691"/>
      <c r="O22" s="1692"/>
      <c r="P22" s="1691"/>
      <c r="Q22" s="1691"/>
      <c r="R22" s="1691"/>
      <c r="S22" s="1691"/>
      <c r="T22" s="1691"/>
      <c r="U22" s="1691"/>
    </row>
    <row r="23" spans="1:21" ht="43.5" thickBot="1">
      <c r="A23" s="1762" t="s">
        <v>1962</v>
      </c>
      <c r="B23" s="1698" t="s">
        <v>1963</v>
      </c>
      <c r="C23" s="1699"/>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285" t="s">
        <v>1966</v>
      </c>
      <c r="C24" s="3286"/>
      <c r="D24" s="3287" t="s">
        <v>1967</v>
      </c>
      <c r="E24" s="3288"/>
      <c r="F24" s="1705" t="s">
        <v>1968</v>
      </c>
      <c r="G24" s="1691"/>
      <c r="H24" s="1691"/>
      <c r="I24" s="1704"/>
      <c r="J24" s="1691"/>
      <c r="K24" s="3273" t="s">
        <v>1969</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2325</v>
      </c>
      <c r="C25" s="1706" t="s">
        <v>1970</v>
      </c>
      <c r="D25" s="1707"/>
      <c r="E25" s="1708" t="s">
        <v>951</v>
      </c>
      <c r="F25" s="1709"/>
      <c r="G25" s="1691"/>
      <c r="H25" s="1691"/>
      <c r="I25" s="1704"/>
      <c r="J25" s="1691"/>
      <c r="K25" s="3273"/>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1971</v>
      </c>
      <c r="C26" s="1706" t="s">
        <v>2326</v>
      </c>
      <c r="D26" s="1657"/>
      <c r="E26" s="1657"/>
      <c r="F26" s="1685"/>
      <c r="G26" s="1691"/>
      <c r="H26" s="1691"/>
      <c r="I26" s="1704"/>
      <c r="J26" s="1691"/>
      <c r="K26" s="3273"/>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8"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9"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9"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30" t="s">
        <v>1976</v>
      </c>
      <c r="E30" s="1715"/>
      <c r="F30" s="1686"/>
      <c r="G30" s="1739"/>
      <c r="H30" s="1739"/>
      <c r="I30" s="1740"/>
      <c r="J30" s="1691"/>
      <c r="K30" s="1771"/>
      <c r="L30" s="1720"/>
      <c r="M30" s="1720"/>
      <c r="N30" s="1691"/>
      <c r="O30" s="1692"/>
      <c r="P30" s="1691"/>
      <c r="Q30" s="1691"/>
      <c r="R30" s="1691"/>
      <c r="S30" s="1691"/>
      <c r="T30" s="1691"/>
      <c r="U30" s="1691"/>
    </row>
    <row r="31" spans="1:21" ht="15" thickTop="1">
      <c r="A31" s="3300" t="s">
        <v>2001</v>
      </c>
      <c r="B31" s="1761" t="s">
        <v>2002</v>
      </c>
      <c r="C31" s="3298"/>
      <c r="D31" s="3299"/>
      <c r="E31" s="1691"/>
      <c r="F31" s="1691"/>
      <c r="G31" s="1691"/>
      <c r="H31" s="1691"/>
      <c r="I31" s="1704"/>
      <c r="J31" s="1691"/>
      <c r="K31" s="2435"/>
      <c r="L31" s="1691"/>
      <c r="M31" s="1691"/>
      <c r="N31" s="1691"/>
      <c r="O31" s="1691"/>
      <c r="P31" s="1691"/>
      <c r="Q31" s="1691"/>
      <c r="R31" s="1691"/>
      <c r="S31" s="1691"/>
      <c r="T31" s="1691"/>
      <c r="U31" s="1691"/>
    </row>
    <row r="32" spans="1:21">
      <c r="A32" s="3300"/>
      <c r="B32" s="1658" t="s">
        <v>2003</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300"/>
      <c r="B33" s="1658" t="s">
        <v>2004</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301"/>
      <c r="B34" s="1658" t="s">
        <v>2005</v>
      </c>
      <c r="C34" s="3302"/>
      <c r="D34" s="3303"/>
      <c r="E34" s="1691"/>
      <c r="F34" s="1691"/>
      <c r="G34" s="1691"/>
      <c r="H34" s="1691"/>
      <c r="I34" s="1704"/>
      <c r="J34" s="1691"/>
      <c r="K34" s="2435"/>
      <c r="L34" s="1691"/>
      <c r="M34" s="1691"/>
      <c r="N34" s="1691"/>
      <c r="O34" s="1691"/>
      <c r="P34" s="1691"/>
      <c r="Q34" s="1691"/>
      <c r="R34" s="1691"/>
      <c r="S34" s="1691"/>
      <c r="T34" s="1691"/>
      <c r="U34" s="1691"/>
    </row>
    <row r="35" spans="1:21">
      <c r="A35" s="3304" t="s">
        <v>846</v>
      </c>
      <c r="B35" s="1719"/>
      <c r="C35" s="1773" t="str">
        <f>IF(B35="场地平整","——","具体情况：")</f>
        <v>具体情况：</v>
      </c>
      <c r="D35" s="3306"/>
      <c r="E35" s="3307"/>
      <c r="F35" s="3307"/>
      <c r="G35" s="3307"/>
      <c r="H35" s="3307"/>
      <c r="I35" s="3308"/>
      <c r="J35" s="1691"/>
      <c r="K35" s="1772"/>
      <c r="L35" s="1720"/>
      <c r="M35" s="1720"/>
      <c r="N35" s="1691"/>
      <c r="O35" s="1692"/>
      <c r="P35" s="1691"/>
      <c r="Q35" s="1691"/>
      <c r="R35" s="1691"/>
      <c r="S35" s="1691"/>
      <c r="T35" s="1691"/>
      <c r="U35" s="1691"/>
    </row>
    <row r="36" spans="1:21">
      <c r="A36" s="3300"/>
      <c r="B36" s="3309" t="s">
        <v>2054</v>
      </c>
      <c r="C36" s="3310"/>
      <c r="D36" s="1789"/>
      <c r="E36" s="3311"/>
      <c r="F36" s="3311"/>
      <c r="G36" s="1684" t="str">
        <f>IF(B35="场地未平整","估价结果处理","")</f>
        <v/>
      </c>
      <c r="H36" s="3312"/>
      <c r="I36" s="3312"/>
      <c r="J36" s="1691"/>
      <c r="K36" s="1772"/>
      <c r="L36" s="1720"/>
      <c r="M36" s="1720"/>
      <c r="N36" s="1691"/>
      <c r="O36" s="1692"/>
      <c r="P36" s="1691"/>
      <c r="Q36" s="1691"/>
      <c r="R36" s="1691"/>
      <c r="S36" s="1691"/>
      <c r="T36" s="1691"/>
      <c r="U36" s="1691"/>
    </row>
    <row r="37" spans="1:21" ht="28.5">
      <c r="A37" s="3300"/>
      <c r="B37" s="3289"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300"/>
      <c r="B38" s="3290"/>
      <c r="C38" s="1666" t="s">
        <v>849</v>
      </c>
      <c r="D38" s="1788">
        <f>ROUNDDOWN(MIN(('数据-取费表'!$B$2-D37)/365,D34),1)</f>
        <v>119.2</v>
      </c>
      <c r="E38" s="1724" t="s">
        <v>850</v>
      </c>
      <c r="F38" s="1691"/>
      <c r="G38" s="1691"/>
      <c r="H38" s="1691"/>
      <c r="I38" s="1704"/>
      <c r="J38" s="1691"/>
      <c r="K38" s="1772"/>
      <c r="L38" s="1691"/>
      <c r="M38" s="1691"/>
      <c r="N38" s="1691"/>
      <c r="O38" s="1691"/>
      <c r="P38" s="1691"/>
      <c r="Q38" s="1691"/>
      <c r="R38" s="1691"/>
      <c r="S38" s="1691"/>
      <c r="T38" s="1691"/>
      <c r="U38" s="1691"/>
    </row>
    <row r="39" spans="1:21">
      <c r="A39" s="3301"/>
      <c r="B39" s="3291"/>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c r="C40" s="1687"/>
      <c r="D40" s="1687"/>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272" t="s">
        <v>1985</v>
      </c>
      <c r="T40" s="1728" t="str">
        <f>NUMBERSTRING(7-K40,1)&amp;"通"</f>
        <v>七通</v>
      </c>
      <c r="U40" s="1691"/>
    </row>
    <row r="41" spans="1:21">
      <c r="A41" s="1660"/>
      <c r="B41" s="3305" t="s">
        <v>1721</v>
      </c>
      <c r="C41" s="3305"/>
      <c r="D41" s="3305"/>
      <c r="E41" s="3305"/>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72"/>
      <c r="T41" s="1730" t="str">
        <f>IF(T40="一通",L41,IF(T40="二通",M41,IF(T40="三通",N41,IF(T40="四通",O41,IF(T40="五通",P41,IF(T40="六通",Q41,R41))))))</f>
        <v>、、、、、、</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t="s">
        <v>1409</v>
      </c>
      <c r="C43" s="1735"/>
      <c r="D43" s="1735" t="s">
        <v>1409</v>
      </c>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t="s">
        <v>1251</v>
      </c>
      <c r="C44" s="1735"/>
      <c r="D44" s="1735" t="s">
        <v>1251</v>
      </c>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2891</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E24" sqref="E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37" t="s">
        <v>2333</v>
      </c>
      <c r="BA2" s="2338"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68743.19</v>
      </c>
      <c r="B3" s="22">
        <f>IF(C3="否",G5-AT5,G5)</f>
        <v>31245.480000000003</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31245.480000000003</v>
      </c>
      <c r="H5" s="27">
        <f t="shared" ref="H5:AT5" si="0">SUM(H13:H641)</f>
        <v>31245.480000000003</v>
      </c>
      <c r="I5" s="27">
        <f t="shared" si="0"/>
        <v>10000</v>
      </c>
      <c r="J5" s="27">
        <f t="shared" si="0"/>
        <v>0</v>
      </c>
      <c r="K5" s="27">
        <f t="shared" si="0"/>
        <v>10000</v>
      </c>
      <c r="L5" s="27">
        <f t="shared" si="0"/>
        <v>0</v>
      </c>
      <c r="M5" s="27">
        <f t="shared" si="0"/>
        <v>2364.58</v>
      </c>
      <c r="N5" s="27">
        <f t="shared" si="0"/>
        <v>0</v>
      </c>
      <c r="O5" s="27">
        <f t="shared" si="0"/>
        <v>8880.9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31245.480000000003</v>
      </c>
      <c r="BA5" s="29">
        <f t="shared" si="1"/>
        <v>31245.480000000003</v>
      </c>
      <c r="BB5" s="29">
        <f t="shared" si="1"/>
        <v>10000</v>
      </c>
      <c r="BC5" s="29">
        <f t="shared" si="1"/>
        <v>10000</v>
      </c>
      <c r="BD5" s="29">
        <f t="shared" si="1"/>
        <v>2364.58</v>
      </c>
      <c r="BE5" s="29">
        <f t="shared" si="1"/>
        <v>8880.9</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68743.179999999993</v>
      </c>
      <c r="F6" s="27" t="s">
        <v>1</v>
      </c>
      <c r="G6" s="27" t="s">
        <v>2</v>
      </c>
      <c r="H6" s="33">
        <f>SUMIF(I$12:AB$12,"总值",I6:AB6)</f>
        <v>68743.179999999993</v>
      </c>
      <c r="I6" s="27">
        <f t="shared" ref="I6:AB6" si="2">ROUND($A$3*I5/$B$3,2)</f>
        <v>22001</v>
      </c>
      <c r="J6" s="27">
        <f t="shared" si="2"/>
        <v>0</v>
      </c>
      <c r="K6" s="27">
        <f t="shared" si="2"/>
        <v>22001</v>
      </c>
      <c r="L6" s="27">
        <f t="shared" si="2"/>
        <v>0</v>
      </c>
      <c r="M6" s="27">
        <f t="shared" si="2"/>
        <v>5202.3100000000004</v>
      </c>
      <c r="N6" s="27">
        <f t="shared" si="2"/>
        <v>0</v>
      </c>
      <c r="O6" s="27">
        <f t="shared" si="2"/>
        <v>19538.87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68743.19</v>
      </c>
      <c r="AZ6" s="27" t="s">
        <v>3</v>
      </c>
      <c r="BA6" s="27">
        <f>ROUND($AY$6*BA5/$AZ$5,2)</f>
        <v>68743.19</v>
      </c>
      <c r="BB6" s="27">
        <f>ROUND($AY$6*BB5/$AZ$5,2)</f>
        <v>22001</v>
      </c>
      <c r="BC6" s="27">
        <f t="shared" ref="BC6:BH6" si="4">ROUND($AY$6*BC5/$AZ$5,2)</f>
        <v>22001</v>
      </c>
      <c r="BD6" s="27">
        <f t="shared" si="4"/>
        <v>5202.3100000000004</v>
      </c>
      <c r="BE6" s="27">
        <f t="shared" si="4"/>
        <v>19538.87</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5"/>
      <c r="AT8" s="2326"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2992" t="s">
        <v>3009</v>
      </c>
      <c r="J9" s="51"/>
      <c r="K9" s="2992" t="s">
        <v>3009</v>
      </c>
      <c r="L9" s="51"/>
      <c r="M9" s="2992" t="s">
        <v>3010</v>
      </c>
      <c r="N9" s="51"/>
      <c r="O9" s="59" t="s">
        <v>3010</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7"/>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2992" t="s">
        <v>922</v>
      </c>
      <c r="J10" s="51"/>
      <c r="K10" s="2994" t="s">
        <v>2992</v>
      </c>
      <c r="L10" s="51"/>
      <c r="M10" s="2994" t="s">
        <v>3011</v>
      </c>
      <c r="N10" s="51"/>
      <c r="O10" s="66" t="s">
        <v>3012</v>
      </c>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2331</v>
      </c>
      <c r="AK10" s="2331"/>
      <c r="AL10" s="2312" t="s">
        <v>2319</v>
      </c>
      <c r="AM10" s="2313"/>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2" t="s">
        <v>2330</v>
      </c>
      <c r="AE11" s="1001"/>
      <c r="AF11" s="2332" t="s">
        <v>2330</v>
      </c>
      <c r="AG11" s="1001"/>
      <c r="AH11" s="2332" t="s">
        <v>2329</v>
      </c>
      <c r="AI11" s="2333"/>
      <c r="AJ11" s="2332" t="s">
        <v>2329</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c r="B13" s="2987"/>
      <c r="C13" s="2987" t="s">
        <v>3013</v>
      </c>
      <c r="D13" s="2988" t="s">
        <v>1678</v>
      </c>
      <c r="E13" s="27">
        <f t="shared" ref="E13:E20" si="6">IF($C$3="是",ROUND($A$3*G13/$B$3,2),ROUND($A$3*(G13-AT13)/$B$3,2))</f>
        <v>22001</v>
      </c>
      <c r="F13" s="81"/>
      <c r="G13" s="82">
        <f t="shared" ref="G13:G20" si="7">H13+AC13+AT13</f>
        <v>10000</v>
      </c>
      <c r="H13" s="33">
        <f t="shared" ref="H13:H20" si="8">SUMIF(I$12:AB$12,"总值",I13:AB13)</f>
        <v>10000</v>
      </c>
      <c r="I13" s="2991">
        <v>10000</v>
      </c>
      <c r="J13" s="2991"/>
      <c r="K13" s="2991"/>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f t="shared" ref="AV13:AX20" si="10">A13</f>
        <v>0</v>
      </c>
      <c r="AW13" s="17">
        <f t="shared" si="10"/>
        <v>0</v>
      </c>
      <c r="AX13" s="17" t="str">
        <f t="shared" si="10"/>
        <v>住宅</v>
      </c>
      <c r="AY13" s="995">
        <f t="shared" ref="AY13:AY20" si="11">ROUND($AY$6*AZ13/$AZ$5,2)</f>
        <v>22001</v>
      </c>
      <c r="AZ13" s="27">
        <f t="shared" ref="AZ13:AZ20" si="12">BA13+BL13</f>
        <v>10000</v>
      </c>
      <c r="BA13" s="27">
        <f t="shared" ref="BA13:BA20" si="13">SUM(BB13:BK13)</f>
        <v>10000</v>
      </c>
      <c r="BB13" s="27">
        <f t="shared" ref="BB13:BB20" si="14">IF($D13="是",I13-J13,0)</f>
        <v>10000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2987"/>
      <c r="B14" s="2987"/>
      <c r="C14" s="2989" t="s">
        <v>3015</v>
      </c>
      <c r="D14" s="2988" t="s">
        <v>1678</v>
      </c>
      <c r="E14" s="27">
        <f t="shared" si="6"/>
        <v>22001</v>
      </c>
      <c r="F14" s="81"/>
      <c r="G14" s="82">
        <f t="shared" si="7"/>
        <v>10000</v>
      </c>
      <c r="H14" s="33">
        <f t="shared" si="8"/>
        <v>10000</v>
      </c>
      <c r="I14" s="2991"/>
      <c r="J14" s="2991"/>
      <c r="K14" s="2991">
        <v>10000</v>
      </c>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t="str">
        <f t="shared" si="10"/>
        <v>商业（配套）</v>
      </c>
      <c r="AY14" s="995">
        <f t="shared" si="11"/>
        <v>22001</v>
      </c>
      <c r="AZ14" s="27">
        <f t="shared" si="12"/>
        <v>10000</v>
      </c>
      <c r="BA14" s="27">
        <f t="shared" si="13"/>
        <v>10000</v>
      </c>
      <c r="BB14" s="27">
        <f t="shared" si="14"/>
        <v>0</v>
      </c>
      <c r="BC14" s="27">
        <f t="shared" si="15"/>
        <v>10000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t="s">
        <v>3017</v>
      </c>
      <c r="D15" s="2988" t="s">
        <v>1678</v>
      </c>
      <c r="E15" s="27">
        <f t="shared" si="6"/>
        <v>5202.3100000000004</v>
      </c>
      <c r="F15" s="81"/>
      <c r="G15" s="82">
        <f t="shared" si="7"/>
        <v>2364.58</v>
      </c>
      <c r="H15" s="33">
        <f t="shared" si="8"/>
        <v>2364.58</v>
      </c>
      <c r="I15" s="2991"/>
      <c r="J15" s="2991"/>
      <c r="K15" s="2991"/>
      <c r="L15" s="2991"/>
      <c r="M15" s="2991">
        <v>2364.58</v>
      </c>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t="str">
        <f t="shared" si="10"/>
        <v>地下仓储</v>
      </c>
      <c r="AY15" s="995">
        <f t="shared" si="11"/>
        <v>5202.3100000000004</v>
      </c>
      <c r="AZ15" s="27">
        <f t="shared" si="12"/>
        <v>2364.58</v>
      </c>
      <c r="BA15" s="27">
        <f t="shared" si="13"/>
        <v>2364.58</v>
      </c>
      <c r="BB15" s="27">
        <f t="shared" si="14"/>
        <v>0</v>
      </c>
      <c r="BC15" s="27">
        <f t="shared" si="15"/>
        <v>0</v>
      </c>
      <c r="BD15" s="27">
        <f t="shared" si="16"/>
        <v>2364.58</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t="s">
        <v>3018</v>
      </c>
      <c r="D16" s="2988" t="s">
        <v>1678</v>
      </c>
      <c r="E16" s="27">
        <f t="shared" si="6"/>
        <v>19538.87</v>
      </c>
      <c r="F16" s="81"/>
      <c r="G16" s="82">
        <f t="shared" si="7"/>
        <v>8880.9</v>
      </c>
      <c r="H16" s="33">
        <f t="shared" si="8"/>
        <v>8880.9</v>
      </c>
      <c r="I16" s="2991"/>
      <c r="J16" s="2991"/>
      <c r="K16" s="2991"/>
      <c r="L16" s="2991"/>
      <c r="M16" s="2991"/>
      <c r="N16" s="83"/>
      <c r="O16" s="83">
        <v>8880.9</v>
      </c>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t="str">
        <f t="shared" si="10"/>
        <v>地下车库</v>
      </c>
      <c r="AY16" s="995">
        <f t="shared" si="11"/>
        <v>19538.87</v>
      </c>
      <c r="AZ16" s="27">
        <f t="shared" si="12"/>
        <v>8880.9</v>
      </c>
      <c r="BA16" s="27">
        <f t="shared" si="13"/>
        <v>8880.9</v>
      </c>
      <c r="BB16" s="27">
        <f t="shared" si="14"/>
        <v>0</v>
      </c>
      <c r="BC16" s="27">
        <f t="shared" si="15"/>
        <v>0</v>
      </c>
      <c r="BD16" s="27">
        <f t="shared" si="16"/>
        <v>0</v>
      </c>
      <c r="BE16" s="27">
        <f t="shared" si="17"/>
        <v>8880.9</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IF($D22="是",#REF!-M22,0)</f>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AA9 Y9 W9 U9 S9 Q9 O9 M9 K9">
      <formula1>位置</formula1>
    </dataValidation>
    <dataValidation type="list" allowBlank="1" showErrorMessage="1" sqref="I10 AA10 Y10 W10 U10 S10 Q10 O10 M10 K10">
      <formula1>主用途</formula1>
    </dataValidation>
    <dataValidation type="list" allowBlank="1" showInputMessage="1" showErrorMessage="1" sqref="I11 AA11 Y11 W11 U11 S11 Q11 O11 M11 K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3" t="s">
        <v>0</v>
      </c>
      <c r="B1" s="3313" t="s">
        <v>4</v>
      </c>
      <c r="C1" s="3313" t="s">
        <v>5</v>
      </c>
      <c r="D1" s="3314" t="s">
        <v>40</v>
      </c>
      <c r="E1" s="3314" t="s">
        <v>41</v>
      </c>
      <c r="F1" s="3314"/>
      <c r="G1" s="3314"/>
      <c r="H1" s="3314"/>
      <c r="I1" s="3314"/>
      <c r="J1" s="3314"/>
      <c r="K1" s="3314"/>
      <c r="L1" s="3314"/>
      <c r="M1" s="3314"/>
    </row>
    <row r="2" spans="1:13" ht="27" customHeight="1">
      <c r="A2" s="3313"/>
      <c r="B2" s="3313"/>
      <c r="C2" s="3313"/>
      <c r="D2" s="3314"/>
      <c r="E2" s="3314" t="s">
        <v>24</v>
      </c>
      <c r="F2" s="3314" t="s">
        <v>25</v>
      </c>
      <c r="G2" s="3314"/>
      <c r="H2" s="3314"/>
      <c r="I2" s="3314"/>
      <c r="J2" s="3314" t="s">
        <v>26</v>
      </c>
      <c r="K2" s="3314"/>
      <c r="L2" s="3314"/>
      <c r="M2" s="3314"/>
    </row>
    <row r="3" spans="1:13" ht="28.5">
      <c r="A3" s="3313"/>
      <c r="B3" s="3313"/>
      <c r="C3" s="3313"/>
      <c r="D3" s="3314"/>
      <c r="E3" s="331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4" t="s">
        <v>42</v>
      </c>
      <c r="B9" s="3314"/>
      <c r="C9" s="331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topLeftCell="C1" zoomScale="90" zoomScaleNormal="90" zoomScaleSheetLayoutView="90" workbookViewId="0">
      <selection activeCell="I12" sqref="I12"/>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201</v>
      </c>
      <c r="B1" s="1982"/>
      <c r="C1" s="1982"/>
      <c r="D1" s="1982"/>
      <c r="E1" s="1982"/>
      <c r="F1" s="1982"/>
      <c r="G1" s="1982"/>
      <c r="H1" s="1982"/>
      <c r="I1" s="1982"/>
      <c r="J1" s="1982"/>
      <c r="K1" s="1982"/>
      <c r="L1" s="1982"/>
    </row>
    <row r="2" spans="1:16" ht="15">
      <c r="A2" s="3324" t="s">
        <v>202</v>
      </c>
      <c r="B2" s="3324"/>
      <c r="C2" s="3324"/>
      <c r="D2" s="1973" t="s">
        <v>203</v>
      </c>
      <c r="E2" s="106" t="s">
        <v>204</v>
      </c>
      <c r="F2" s="1982"/>
      <c r="G2" s="1197"/>
      <c r="H2" s="1198"/>
      <c r="I2" s="1199" t="s">
        <v>856</v>
      </c>
      <c r="J2" s="1982"/>
      <c r="K2" s="1982"/>
      <c r="L2" s="1982"/>
    </row>
    <row r="3" spans="1:16" ht="15.75" thickBot="1">
      <c r="A3" s="3325" t="s">
        <v>205</v>
      </c>
      <c r="B3" s="3325"/>
      <c r="C3" s="3325"/>
      <c r="D3" s="107">
        <f>'数据-基础表'!AY6</f>
        <v>68743.19</v>
      </c>
      <c r="E3" s="107">
        <f>'数据-基础表'!AZ5</f>
        <v>31245.480000000003</v>
      </c>
      <c r="F3" s="1982"/>
      <c r="G3" s="280" t="s">
        <v>857</v>
      </c>
      <c r="H3" s="275" t="s">
        <v>858</v>
      </c>
      <c r="I3" s="1974">
        <f>ROUND('数据-基础表'!B3/'数据-基础表'!A3,2)</f>
        <v>0.45</v>
      </c>
      <c r="J3" s="1982"/>
      <c r="K3" s="1982"/>
      <c r="L3" s="1982"/>
    </row>
    <row r="4" spans="1:16" ht="15">
      <c r="A4" s="3326"/>
      <c r="B4" s="3327"/>
      <c r="C4" s="3328"/>
      <c r="D4" s="108" t="s">
        <v>203</v>
      </c>
      <c r="E4" s="109" t="s">
        <v>204</v>
      </c>
      <c r="F4" s="1982"/>
      <c r="G4" s="1200"/>
      <c r="H4" s="275" t="s">
        <v>859</v>
      </c>
      <c r="I4" s="1974">
        <f>ROUND(SUMIF('数据-基础表'!I9:AS9,"地上",'数据-基础表'!I5:AS5)/'数据-基础表'!A3,2)</f>
        <v>0.28999999999999998</v>
      </c>
      <c r="J4" s="1982"/>
      <c r="K4" s="1982"/>
      <c r="L4" s="1982"/>
    </row>
    <row r="5" spans="1:16">
      <c r="A5" s="110" t="s">
        <v>206</v>
      </c>
      <c r="B5" s="3329" t="s">
        <v>229</v>
      </c>
      <c r="C5" s="3329"/>
      <c r="D5" s="111">
        <f>ROUND($D$3*E5/$E$3,2)</f>
        <v>22001</v>
      </c>
      <c r="E5" s="112">
        <f>SUMIF('数据-基础表'!$11:$11,"住宅",'数据-基础表'!$5:$5)</f>
        <v>10000</v>
      </c>
      <c r="F5" s="1982"/>
      <c r="G5" s="280" t="s">
        <v>860</v>
      </c>
      <c r="H5" s="275" t="s">
        <v>858</v>
      </c>
      <c r="I5" s="1974">
        <f>ROUND(E31/D31,2)</f>
        <v>0.45</v>
      </c>
      <c r="J5" s="1982"/>
      <c r="K5" s="1982"/>
      <c r="L5" s="1982"/>
    </row>
    <row r="6" spans="1:16" ht="15" thickBot="1">
      <c r="A6" s="113"/>
      <c r="B6" s="3329" t="s">
        <v>207</v>
      </c>
      <c r="C6" s="3329"/>
      <c r="D6" s="111">
        <f>ROUND($D$3*E6/$E$3,2)</f>
        <v>46742.19</v>
      </c>
      <c r="E6" s="112">
        <f>E3-E5</f>
        <v>21245.480000000003</v>
      </c>
      <c r="F6" s="1982"/>
      <c r="G6" s="1200"/>
      <c r="H6" s="275" t="s">
        <v>859</v>
      </c>
      <c r="I6" s="1974">
        <f>ROUND(F31/D31,2)</f>
        <v>0.28999999999999998</v>
      </c>
      <c r="J6" s="1982"/>
      <c r="K6" s="1982"/>
      <c r="L6" s="1982"/>
    </row>
    <row r="7" spans="1:16" ht="15">
      <c r="A7" s="3321"/>
      <c r="B7" s="3322"/>
      <c r="C7" s="3323"/>
      <c r="D7" s="108" t="s">
        <v>203</v>
      </c>
      <c r="E7" s="114" t="s">
        <v>230</v>
      </c>
      <c r="F7" s="1982"/>
      <c r="G7" s="1155" t="s">
        <v>1645</v>
      </c>
      <c r="H7" s="1156"/>
      <c r="I7" s="1844">
        <v>1.44</v>
      </c>
      <c r="J7" s="1982"/>
      <c r="K7" s="1982"/>
      <c r="L7" s="1982"/>
    </row>
    <row r="8" spans="1:16">
      <c r="A8" s="110" t="s">
        <v>208</v>
      </c>
      <c r="B8" s="115" t="s">
        <v>209</v>
      </c>
      <c r="C8" s="111" t="s">
        <v>210</v>
      </c>
      <c r="D8" s="111">
        <f t="shared" ref="D8:D15" si="0">ROUND($D$3*E8/$E$3,2)</f>
        <v>44002.01</v>
      </c>
      <c r="E8" s="116">
        <f>SUMIF('数据-基础表'!BB10:BK10,"地上",'数据-基础表'!BB5:BK5)</f>
        <v>20000</v>
      </c>
      <c r="F8" s="1982"/>
      <c r="G8" s="1984"/>
      <c r="H8" s="1984"/>
      <c r="I8" s="1982"/>
      <c r="J8" s="1982"/>
      <c r="K8" s="1982"/>
      <c r="L8" s="1982"/>
    </row>
    <row r="9" spans="1:16">
      <c r="A9" s="117"/>
      <c r="B9" s="118"/>
      <c r="C9" s="111" t="s">
        <v>211</v>
      </c>
      <c r="D9" s="111">
        <f t="shared" si="0"/>
        <v>0</v>
      </c>
      <c r="E9" s="119">
        <v>0</v>
      </c>
      <c r="F9" s="1982"/>
      <c r="G9" s="1984"/>
      <c r="H9" s="1984"/>
      <c r="I9" s="1982"/>
      <c r="J9" s="1982"/>
      <c r="K9" s="1982"/>
      <c r="L9" s="1982"/>
    </row>
    <row r="10" spans="1:16">
      <c r="A10" s="117"/>
      <c r="B10" s="118"/>
      <c r="C10" s="111" t="s">
        <v>212</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213</v>
      </c>
      <c r="D12" s="111">
        <f t="shared" si="0"/>
        <v>5202.3100000000004</v>
      </c>
      <c r="E12" s="116">
        <f>SUMPRODUCT(('数据-基础表'!BB10:BK10="地下")*('数据-基础表'!BB11:BK11="仓储")*('数据-基础表'!BB5:BK5))</f>
        <v>2364.58</v>
      </c>
      <c r="F12" s="1982"/>
      <c r="G12" s="1984"/>
      <c r="H12" s="1984"/>
      <c r="I12" s="1982"/>
      <c r="J12" s="1982"/>
      <c r="K12" s="1982"/>
      <c r="L12" s="1982"/>
    </row>
    <row r="13" spans="1:16">
      <c r="A13" s="117"/>
      <c r="B13" s="118"/>
      <c r="C13" s="2329" t="s">
        <v>2334</v>
      </c>
      <c r="D13" s="111">
        <f t="shared" si="0"/>
        <v>19538.87</v>
      </c>
      <c r="E13" s="116">
        <f>SUMPRODUCT(('数据-基础表'!BB10:BK10="地下")*('数据-基础表'!BB11:BK11="车库")*('数据-基础表'!BB5:BK5))</f>
        <v>8880.9</v>
      </c>
      <c r="F13" s="1982"/>
      <c r="G13" s="1984"/>
      <c r="H13" s="1984"/>
      <c r="I13" s="1982"/>
      <c r="J13" s="1982"/>
      <c r="K13" s="1982"/>
      <c r="L13" s="1982"/>
    </row>
    <row r="14" spans="1:16">
      <c r="A14" s="117"/>
      <c r="B14" s="118"/>
      <c r="C14" s="111" t="s">
        <v>231</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232</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214</v>
      </c>
      <c r="D16" s="115">
        <f>SUM(D8:D15)</f>
        <v>68743.19</v>
      </c>
      <c r="E16" s="120">
        <f>SUM(E8:E15)</f>
        <v>31245.480000000003</v>
      </c>
      <c r="F16" s="1982"/>
      <c r="G16" s="1984"/>
      <c r="H16" s="967" t="s">
        <v>218</v>
      </c>
      <c r="I16" s="968"/>
      <c r="J16" s="1982"/>
      <c r="K16" s="3315" t="s">
        <v>2566</v>
      </c>
      <c r="L16" s="3316"/>
      <c r="M16" s="3316"/>
      <c r="N16" s="3316"/>
      <c r="O16" s="3316"/>
      <c r="P16" s="3317"/>
    </row>
    <row r="17" spans="1:19" ht="15">
      <c r="A17" s="121" t="s">
        <v>215</v>
      </c>
      <c r="B17" s="122" t="s">
        <v>216</v>
      </c>
      <c r="C17" s="2296" t="s">
        <v>2313</v>
      </c>
      <c r="D17" s="108" t="s">
        <v>203</v>
      </c>
      <c r="E17" s="124" t="s">
        <v>204</v>
      </c>
      <c r="F17" s="125"/>
      <c r="G17" s="1364"/>
      <c r="H17" s="969" t="s">
        <v>217</v>
      </c>
      <c r="I17" s="970" t="s">
        <v>2312</v>
      </c>
      <c r="J17" s="1982"/>
      <c r="K17" s="3318" t="s">
        <v>2567</v>
      </c>
      <c r="L17" s="3319"/>
      <c r="M17" s="3320"/>
      <c r="N17" s="3318" t="s">
        <v>2568</v>
      </c>
      <c r="O17" s="3319"/>
      <c r="P17" s="3320"/>
      <c r="R17" s="2297" t="s">
        <v>2311</v>
      </c>
      <c r="S17" s="144"/>
    </row>
    <row r="18" spans="1:19" ht="15">
      <c r="A18" s="117"/>
      <c r="B18" s="128"/>
      <c r="C18" s="129"/>
      <c r="D18" s="2619"/>
      <c r="E18" s="130" t="s">
        <v>219</v>
      </c>
      <c r="F18" s="131" t="s">
        <v>220</v>
      </c>
      <c r="G18" s="1365" t="s">
        <v>221</v>
      </c>
      <c r="H18" s="971" t="s">
        <v>222</v>
      </c>
      <c r="I18" s="972" t="s">
        <v>223</v>
      </c>
      <c r="J18" s="1982"/>
      <c r="K18" s="2582" t="s">
        <v>2569</v>
      </c>
      <c r="L18" s="2583" t="s">
        <v>2570</v>
      </c>
      <c r="M18" s="2584" t="s">
        <v>2571</v>
      </c>
      <c r="N18" s="2582" t="s">
        <v>2569</v>
      </c>
      <c r="O18" s="2583" t="s">
        <v>2570</v>
      </c>
      <c r="P18" s="2584" t="s">
        <v>2571</v>
      </c>
      <c r="R18" s="2298" t="s">
        <v>2309</v>
      </c>
      <c r="S18" s="2298" t="s">
        <v>2310</v>
      </c>
    </row>
    <row r="19" spans="1:19">
      <c r="A19" s="133"/>
      <c r="B19" s="115" t="s">
        <v>224</v>
      </c>
      <c r="C19" s="2998" t="s">
        <v>3019</v>
      </c>
      <c r="D19" s="111">
        <f t="shared" ref="D19:D26" si="1">ROUND($D$3*E19/$E$3,2)</f>
        <v>22001</v>
      </c>
      <c r="E19" s="134">
        <f t="shared" ref="E19:E26" si="2">SUM(F19:G19)</f>
        <v>10000</v>
      </c>
      <c r="F19" s="135">
        <v>10000</v>
      </c>
      <c r="G19" s="1366"/>
      <c r="H19" s="973">
        <f>ROUND($D$3*I19/$E$3,2)</f>
        <v>0</v>
      </c>
      <c r="I19" s="116">
        <f>IF($I$17="自定义",P19,M19)</f>
        <v>0</v>
      </c>
      <c r="J19" s="1982"/>
      <c r="K19" s="2585">
        <f t="shared" ref="K19:K26" si="3">ROUND(E$28*E19/E$27,2)</f>
        <v>0</v>
      </c>
      <c r="L19" s="275">
        <f t="shared" ref="L19:L26" si="4">ROUND(IF(COUNTIF(C19,"*住宅*")&gt;0,E$29*E19/E$32,0),2)</f>
        <v>0</v>
      </c>
      <c r="M19" s="2586">
        <f>K19+L19</f>
        <v>0</v>
      </c>
      <c r="N19" s="2587"/>
      <c r="O19" s="2588"/>
      <c r="P19" s="2589">
        <f>N19+O19</f>
        <v>0</v>
      </c>
      <c r="R19" s="275">
        <f t="shared" ref="R19:S26" si="5">D19+H19</f>
        <v>22001</v>
      </c>
      <c r="S19" s="2299">
        <f t="shared" si="5"/>
        <v>10000</v>
      </c>
    </row>
    <row r="20" spans="1:19">
      <c r="A20" s="138"/>
      <c r="B20" s="115" t="s">
        <v>225</v>
      </c>
      <c r="C20" s="2998" t="s">
        <v>3020</v>
      </c>
      <c r="D20" s="111">
        <f t="shared" si="1"/>
        <v>22001</v>
      </c>
      <c r="E20" s="134">
        <f t="shared" si="2"/>
        <v>10000</v>
      </c>
      <c r="F20" s="135">
        <v>10000</v>
      </c>
      <c r="G20" s="1366"/>
      <c r="H20" s="973">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22001</v>
      </c>
      <c r="S20" s="2299">
        <f t="shared" si="5"/>
        <v>10000</v>
      </c>
    </row>
    <row r="21" spans="1:19">
      <c r="A21" s="138"/>
      <c r="B21" s="115" t="s">
        <v>225</v>
      </c>
      <c r="C21" s="2998" t="s">
        <v>3021</v>
      </c>
      <c r="D21" s="111">
        <f t="shared" si="1"/>
        <v>5202.3100000000004</v>
      </c>
      <c r="E21" s="134">
        <f t="shared" si="2"/>
        <v>2364.58</v>
      </c>
      <c r="F21" s="135"/>
      <c r="G21" s="1366">
        <f>'数据-基础表'!M15</f>
        <v>2364.58</v>
      </c>
      <c r="H21" s="973">
        <f t="shared" si="6"/>
        <v>0</v>
      </c>
      <c r="I21" s="116">
        <f t="shared" si="7"/>
        <v>0</v>
      </c>
      <c r="J21" s="1982"/>
      <c r="K21" s="2585">
        <f t="shared" si="3"/>
        <v>0</v>
      </c>
      <c r="L21" s="275">
        <f t="shared" si="4"/>
        <v>0</v>
      </c>
      <c r="M21" s="2586">
        <f t="shared" si="8"/>
        <v>0</v>
      </c>
      <c r="N21" s="2587"/>
      <c r="O21" s="2588"/>
      <c r="P21" s="2589">
        <f t="shared" si="9"/>
        <v>0</v>
      </c>
      <c r="R21" s="275">
        <f t="shared" si="5"/>
        <v>5202.3100000000004</v>
      </c>
      <c r="S21" s="2299">
        <f t="shared" si="5"/>
        <v>2364.58</v>
      </c>
    </row>
    <row r="22" spans="1:19">
      <c r="A22" s="138"/>
      <c r="B22" s="115" t="s">
        <v>225</v>
      </c>
      <c r="C22" s="3193" t="s">
        <v>3022</v>
      </c>
      <c r="D22" s="111">
        <f t="shared" si="1"/>
        <v>19538.87</v>
      </c>
      <c r="E22" s="134">
        <f t="shared" si="2"/>
        <v>8880.9</v>
      </c>
      <c r="F22" s="140"/>
      <c r="G22" s="1367">
        <f>'数据-基础表'!O16</f>
        <v>8880.9</v>
      </c>
      <c r="H22" s="973">
        <f t="shared" si="6"/>
        <v>0</v>
      </c>
      <c r="I22" s="116">
        <f t="shared" si="7"/>
        <v>0</v>
      </c>
      <c r="J22" s="1982"/>
      <c r="K22" s="2585">
        <f t="shared" si="3"/>
        <v>0</v>
      </c>
      <c r="L22" s="275">
        <f t="shared" si="4"/>
        <v>0</v>
      </c>
      <c r="M22" s="2586">
        <f t="shared" si="8"/>
        <v>0</v>
      </c>
      <c r="N22" s="2587"/>
      <c r="O22" s="2588"/>
      <c r="P22" s="2589">
        <f t="shared" si="9"/>
        <v>0</v>
      </c>
      <c r="R22" s="275">
        <f t="shared" si="5"/>
        <v>19538.87</v>
      </c>
      <c r="S22" s="2299">
        <f t="shared" si="5"/>
        <v>8880.9</v>
      </c>
    </row>
    <row r="23" spans="1:19">
      <c r="A23" s="138"/>
      <c r="B23" s="115" t="s">
        <v>225</v>
      </c>
      <c r="C23" s="139"/>
      <c r="D23" s="111">
        <f>ROUND($D$3*E23/$E$3,2)</f>
        <v>0</v>
      </c>
      <c r="E23" s="134">
        <f>SUM(F23:G23)</f>
        <v>0</v>
      </c>
      <c r="F23" s="140"/>
      <c r="G23" s="1367"/>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225</v>
      </c>
      <c r="C24" s="139"/>
      <c r="D24" s="111">
        <f>ROUND($D$3*E24/$E$3,2)</f>
        <v>0</v>
      </c>
      <c r="E24" s="134">
        <f>SUM(F24:G24)</f>
        <v>0</v>
      </c>
      <c r="F24" s="140"/>
      <c r="G24" s="1367"/>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225</v>
      </c>
      <c r="C25" s="139"/>
      <c r="D25" s="111">
        <f t="shared" si="1"/>
        <v>0</v>
      </c>
      <c r="E25" s="134">
        <f t="shared" si="2"/>
        <v>0</v>
      </c>
      <c r="F25" s="140"/>
      <c r="G25" s="1367"/>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225</v>
      </c>
      <c r="C26" s="142"/>
      <c r="D26" s="111">
        <f t="shared" si="1"/>
        <v>0</v>
      </c>
      <c r="E26" s="134">
        <f t="shared" si="2"/>
        <v>0</v>
      </c>
      <c r="F26" s="140"/>
      <c r="G26" s="1367"/>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29.25" thickBot="1">
      <c r="A27" s="138"/>
      <c r="B27" s="111"/>
      <c r="C27" s="127" t="s">
        <v>214</v>
      </c>
      <c r="D27" s="134">
        <f>SUM(D19:D26)</f>
        <v>68743.179999999993</v>
      </c>
      <c r="E27" s="143">
        <f>IF(SUM(E19:E26)='数据-基础表'!BA5,SUM(E19:E26),IF(F27="地上面积有误","面积有误","地下面积有误"))</f>
        <v>31245.480000000003</v>
      </c>
      <c r="F27" s="134">
        <f>IF(SUM(F19:F26)=E8,SUM(F19:F26),"地上面积有误")</f>
        <v>20000</v>
      </c>
      <c r="G27" s="112">
        <f>SUM(G19:G26)</f>
        <v>11245.48</v>
      </c>
      <c r="H27" s="974">
        <f>SUM(H19:H26)</f>
        <v>0</v>
      </c>
      <c r="I27" s="975">
        <f>SUM(I19:I26)</f>
        <v>0</v>
      </c>
      <c r="J27" s="1982"/>
      <c r="K27" s="2594">
        <f>SUM(K19:K26)</f>
        <v>0</v>
      </c>
      <c r="L27" s="2595">
        <f>SUM(L19:L26)</f>
        <v>0</v>
      </c>
      <c r="M27" s="2596">
        <f>SUM(M19:M26)</f>
        <v>0</v>
      </c>
      <c r="N27" s="2594">
        <f t="shared" ref="N27:O27" si="10">SUM(N19:N26)</f>
        <v>0</v>
      </c>
      <c r="O27" s="2595">
        <f t="shared" si="10"/>
        <v>0</v>
      </c>
      <c r="P27" s="2597">
        <f>SUM(P19:P26)</f>
        <v>0</v>
      </c>
      <c r="R27" s="2303" t="str">
        <f>IF(SUM(R19:R26)=$D$3,SUM(R19:R26),SUM(R19:R26)&amp;"误差"&amp;ROUND(SUM(R19:R26)-$D$3,2))</f>
        <v>68743.18误差-0.01</v>
      </c>
      <c r="S27" s="275">
        <f>IF(SUM(S19:S26)=$E$3,SUM(S19:S26),SUM(S19:S26)&amp;"误差"&amp;ROUND(SUM(S19:S26)-E3,2))</f>
        <v>31245.480000000003</v>
      </c>
    </row>
    <row r="28" spans="1:19">
      <c r="A28" s="138"/>
      <c r="B28" s="115" t="s">
        <v>226</v>
      </c>
      <c r="C28" s="136" t="s">
        <v>227</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226</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214</v>
      </c>
      <c r="D30" s="134">
        <f>SUM(D28:D29)</f>
        <v>0</v>
      </c>
      <c r="E30" s="134">
        <f>SUM(E28:E29)</f>
        <v>0</v>
      </c>
      <c r="F30" s="134">
        <f>SUM(F28:F29)</f>
        <v>0</v>
      </c>
      <c r="G30" s="112">
        <f>SUM(G28:G29)</f>
        <v>0</v>
      </c>
      <c r="H30" s="1982"/>
      <c r="I30" s="1982"/>
      <c r="J30" s="1982"/>
      <c r="K30" s="1982"/>
      <c r="L30" s="1982"/>
    </row>
    <row r="31" spans="1:19" ht="32.25" customHeight="1" thickBot="1">
      <c r="A31" s="1368"/>
      <c r="B31" s="1369" t="s">
        <v>228</v>
      </c>
      <c r="C31" s="2328" t="s">
        <v>2322</v>
      </c>
      <c r="D31" s="1370">
        <f>D27+D30</f>
        <v>68743.179999999993</v>
      </c>
      <c r="E31" s="1370">
        <f>E27+E30</f>
        <v>31245.480000000003</v>
      </c>
      <c r="F31" s="1371">
        <f>F27+F30</f>
        <v>20000</v>
      </c>
      <c r="G31" s="1372">
        <f>G27+G30</f>
        <v>11245.48</v>
      </c>
      <c r="H31" s="1982"/>
      <c r="I31" s="1982"/>
      <c r="J31" s="1982"/>
      <c r="K31" s="1982"/>
      <c r="L31" s="1982"/>
    </row>
    <row r="32" spans="1:19">
      <c r="A32" s="1982"/>
      <c r="B32" s="2340" t="s">
        <v>2321</v>
      </c>
      <c r="C32" s="2624"/>
      <c r="D32" s="1200"/>
      <c r="E32" s="1200">
        <f>SUMIF(C19:C26,"*住宅*",E19:E26)</f>
        <v>10000</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37" sqref="B3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0" width="9.125" style="1996" customWidth="1"/>
    <col min="41" max="41" width="13.75" style="1996"/>
    <col min="42" max="42" width="0" style="1996" hidden="1" customWidth="1"/>
    <col min="43" max="83" width="13.75" style="1996"/>
    <col min="84" max="16384" width="13.75" style="1202"/>
  </cols>
  <sheetData>
    <row r="1" spans="1:83" ht="19.5" thickBot="1">
      <c r="A1" s="148" t="s">
        <v>233</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234</v>
      </c>
      <c r="B2" s="2336">
        <f>项目基本情况!D3</f>
        <v>43528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2827</v>
      </c>
      <c r="O5" s="163" t="s">
        <v>245</v>
      </c>
      <c r="P5" s="165" t="s">
        <v>246</v>
      </c>
      <c r="Q5" s="166" t="s">
        <v>247</v>
      </c>
      <c r="R5" s="167" t="s">
        <v>248</v>
      </c>
      <c r="S5" s="2598" t="s">
        <v>2572</v>
      </c>
      <c r="T5" s="168" t="s">
        <v>249</v>
      </c>
      <c r="U5" s="169" t="s">
        <v>250</v>
      </c>
      <c r="V5" s="159" t="s">
        <v>251</v>
      </c>
      <c r="W5" s="159" t="s">
        <v>252</v>
      </c>
      <c r="X5" s="1816"/>
      <c r="Y5" s="170" t="s">
        <v>253</v>
      </c>
      <c r="Z5" s="171" t="s">
        <v>254</v>
      </c>
      <c r="AA5" s="159" t="s">
        <v>251</v>
      </c>
      <c r="AB5" s="159" t="s">
        <v>252</v>
      </c>
      <c r="AC5" s="1817"/>
      <c r="AD5" s="172" t="s">
        <v>253</v>
      </c>
      <c r="AE5" s="1" t="s">
        <v>869</v>
      </c>
      <c r="AF5" s="159" t="s">
        <v>255</v>
      </c>
      <c r="AG5" s="170" t="s">
        <v>256</v>
      </c>
      <c r="AH5" s="1817" t="s">
        <v>2323</v>
      </c>
      <c r="AI5" s="171" t="s">
        <v>2292</v>
      </c>
      <c r="AJ5" s="171" t="s">
        <v>257</v>
      </c>
      <c r="AK5" s="159" t="s">
        <v>258</v>
      </c>
      <c r="AL5" s="159" t="s">
        <v>259</v>
      </c>
      <c r="AM5" s="172" t="s">
        <v>260</v>
      </c>
      <c r="AN5" s="2368" t="s">
        <v>2373</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922</v>
      </c>
      <c r="D6" s="2306">
        <f>SUMIF(项目基本情况!D$15:I$15,C6,项目基本情况!D$18:I$18)</f>
        <v>70</v>
      </c>
      <c r="E6" s="2307">
        <f>IF(B6="","",SUMIF(项目基本情况!D$15:I$15,C6,项目基本情况!D$17:I$17))</f>
        <v>63619</v>
      </c>
      <c r="F6" s="174">
        <f>SUMIF(项目基本情况!D$15:I$15,C6,项目基本情况!D$19:I$19)</f>
        <v>55.04</v>
      </c>
      <c r="G6" s="175">
        <f>IF(ISERROR(ROUND(POWER(1+H6,D6-F6)*(POWER(1+H6,F6)-1)/(POWER(1+H6,D6)-1),3)),0,ROUND(POWER(1+H6,D6-F6)*(POWER(1+H6,F6)-1)/(POWER(1+H6,D6)-1),3))</f>
        <v>0.94499999999999995</v>
      </c>
      <c r="H6" s="2999">
        <v>0.04</v>
      </c>
      <c r="I6" s="2999">
        <v>4.4999999999999998E-2</v>
      </c>
      <c r="J6" s="176">
        <v>0.06</v>
      </c>
      <c r="K6" s="179">
        <f>SUMIF('数据-汇总表'!C$19:C$33,'数据-取费表'!A6,'数据-汇总表'!E$19:E$33)</f>
        <v>10000</v>
      </c>
      <c r="L6" s="3000">
        <v>2600</v>
      </c>
      <c r="M6" s="177">
        <f t="shared" ref="M6:M14" si="0">ROUND(K6*L6/10000,0)</f>
        <v>2600</v>
      </c>
      <c r="N6" s="3001">
        <v>0</v>
      </c>
      <c r="O6" s="177">
        <f>IF($N$5="成新度","——",ROUND(M6*N6,0))</f>
        <v>0</v>
      </c>
      <c r="P6" s="178">
        <f>IF($N$5="成新度","——",M6-O6)</f>
        <v>2600</v>
      </c>
      <c r="Q6" s="3002">
        <v>0.2</v>
      </c>
      <c r="R6" s="179">
        <f>SUMIF('数据-汇总表'!C$19:C$33,A6,'数据-汇总表'!R$19:R$33)</f>
        <v>22001</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3"/>
      <c r="AN6" s="2369"/>
      <c r="AO6" s="1998"/>
      <c r="AP6" s="1203">
        <f>ROUND(1-1/(1+H6)^F6,3)</f>
        <v>0.88500000000000001</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商业（配套）</v>
      </c>
      <c r="B7" s="2335" t="str">
        <f t="shared" ref="B7:B13" si="1">IF(A7=0,"","经营性")</f>
        <v>经营性</v>
      </c>
      <c r="C7" s="173" t="s">
        <v>2992</v>
      </c>
      <c r="D7" s="2306">
        <f>SUMIF(项目基本情况!D$15:I$15,C7,项目基本情况!D$18:I$18)</f>
        <v>40</v>
      </c>
      <c r="E7" s="2307">
        <f>IF(B7="","",SUMIF(项目基本情况!D$15:I$15,C7,项目基本情况!D$17:I$17))</f>
        <v>52662</v>
      </c>
      <c r="F7" s="174">
        <f>SUMIF(项目基本情况!D$15:I$15,C7,项目基本情况!D$19:I$19)</f>
        <v>25.02</v>
      </c>
      <c r="G7" s="175">
        <f t="shared" ref="G7:G11" si="2">IF(ISERROR(ROUND(POWER(1+H7,D7-F7)*(POWER(1+H7,F7)-1)/(POWER(1+H7,D7)-1),3)),0,ROUND(POWER(1+H7,D7-F7)*(POWER(1+H7,F7)-1)/(POWER(1+H7,D7)-1),3))</f>
        <v>0.80600000000000005</v>
      </c>
      <c r="H7" s="2999">
        <v>4.4999999999999998E-2</v>
      </c>
      <c r="I7" s="2999">
        <v>0.05</v>
      </c>
      <c r="J7" s="176">
        <v>7.0000000000000007E-2</v>
      </c>
      <c r="K7" s="179">
        <f>SUMIF('数据-汇总表'!C$19:C$33,'数据-取费表'!A7,'数据-汇总表'!E$19:E$33)</f>
        <v>10000</v>
      </c>
      <c r="L7" s="3000">
        <v>2800</v>
      </c>
      <c r="M7" s="177">
        <f t="shared" si="0"/>
        <v>2800</v>
      </c>
      <c r="N7" s="3001">
        <v>0</v>
      </c>
      <c r="O7" s="177">
        <f t="shared" ref="O7:O14" si="3">IF($N$5="成新度","——",ROUND(M7*N7,0))</f>
        <v>0</v>
      </c>
      <c r="P7" s="178">
        <f t="shared" ref="P7:P14" si="4">IF($N$5="成新度","——",M7-O7)</f>
        <v>2800</v>
      </c>
      <c r="Q7" s="3002">
        <v>0.2</v>
      </c>
      <c r="R7" s="179">
        <f>SUMIF('数据-汇总表'!C$19:C$33,A7,'数据-汇总表'!R$19:R$33)</f>
        <v>22001</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c r="AJ7" s="188"/>
      <c r="AK7" s="189"/>
      <c r="AL7" s="190"/>
      <c r="AM7" s="2367"/>
      <c r="AN7" s="2369"/>
      <c r="AO7" s="1998"/>
      <c r="AP7" s="1203">
        <f t="shared" ref="AP7:AP13" si="8">ROUND(1-1/(1+H7)^F7,3)</f>
        <v>0.66800000000000004</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地下仓储</v>
      </c>
      <c r="B8" s="2335" t="str">
        <f t="shared" si="1"/>
        <v>经营性</v>
      </c>
      <c r="C8" s="173" t="s">
        <v>3011</v>
      </c>
      <c r="D8" s="2306">
        <f>SUMIF(项目基本情况!D$15:I$15,C8,项目基本情况!D$18:I$18)</f>
        <v>50</v>
      </c>
      <c r="E8" s="2307">
        <f>IF(B8="","",SUMIF(项目基本情况!D$15:I$15,C8,项目基本情况!D$17:I$17))</f>
        <v>56314</v>
      </c>
      <c r="F8" s="174">
        <f>SUMIF(项目基本情况!D$15:I$15,C8,项目基本情况!D$19:I$19)</f>
        <v>35.03</v>
      </c>
      <c r="G8" s="175">
        <f t="shared" si="2"/>
        <v>0.85299999999999998</v>
      </c>
      <c r="H8" s="2999">
        <v>3.5000000000000003E-2</v>
      </c>
      <c r="I8" s="2999">
        <v>0.04</v>
      </c>
      <c r="J8" s="176">
        <v>6.5000000000000002E-2</v>
      </c>
      <c r="K8" s="179">
        <f>SUMIF('数据-汇总表'!C$19:C$33,'数据-取费表'!A8,'数据-汇总表'!E$19:E$33)</f>
        <v>2364.58</v>
      </c>
      <c r="L8" s="3000">
        <v>2200</v>
      </c>
      <c r="M8" s="177">
        <f>ROUND(K8*L8/10000,0)</f>
        <v>520</v>
      </c>
      <c r="N8" s="3001">
        <v>0</v>
      </c>
      <c r="O8" s="177">
        <f t="shared" si="3"/>
        <v>0</v>
      </c>
      <c r="P8" s="178">
        <f t="shared" si="4"/>
        <v>520</v>
      </c>
      <c r="Q8" s="3002">
        <v>0.2</v>
      </c>
      <c r="R8" s="179">
        <f>SUMIF('数据-汇总表'!C$19:C$33,A8,'数据-汇总表'!R$19:R$33)</f>
        <v>5202.3100000000004</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67"/>
      <c r="AN8" s="2369"/>
      <c r="AO8" s="1998"/>
      <c r="AP8" s="1203">
        <f t="shared" si="8"/>
        <v>0.7</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t="str">
        <f>'数据-汇总表'!C22</f>
        <v>地下车库</v>
      </c>
      <c r="B9" s="2335" t="str">
        <f t="shared" si="1"/>
        <v>经营性</v>
      </c>
      <c r="C9" s="173" t="s">
        <v>3012</v>
      </c>
      <c r="D9" s="2306">
        <f>SUMIF(项目基本情况!D$15:I$15,C9,项目基本情况!D$18:I$18)</f>
        <v>50</v>
      </c>
      <c r="E9" s="2307">
        <f>IF(B9="","",SUMIF(项目基本情况!D$15:I$15,C9,项目基本情况!D$17:I$17))</f>
        <v>56314</v>
      </c>
      <c r="F9" s="174">
        <f>SUMIF(项目基本情况!D$15:I$15,C9,项目基本情况!D$19:I$19)</f>
        <v>35.03</v>
      </c>
      <c r="G9" s="175">
        <f t="shared" si="2"/>
        <v>0.85299999999999998</v>
      </c>
      <c r="H9" s="176">
        <v>3.5000000000000003E-2</v>
      </c>
      <c r="I9" s="176">
        <v>0.04</v>
      </c>
      <c r="J9" s="176">
        <v>6.5000000000000002E-2</v>
      </c>
      <c r="K9" s="179">
        <f>SUMIF('数据-汇总表'!C$19:C$33,'数据-取费表'!A9,'数据-汇总表'!E$19:E$33)</f>
        <v>8880.9</v>
      </c>
      <c r="L9" s="193">
        <v>2200</v>
      </c>
      <c r="M9" s="177">
        <f t="shared" si="0"/>
        <v>1954</v>
      </c>
      <c r="N9" s="194">
        <v>0</v>
      </c>
      <c r="O9" s="177">
        <f t="shared" si="3"/>
        <v>0</v>
      </c>
      <c r="P9" s="178">
        <f t="shared" si="4"/>
        <v>1954</v>
      </c>
      <c r="Q9" s="192">
        <v>0.2</v>
      </c>
      <c r="R9" s="179">
        <f>SUMIF('数据-汇总表'!C$19:C$33,A9,'数据-汇总表'!R$19:R$33)</f>
        <v>19538.87</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0.7</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1679</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1679</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261</v>
      </c>
      <c r="B16" s="199"/>
      <c r="C16" s="200"/>
      <c r="D16" s="201"/>
      <c r="E16" s="199"/>
      <c r="F16" s="199"/>
      <c r="G16" s="202">
        <f>ROUND(SUMPRODUCT(G6:G13,K6:K13)/SUMPRODUCT((G6:G13&gt;0)*(K6:K13)),3)</f>
        <v>0.86699999999999999</v>
      </c>
      <c r="H16" s="203">
        <f>ROUND(SUMPRODUCT(H6:H13,K6:K13)/SUMPRODUCT((H6:H13&gt;0)*(K6:K13)),3)</f>
        <v>0.04</v>
      </c>
      <c r="I16" s="204"/>
      <c r="J16" s="204"/>
      <c r="K16" s="205">
        <f>SUM(K6:K15)</f>
        <v>31245.480000000003</v>
      </c>
      <c r="L16" s="206">
        <f>ROUND(M16*10000/SUM(K6:K14),0)</f>
        <v>2520</v>
      </c>
      <c r="M16" s="206">
        <f>SUM(M6:M14)</f>
        <v>7874</v>
      </c>
      <c r="N16" s="207">
        <f>ROUND(SUMPRODUCT(M6:M14,N6:N14)/M16,3)</f>
        <v>0</v>
      </c>
      <c r="O16" s="206">
        <f>SUM(O6:O14)</f>
        <v>0</v>
      </c>
      <c r="P16" s="206">
        <f>SUM(P6:P14)</f>
        <v>7874</v>
      </c>
      <c r="Q16" s="208">
        <f>ROUND(SUMPRODUCT(Q6:Q13,K6:K13)/SUMPRODUCT((Q6:Q13&gt;0)*(K6:K13)),2)</f>
        <v>0.2</v>
      </c>
      <c r="R16" s="2309">
        <f>SUM(R6:R13)</f>
        <v>68743.179999999993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0.749</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262</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263</v>
      </c>
      <c r="B19" s="218">
        <v>0</v>
      </c>
      <c r="C19" s="2341"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264</v>
      </c>
      <c r="B20" s="220">
        <v>1.5</v>
      </c>
      <c r="C20" s="2341" t="s">
        <v>2335</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265</v>
      </c>
      <c r="B21" s="220">
        <v>1.5</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266</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267</v>
      </c>
      <c r="B23" s="222">
        <f>B19+B21</f>
        <v>1.5</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268</v>
      </c>
      <c r="B24" s="224">
        <f>B20-B21</f>
        <v>0</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269</v>
      </c>
      <c r="B26" s="225" t="s">
        <v>270</v>
      </c>
      <c r="C26" s="1993" t="s">
        <v>271</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2338</v>
      </c>
      <c r="B27" s="227">
        <v>160</v>
      </c>
      <c r="C27" s="2344"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2339</v>
      </c>
      <c r="B28" s="229">
        <v>200</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2337</v>
      </c>
      <c r="B29" s="232"/>
      <c r="C29" s="1551"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272</v>
      </c>
      <c r="B30" s="977"/>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273</v>
      </c>
      <c r="B31" s="230">
        <f>B30-B32</f>
        <v>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274</v>
      </c>
      <c r="B32" s="1376"/>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277</v>
      </c>
      <c r="B33" s="1377">
        <v>0.03</v>
      </c>
      <c r="C33" s="2342" t="s">
        <v>2892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278</v>
      </c>
      <c r="B34" s="233">
        <v>0.1</v>
      </c>
      <c r="C34" s="2342" t="s">
        <v>2893</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275</v>
      </c>
      <c r="B35" s="229">
        <v>200</v>
      </c>
      <c r="C35" s="2342" t="s">
        <v>2894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276</v>
      </c>
      <c r="B36" s="234">
        <v>1.4999999999999999E-2</v>
      </c>
      <c r="C36" s="2342" t="s">
        <v>2895</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279</v>
      </c>
      <c r="B37" s="236">
        <v>0.02</v>
      </c>
      <c r="C37" s="2342" t="s">
        <v>2896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280</v>
      </c>
      <c r="B38" s="233">
        <v>0.02</v>
      </c>
      <c r="C38" s="2342" t="s">
        <v>2896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2456</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2457</v>
      </c>
      <c r="B40" s="2458">
        <f ca="1">存贷款利率!E2</f>
        <v>4.7500000000000001E-2</v>
      </c>
      <c r="C40" s="2342"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281</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282</v>
      </c>
      <c r="B42" s="240">
        <v>0.05</v>
      </c>
      <c r="C42" s="307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283</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284</v>
      </c>
      <c r="B44" s="242">
        <v>7.0000000000000007E-2</v>
      </c>
      <c r="C44" s="2342" t="s">
        <v>2897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285</v>
      </c>
      <c r="B45" s="240">
        <v>0.03</v>
      </c>
      <c r="C45" s="2344" t="s">
        <v>2898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286</v>
      </c>
      <c r="B46" s="240">
        <v>0.02</v>
      </c>
      <c r="C46" s="2344" t="s">
        <v>2899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287</v>
      </c>
      <c r="B47" s="244"/>
      <c r="C47" s="3048" t="s">
        <v>2900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288</v>
      </c>
      <c r="B48" s="246">
        <v>0.03</v>
      </c>
      <c r="C48" s="3049" t="s">
        <v>2901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289</v>
      </c>
      <c r="B49" s="240">
        <v>5.0000000000000001E-4</v>
      </c>
      <c r="C49" s="3049" t="s">
        <v>2902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290</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291</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292</v>
      </c>
      <c r="B52" s="250">
        <f>SUMIF(A54:A63,B53,B54:B63)</f>
        <v>1.5</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293</v>
      </c>
      <c r="B53" s="251" t="s">
        <v>1409</v>
      </c>
      <c r="C53" s="3050" t="s">
        <v>2903</v>
      </c>
      <c r="D53" s="3051" t="s">
        <v>2904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2905</v>
      </c>
      <c r="B54" s="186"/>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2906</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2907</v>
      </c>
      <c r="B56" s="186"/>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2908</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2909</v>
      </c>
      <c r="B58" s="186"/>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2910</v>
      </c>
      <c r="B59" s="186">
        <v>1.5</v>
      </c>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2911</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2912</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2913</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2914</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4" type="noConversion"/>
  <conditionalFormatting sqref="T6:T15">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6:T13">
    <cfRule type="containsText" dxfId="157" priority="10" stopIfTrue="1" operator="containsText" text="自行计算">
      <formula>NOT(ISERROR(SEARCH("自行计算",T6)))</formula>
    </cfRule>
    <cfRule type="containsText" dxfId="156" priority="11" stopIfTrue="1" operator="containsText" text="自行计算">
      <formula>NOT(ISERROR(SEARCH("自行计算",T6)))</formula>
    </cfRule>
  </conditionalFormatting>
  <conditionalFormatting sqref="T12:T13">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conditionalFormatting sqref="T12:T13">
    <cfRule type="containsText" dxfId="153" priority="2" stopIfTrue="1" operator="containsText" text="自行计算">
      <formula>NOT(ISERROR(SEARCH("自行计算",T12)))</formula>
    </cfRule>
    <cfRule type="containsText" dxfId="152" priority="3" stopIfTrue="1" operator="containsText" text="自行计算">
      <formula>NOT(ISERROR(SEARCH("自行计算",T12)))</formula>
    </cfRule>
  </conditionalFormatting>
  <conditionalFormatting sqref="T6:T15">
    <cfRule type="expression" dxfId="15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sheetPr>
    <tabColor rgb="FFFF0000"/>
  </sheetPr>
  <dimension ref="A1:I23"/>
  <sheetViews>
    <sheetView workbookViewId="0">
      <selection activeCell="B17" sqref="B17"/>
    </sheetView>
  </sheetViews>
  <sheetFormatPr defaultColWidth="14.625" defaultRowHeight="13.5"/>
  <cols>
    <col min="1" max="1" width="24.375" customWidth="1"/>
  </cols>
  <sheetData>
    <row r="1" spans="1:9" ht="16.5">
      <c r="A1" s="3019" t="s">
        <v>2843</v>
      </c>
      <c r="B1" s="3019">
        <f>SUM(B14:B23)</f>
        <v>31245.480000000003</v>
      </c>
      <c r="C1" s="3020"/>
      <c r="D1" s="3020"/>
      <c r="E1" s="3020"/>
      <c r="F1" s="3020"/>
    </row>
    <row r="2" spans="1:9" ht="16.5">
      <c r="A2" s="3019" t="s">
        <v>2844</v>
      </c>
      <c r="B2" s="3019">
        <f>SUM(C14:C23)</f>
        <v>68743.19</v>
      </c>
      <c r="C2" s="3020"/>
      <c r="D2" s="3020"/>
      <c r="E2" s="3020"/>
      <c r="F2" s="3020"/>
    </row>
    <row r="3" spans="1:9" ht="16.5">
      <c r="A3" s="3019" t="s">
        <v>2845</v>
      </c>
      <c r="B3" s="3021">
        <f>项目基本情况!D3</f>
        <v>43528</v>
      </c>
      <c r="C3" s="3020"/>
      <c r="D3" s="3020"/>
      <c r="E3" s="3020"/>
      <c r="F3" s="3020"/>
    </row>
    <row r="4" spans="1:9" ht="33">
      <c r="A4" s="3019" t="s">
        <v>2846</v>
      </c>
      <c r="B4" s="3019" t="s">
        <v>2847</v>
      </c>
      <c r="C4" s="3019" t="s">
        <v>2848</v>
      </c>
      <c r="D4" s="3019" t="s">
        <v>2849</v>
      </c>
      <c r="E4" s="3020"/>
      <c r="F4" s="3020"/>
    </row>
    <row r="5" spans="1:9" ht="16.5">
      <c r="A5" s="3019" t="s">
        <v>2850</v>
      </c>
      <c r="B5" s="3019" t="e">
        <f ca="1">SUM(D14:D23)</f>
        <v>#DIV/0!</v>
      </c>
      <c r="C5" s="3019" t="e">
        <f ca="1">ROUND(B5*10000/$B$1,0)</f>
        <v>#DIV/0!</v>
      </c>
      <c r="D5" s="3019" t="e">
        <f ca="1">ROUND(B5*10000/$B$2,0)</f>
        <v>#DIV/0!</v>
      </c>
      <c r="E5" s="3020"/>
      <c r="F5" s="3020"/>
    </row>
    <row r="6" spans="1:9" ht="16.5">
      <c r="A6" s="3019" t="s">
        <v>2851</v>
      </c>
      <c r="B6" s="3019">
        <f>SUM(G14:G23)</f>
        <v>0</v>
      </c>
      <c r="C6" s="3019">
        <f t="shared" ref="C6:C8" si="0">ROUND(B6*10000/$B$1,0)</f>
        <v>0</v>
      </c>
      <c r="D6" s="3019">
        <f t="shared" ref="D6:D8" si="1">ROUND(B6*10000/$B$2,0)</f>
        <v>0</v>
      </c>
      <c r="E6" s="3020"/>
      <c r="F6" s="3020"/>
    </row>
    <row r="7" spans="1:9" ht="16.5">
      <c r="A7" s="3019" t="s">
        <v>2852</v>
      </c>
      <c r="B7" s="3019">
        <f>SUM(H14:H23)</f>
        <v>0</v>
      </c>
      <c r="C7" s="3019">
        <f t="shared" si="0"/>
        <v>0</v>
      </c>
      <c r="D7" s="3019">
        <f t="shared" si="1"/>
        <v>0</v>
      </c>
      <c r="E7" s="3020"/>
      <c r="F7" s="3020"/>
    </row>
    <row r="8" spans="1:9" ht="16.5">
      <c r="A8" s="3019" t="s">
        <v>2853</v>
      </c>
      <c r="B8" s="3019">
        <f>SUM(I14:I23)</f>
        <v>0</v>
      </c>
      <c r="C8" s="3019">
        <f t="shared" si="0"/>
        <v>0</v>
      </c>
      <c r="D8" s="3019">
        <f t="shared" si="1"/>
        <v>0</v>
      </c>
      <c r="E8" s="3020"/>
      <c r="F8" s="3020"/>
    </row>
    <row r="9" spans="1:9" ht="16.5">
      <c r="A9" s="3019" t="s">
        <v>2854</v>
      </c>
      <c r="B9" s="3022"/>
      <c r="C9" s="3020"/>
      <c r="D9" s="3020"/>
      <c r="E9" s="3020"/>
      <c r="F9" s="3020"/>
    </row>
    <row r="10" spans="1:9" ht="16.5">
      <c r="A10" s="3019" t="s">
        <v>2855</v>
      </c>
      <c r="B10" s="3022"/>
      <c r="C10" s="3020"/>
      <c r="D10" s="3020"/>
      <c r="E10" s="3020"/>
      <c r="F10" s="3020"/>
    </row>
    <row r="11" spans="1:9" ht="16.5">
      <c r="A11" s="3019" t="s">
        <v>2872</v>
      </c>
      <c r="B11" s="3022"/>
      <c r="C11" s="3020"/>
      <c r="D11" s="3020"/>
      <c r="E11" s="3020"/>
      <c r="F11" s="3020"/>
    </row>
    <row r="12" spans="1:9" ht="16.5">
      <c r="A12" s="3020"/>
      <c r="B12" s="3020"/>
      <c r="C12" s="3020"/>
      <c r="D12" s="3020"/>
      <c r="E12" s="3020"/>
      <c r="F12" s="3020"/>
    </row>
    <row r="13" spans="1:9" ht="33">
      <c r="A13" s="3025" t="s">
        <v>2871</v>
      </c>
      <c r="B13" s="3023" t="s">
        <v>2843</v>
      </c>
      <c r="C13" s="3023" t="s">
        <v>2844</v>
      </c>
      <c r="D13" s="3023" t="s">
        <v>2856</v>
      </c>
      <c r="E13" s="3019" t="s">
        <v>2870</v>
      </c>
      <c r="F13" s="3019" t="s">
        <v>2849</v>
      </c>
      <c r="G13" s="3023" t="s">
        <v>2857</v>
      </c>
      <c r="H13" s="3023" t="s">
        <v>2858</v>
      </c>
      <c r="I13" s="3023" t="s">
        <v>2859</v>
      </c>
    </row>
    <row r="14" spans="1:9" ht="16.5">
      <c r="A14" s="3026" t="s">
        <v>2869</v>
      </c>
      <c r="B14" s="3023">
        <f>结果表!L38</f>
        <v>31245.480000000003</v>
      </c>
      <c r="C14" s="3023">
        <f>结果表!K38</f>
        <v>68743.19</v>
      </c>
      <c r="D14" s="3023" t="e">
        <f ca="1">结果表!C42</f>
        <v>#DIV/0!</v>
      </c>
      <c r="E14" s="3023" t="e">
        <f ca="1">ROUND(D14*10000/B14,0)</f>
        <v>#DIV/0!</v>
      </c>
      <c r="F14" s="3023" t="e">
        <f ca="1">ROUND(D14*10000/C14,0)</f>
        <v>#DIV/0!</v>
      </c>
      <c r="G14" s="3023" t="str">
        <f>结果表!C44</f>
        <v>——</v>
      </c>
      <c r="H14" s="3023" t="str">
        <f>结果表!C45</f>
        <v>——</v>
      </c>
      <c r="I14" s="3023" t="str">
        <f>结果表!C46</f>
        <v>——</v>
      </c>
    </row>
    <row r="15" spans="1:9" ht="16.5">
      <c r="A15" s="3026" t="s">
        <v>2860</v>
      </c>
      <c r="B15" s="3027"/>
      <c r="C15" s="3027"/>
      <c r="D15" s="3027"/>
      <c r="E15" s="3023" t="e">
        <f t="shared" ref="E15:E23" si="2">ROUND(D15*10000/B15,0)</f>
        <v>#DIV/0!</v>
      </c>
      <c r="F15" s="3023" t="e">
        <f t="shared" ref="F15:F23" si="3">ROUND(D15*10000/C15,0)</f>
        <v>#DIV/0!</v>
      </c>
      <c r="G15" s="3024"/>
      <c r="H15" s="3024"/>
      <c r="I15" s="3027"/>
    </row>
    <row r="16" spans="1:9" ht="16.5">
      <c r="A16" s="3026" t="s">
        <v>2861</v>
      </c>
      <c r="B16" s="3027"/>
      <c r="C16" s="3027"/>
      <c r="D16" s="3027"/>
      <c r="E16" s="3023" t="e">
        <f t="shared" si="2"/>
        <v>#DIV/0!</v>
      </c>
      <c r="F16" s="3023" t="e">
        <f t="shared" si="3"/>
        <v>#DIV/0!</v>
      </c>
      <c r="G16" s="3024"/>
      <c r="H16" s="3024"/>
      <c r="I16" s="3027"/>
    </row>
    <row r="17" spans="1:9" ht="16.5">
      <c r="A17" s="3026" t="s">
        <v>2862</v>
      </c>
      <c r="B17" s="3027"/>
      <c r="C17" s="3027"/>
      <c r="D17" s="3027"/>
      <c r="E17" s="3023" t="e">
        <f t="shared" si="2"/>
        <v>#DIV/0!</v>
      </c>
      <c r="F17" s="3023" t="e">
        <f t="shared" si="3"/>
        <v>#DIV/0!</v>
      </c>
      <c r="G17" s="3024"/>
      <c r="H17" s="3024"/>
      <c r="I17" s="3027"/>
    </row>
    <row r="18" spans="1:9" ht="16.5">
      <c r="A18" s="3026" t="s">
        <v>2863</v>
      </c>
      <c r="B18" s="3027"/>
      <c r="C18" s="3027"/>
      <c r="D18" s="3027"/>
      <c r="E18" s="3023" t="e">
        <f t="shared" si="2"/>
        <v>#DIV/0!</v>
      </c>
      <c r="F18" s="3023" t="e">
        <f t="shared" si="3"/>
        <v>#DIV/0!</v>
      </c>
      <c r="G18" s="3027"/>
      <c r="H18" s="3027"/>
      <c r="I18" s="3027"/>
    </row>
    <row r="19" spans="1:9" ht="16.5">
      <c r="A19" s="3026" t="s">
        <v>2864</v>
      </c>
      <c r="B19" s="3027"/>
      <c r="C19" s="3027"/>
      <c r="D19" s="3027"/>
      <c r="E19" s="3023" t="e">
        <f t="shared" si="2"/>
        <v>#DIV/0!</v>
      </c>
      <c r="F19" s="3023" t="e">
        <f t="shared" si="3"/>
        <v>#DIV/0!</v>
      </c>
      <c r="G19" s="3027"/>
      <c r="H19" s="3027"/>
      <c r="I19" s="3027"/>
    </row>
    <row r="20" spans="1:9" ht="16.5">
      <c r="A20" s="3026" t="s">
        <v>2865</v>
      </c>
      <c r="B20" s="3027"/>
      <c r="C20" s="3027"/>
      <c r="D20" s="3027"/>
      <c r="E20" s="3023" t="e">
        <f t="shared" si="2"/>
        <v>#DIV/0!</v>
      </c>
      <c r="F20" s="3023" t="e">
        <f t="shared" si="3"/>
        <v>#DIV/0!</v>
      </c>
      <c r="G20" s="3027"/>
      <c r="H20" s="3027"/>
      <c r="I20" s="3027"/>
    </row>
    <row r="21" spans="1:9" ht="16.5">
      <c r="A21" s="3026" t="s">
        <v>2866</v>
      </c>
      <c r="B21" s="3027"/>
      <c r="C21" s="3027"/>
      <c r="D21" s="3027"/>
      <c r="E21" s="3023" t="e">
        <f t="shared" si="2"/>
        <v>#DIV/0!</v>
      </c>
      <c r="F21" s="3023" t="e">
        <f t="shared" si="3"/>
        <v>#DIV/0!</v>
      </c>
      <c r="G21" s="3027"/>
      <c r="H21" s="3027"/>
      <c r="I21" s="3027"/>
    </row>
    <row r="22" spans="1:9" ht="16.5">
      <c r="A22" s="3026" t="s">
        <v>2867</v>
      </c>
      <c r="B22" s="3027"/>
      <c r="C22" s="3027"/>
      <c r="D22" s="3027"/>
      <c r="E22" s="3023" t="e">
        <f t="shared" si="2"/>
        <v>#DIV/0!</v>
      </c>
      <c r="F22" s="3023" t="e">
        <f t="shared" si="3"/>
        <v>#DIV/0!</v>
      </c>
      <c r="G22" s="3027"/>
      <c r="H22" s="3027"/>
      <c r="I22" s="3027"/>
    </row>
    <row r="23" spans="1:9" ht="16.5">
      <c r="A23" s="3026" t="s">
        <v>2868</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4" zoomScaleNormal="100" zoomScaleSheetLayoutView="100" zoomScalePageLayoutView="80" workbookViewId="0">
      <selection activeCell="H26" sqref="H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3073</v>
      </c>
      <c r="E1" s="1803" t="s">
        <v>2057</v>
      </c>
      <c r="F1" s="1805" t="s">
        <v>3074</v>
      </c>
      <c r="G1" s="311"/>
      <c r="H1" s="311"/>
      <c r="I1" s="311"/>
      <c r="J1" s="2027"/>
      <c r="K1" s="2027"/>
      <c r="L1" s="2027"/>
      <c r="M1" s="2027"/>
      <c r="N1" s="2027"/>
      <c r="O1" s="2027"/>
      <c r="P1" s="2027"/>
      <c r="Q1" s="2027"/>
      <c r="R1" s="2027"/>
      <c r="S1" s="2027"/>
      <c r="T1" s="2027"/>
      <c r="U1" s="2027"/>
      <c r="V1" s="2027"/>
    </row>
    <row r="2" spans="1:22" ht="21.75" customHeight="1" thickBot="1">
      <c r="A2" s="3375" t="str">
        <f>项目基本情况!K2</f>
        <v>北京市出让国有建设用地使用权</v>
      </c>
      <c r="B2" s="3376"/>
      <c r="C2" s="3377"/>
      <c r="D2" s="3377"/>
      <c r="E2" s="3377"/>
      <c r="F2" s="3377"/>
      <c r="G2" s="3376"/>
      <c r="H2" s="3376"/>
      <c r="I2" s="3378"/>
      <c r="J2" s="2028"/>
      <c r="K2" s="2027"/>
      <c r="L2" s="2027"/>
      <c r="M2" s="2027"/>
      <c r="N2" s="2027"/>
      <c r="O2" s="2027"/>
      <c r="P2" s="2027"/>
      <c r="Q2" s="2027"/>
      <c r="R2" s="2027"/>
      <c r="S2" s="2027"/>
      <c r="T2" s="2027"/>
      <c r="U2" s="2027"/>
      <c r="V2" s="2027"/>
    </row>
    <row r="3" spans="1:22" ht="14.25">
      <c r="A3" s="3386" t="s">
        <v>297</v>
      </c>
      <c r="B3" s="3387"/>
      <c r="C3" s="3387"/>
      <c r="D3" s="3387"/>
      <c r="E3" s="3387"/>
      <c r="F3" s="3387"/>
      <c r="G3" s="3387"/>
      <c r="H3" s="3387"/>
      <c r="I3" s="3387"/>
      <c r="J3" s="2028"/>
      <c r="K3" s="2027"/>
      <c r="L3" s="2027"/>
      <c r="M3" s="2027"/>
      <c r="N3" s="2027"/>
      <c r="O3" s="2027"/>
      <c r="P3" s="2027"/>
      <c r="Q3" s="2027"/>
      <c r="R3" s="2027"/>
      <c r="S3" s="2027"/>
      <c r="T3" s="2027"/>
      <c r="U3" s="2027"/>
      <c r="V3" s="2027"/>
    </row>
    <row r="4" spans="1:22" ht="14.25">
      <c r="A4" s="258" t="s">
        <v>298</v>
      </c>
      <c r="B4" s="259" t="s">
        <v>299</v>
      </c>
      <c r="C4" s="260" t="s">
        <v>3025</v>
      </c>
      <c r="D4" s="260" t="s">
        <v>3072</v>
      </c>
      <c r="E4" s="3350" t="s">
        <v>300</v>
      </c>
      <c r="F4" s="3392"/>
      <c r="G4" s="3392"/>
      <c r="H4" s="3392"/>
      <c r="I4" s="3351"/>
      <c r="J4" s="2028"/>
      <c r="K4" s="2027"/>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基准地价系数修正法</v>
      </c>
      <c r="N4" s="2027"/>
      <c r="O4" s="2027"/>
      <c r="P4" s="2027"/>
      <c r="Q4" s="2027"/>
      <c r="R4" s="2027"/>
      <c r="S4" s="2027"/>
      <c r="T4" s="2027"/>
      <c r="U4" s="2027"/>
      <c r="V4" s="2027"/>
    </row>
    <row r="5" spans="1:22" ht="14.25">
      <c r="A5" s="3379" t="s">
        <v>301</v>
      </c>
      <c r="B5" s="3380">
        <v>25</v>
      </c>
      <c r="C5" s="3388"/>
      <c r="D5" s="3391"/>
      <c r="E5" s="261" t="s">
        <v>302</v>
      </c>
      <c r="F5" s="262"/>
      <c r="G5" s="262"/>
      <c r="H5" s="262"/>
      <c r="I5" s="263"/>
      <c r="J5" s="2028"/>
      <c r="K5" s="2027"/>
      <c r="L5" s="2027"/>
      <c r="M5" s="2027"/>
      <c r="N5" s="2027"/>
      <c r="O5" s="2027"/>
      <c r="P5" s="2027"/>
      <c r="Q5" s="2027"/>
      <c r="R5" s="2027"/>
      <c r="S5" s="2027"/>
      <c r="T5" s="2027"/>
      <c r="U5" s="2027"/>
      <c r="V5" s="2027"/>
    </row>
    <row r="6" spans="1:22" ht="14.25">
      <c r="A6" s="3379"/>
      <c r="B6" s="3380"/>
      <c r="C6" s="3389"/>
      <c r="D6" s="3391"/>
      <c r="E6" s="261" t="s">
        <v>303</v>
      </c>
      <c r="F6" s="262"/>
      <c r="G6" s="262"/>
      <c r="H6" s="262"/>
      <c r="I6" s="263"/>
      <c r="J6" s="2028"/>
      <c r="K6" s="2027"/>
      <c r="L6" s="2027"/>
      <c r="M6" s="2027"/>
      <c r="N6" s="2027"/>
      <c r="O6" s="2027"/>
      <c r="P6" s="2027"/>
      <c r="Q6" s="2027"/>
      <c r="R6" s="2027"/>
      <c r="S6" s="2027"/>
      <c r="T6" s="2027"/>
      <c r="U6" s="2027"/>
      <c r="V6" s="2027"/>
    </row>
    <row r="7" spans="1:22" ht="14.25">
      <c r="A7" s="3379"/>
      <c r="B7" s="3380"/>
      <c r="C7" s="3390"/>
      <c r="D7" s="3391"/>
      <c r="E7" s="261" t="s">
        <v>304</v>
      </c>
      <c r="F7" s="262"/>
      <c r="G7" s="262"/>
      <c r="H7" s="262"/>
      <c r="I7" s="263"/>
      <c r="J7" s="2028"/>
      <c r="K7" s="2027"/>
      <c r="L7" s="2027"/>
      <c r="M7" s="2027"/>
      <c r="N7" s="2027"/>
      <c r="O7" s="2027"/>
      <c r="P7" s="2027"/>
      <c r="Q7" s="2027"/>
      <c r="R7" s="2027"/>
      <c r="S7" s="2027"/>
      <c r="T7" s="2027"/>
      <c r="U7" s="2027"/>
      <c r="V7" s="2027"/>
    </row>
    <row r="8" spans="1:22" ht="14.25">
      <c r="A8" s="3379" t="s">
        <v>305</v>
      </c>
      <c r="B8" s="3380">
        <v>15</v>
      </c>
      <c r="C8" s="3388"/>
      <c r="D8" s="3391"/>
      <c r="E8" s="261" t="s">
        <v>306</v>
      </c>
      <c r="F8" s="262"/>
      <c r="G8" s="262"/>
      <c r="H8" s="262"/>
      <c r="I8" s="263"/>
      <c r="J8" s="2028"/>
      <c r="K8" s="2027"/>
      <c r="L8" s="2027"/>
      <c r="M8" s="2027"/>
      <c r="N8" s="2027"/>
      <c r="O8" s="2027"/>
      <c r="P8" s="2027"/>
      <c r="Q8" s="2027"/>
      <c r="R8" s="2027"/>
      <c r="S8" s="2027"/>
      <c r="T8" s="2027"/>
      <c r="U8" s="2027"/>
      <c r="V8" s="2027"/>
    </row>
    <row r="9" spans="1:22" ht="14.25">
      <c r="A9" s="3379"/>
      <c r="B9" s="3380"/>
      <c r="C9" s="3390"/>
      <c r="D9" s="3391"/>
      <c r="E9" s="261" t="s">
        <v>307</v>
      </c>
      <c r="F9" s="262"/>
      <c r="G9" s="262"/>
      <c r="H9" s="262"/>
      <c r="I9" s="263"/>
      <c r="J9" s="2028"/>
      <c r="K9" s="2027"/>
      <c r="L9" s="2027"/>
      <c r="M9" s="2027"/>
      <c r="N9" s="2027"/>
      <c r="O9" s="2027"/>
      <c r="P9" s="2027"/>
      <c r="Q9" s="2027"/>
      <c r="R9" s="2027"/>
      <c r="S9" s="2027"/>
      <c r="T9" s="2027"/>
      <c r="U9" s="2027"/>
      <c r="V9" s="2027"/>
    </row>
    <row r="10" spans="1:22" ht="14.25">
      <c r="A10" s="3379" t="s">
        <v>308</v>
      </c>
      <c r="B10" s="3380">
        <v>15</v>
      </c>
      <c r="C10" s="3388"/>
      <c r="D10" s="3391"/>
      <c r="E10" s="261" t="s">
        <v>309</v>
      </c>
      <c r="F10" s="262"/>
      <c r="G10" s="262"/>
      <c r="H10" s="262"/>
      <c r="I10" s="263"/>
      <c r="J10" s="2028"/>
      <c r="K10" s="2027"/>
      <c r="L10" s="2027"/>
      <c r="M10" s="2027"/>
      <c r="N10" s="2027"/>
      <c r="O10" s="2027"/>
      <c r="P10" s="2027"/>
      <c r="Q10" s="2027"/>
      <c r="R10" s="2027"/>
      <c r="S10" s="2027"/>
      <c r="T10" s="2027"/>
      <c r="U10" s="2027"/>
      <c r="V10" s="2027"/>
    </row>
    <row r="11" spans="1:22" ht="14.25">
      <c r="A11" s="3379"/>
      <c r="B11" s="3380"/>
      <c r="C11" s="3390"/>
      <c r="D11" s="3391"/>
      <c r="E11" s="261" t="s">
        <v>310</v>
      </c>
      <c r="F11" s="262"/>
      <c r="G11" s="262"/>
      <c r="H11" s="262"/>
      <c r="I11" s="263"/>
      <c r="J11" s="2028"/>
      <c r="K11" s="2027"/>
      <c r="L11" s="2027"/>
      <c r="M11" s="2027"/>
      <c r="N11" s="2027"/>
      <c r="O11" s="2027"/>
      <c r="P11" s="2027"/>
      <c r="Q11" s="2027"/>
      <c r="R11" s="2027"/>
      <c r="S11" s="2027"/>
      <c r="T11" s="2027"/>
      <c r="U11" s="2027"/>
      <c r="V11" s="2027"/>
    </row>
    <row r="12" spans="1:22" ht="14.25">
      <c r="A12" s="3379" t="s">
        <v>311</v>
      </c>
      <c r="B12" s="3380">
        <v>15</v>
      </c>
      <c r="C12" s="3388"/>
      <c r="D12" s="3391"/>
      <c r="E12" s="261" t="s">
        <v>312</v>
      </c>
      <c r="F12" s="262"/>
      <c r="G12" s="262"/>
      <c r="H12" s="262"/>
      <c r="I12" s="263"/>
      <c r="J12" s="2028"/>
      <c r="K12" s="2027"/>
      <c r="L12" s="2027"/>
      <c r="M12" s="2027"/>
      <c r="N12" s="2027"/>
      <c r="O12" s="2027"/>
      <c r="P12" s="2027"/>
      <c r="Q12" s="2027"/>
      <c r="R12" s="2027"/>
      <c r="S12" s="2027"/>
      <c r="T12" s="2027"/>
      <c r="U12" s="2027"/>
      <c r="V12" s="2027"/>
    </row>
    <row r="13" spans="1:22" ht="14.25">
      <c r="A13" s="3379"/>
      <c r="B13" s="3380"/>
      <c r="C13" s="3390"/>
      <c r="D13" s="3391"/>
      <c r="E13" s="261" t="s">
        <v>313</v>
      </c>
      <c r="F13" s="262"/>
      <c r="G13" s="262"/>
      <c r="H13" s="262"/>
      <c r="I13" s="263"/>
      <c r="J13" s="2028"/>
      <c r="K13" s="2027"/>
      <c r="L13" s="2027"/>
      <c r="M13" s="2027"/>
      <c r="N13" s="2027"/>
      <c r="O13" s="2027"/>
      <c r="P13" s="2027"/>
      <c r="Q13" s="2027"/>
      <c r="R13" s="2027"/>
      <c r="S13" s="2027"/>
      <c r="T13" s="2027"/>
      <c r="U13" s="2027"/>
      <c r="V13" s="2027"/>
    </row>
    <row r="14" spans="1:22" ht="14.25">
      <c r="A14" s="3379" t="s">
        <v>314</v>
      </c>
      <c r="B14" s="3380">
        <v>30</v>
      </c>
      <c r="C14" s="3388"/>
      <c r="D14" s="3391"/>
      <c r="E14" s="261" t="s">
        <v>315</v>
      </c>
      <c r="F14" s="262"/>
      <c r="G14" s="262"/>
      <c r="H14" s="262"/>
      <c r="I14" s="263"/>
      <c r="J14" s="2028"/>
      <c r="K14" s="2027"/>
      <c r="L14" s="2027"/>
      <c r="M14" s="2027"/>
      <c r="N14" s="2027"/>
      <c r="O14" s="2027"/>
      <c r="P14" s="2027"/>
      <c r="Q14" s="2027"/>
      <c r="R14" s="2027"/>
      <c r="S14" s="2027"/>
      <c r="T14" s="2027"/>
      <c r="U14" s="2027"/>
      <c r="V14" s="2027"/>
    </row>
    <row r="15" spans="1:22" ht="14.25">
      <c r="A15" s="3379"/>
      <c r="B15" s="3380"/>
      <c r="C15" s="3389"/>
      <c r="D15" s="3391"/>
      <c r="E15" s="261" t="s">
        <v>316</v>
      </c>
      <c r="F15" s="262"/>
      <c r="G15" s="262"/>
      <c r="H15" s="262"/>
      <c r="I15" s="263"/>
      <c r="J15" s="2028"/>
      <c r="K15" s="2027"/>
      <c r="L15" s="2027"/>
      <c r="M15" s="2027"/>
      <c r="N15" s="2027"/>
      <c r="O15" s="2027"/>
      <c r="P15" s="2027"/>
      <c r="Q15" s="2027"/>
      <c r="R15" s="2027"/>
      <c r="S15" s="2027"/>
      <c r="T15" s="2027"/>
      <c r="U15" s="2027"/>
      <c r="V15" s="2027"/>
    </row>
    <row r="16" spans="1:22" ht="14.25">
      <c r="A16" s="3379"/>
      <c r="B16" s="3380"/>
      <c r="C16" s="3390"/>
      <c r="D16" s="3391"/>
      <c r="E16" s="261" t="s">
        <v>317</v>
      </c>
      <c r="F16" s="262"/>
      <c r="G16" s="262"/>
      <c r="H16" s="262"/>
      <c r="I16" s="263"/>
      <c r="J16" s="2028"/>
      <c r="K16" s="2027"/>
      <c r="L16" s="2027"/>
      <c r="M16" s="2027"/>
      <c r="N16" s="2027"/>
      <c r="O16" s="2027"/>
      <c r="P16" s="2027"/>
      <c r="Q16" s="2027"/>
      <c r="R16" s="2027"/>
      <c r="S16" s="2027"/>
      <c r="T16" s="2027"/>
      <c r="U16" s="2027"/>
      <c r="V16" s="2027"/>
    </row>
    <row r="17" spans="1:26" ht="15">
      <c r="A17" s="264" t="s">
        <v>318</v>
      </c>
      <c r="B17" s="144"/>
      <c r="C17" s="265">
        <f>SUM(C5:C16)</f>
        <v>0</v>
      </c>
      <c r="D17" s="265">
        <f>SUM(D5:D16)</f>
        <v>0</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319</v>
      </c>
      <c r="B18" s="105"/>
      <c r="C18" s="267" t="e">
        <f>ROUND(C17/SUM(C17:D17),2)</f>
        <v>#DIV/0!</v>
      </c>
      <c r="D18" s="267" t="e">
        <f>1-C18</f>
        <v>#DIV/0!</v>
      </c>
      <c r="E18" s="311"/>
      <c r="F18" s="311"/>
      <c r="G18" s="311"/>
      <c r="H18" s="311"/>
      <c r="I18" s="311"/>
      <c r="J18" s="2027"/>
      <c r="K18" s="2027"/>
      <c r="L18" s="2027"/>
      <c r="M18" s="2027"/>
      <c r="N18" s="2027"/>
      <c r="O18" s="2027"/>
      <c r="P18" s="2027"/>
      <c r="Q18" s="2027"/>
      <c r="R18" s="2027"/>
      <c r="S18" s="2027"/>
      <c r="T18" s="2027"/>
      <c r="U18" s="2027"/>
      <c r="V18" s="2027"/>
    </row>
    <row r="19" spans="1:26" ht="15">
      <c r="A19" s="268" t="s">
        <v>320</v>
      </c>
      <c r="B19" s="269" t="s">
        <v>321</v>
      </c>
      <c r="C19" s="270">
        <f ca="1">SUMIF(INDIRECT("'"&amp;C4&amp;"'"&amp;"!A:A"),结果表!B19,INDIRECT("'"&amp;C4&amp;"'"&amp;"!B:B"))</f>
        <v>31867</v>
      </c>
      <c r="D19" s="271">
        <f ca="1">SUMIF(INDIRECT("'"&amp;D4&amp;"'"&amp;"!A:A"),结果表!B19,INDIRECT("'"&amp;D4&amp;"'"&amp;"!B:B"))</f>
        <v>24452</v>
      </c>
      <c r="E19" s="268" t="s">
        <v>322</v>
      </c>
      <c r="F19" s="269" t="s">
        <v>321</v>
      </c>
      <c r="G19" s="272" t="e">
        <f ca="1">ROUND(C19*$C$18+D19*$D$18,0)</f>
        <v>#DIV/0!</v>
      </c>
      <c r="H19" s="273" t="s">
        <v>323</v>
      </c>
      <c r="I19" s="311"/>
      <c r="J19" s="2027"/>
      <c r="K19" s="2027"/>
      <c r="L19" s="2027"/>
      <c r="M19" s="2027"/>
      <c r="N19" s="2027"/>
      <c r="O19" s="2027"/>
      <c r="P19" s="2027"/>
      <c r="Q19" s="2027"/>
      <c r="R19" s="2027"/>
      <c r="S19" s="2027"/>
      <c r="T19" s="2027"/>
      <c r="U19" s="2027"/>
      <c r="V19" s="2027"/>
    </row>
    <row r="20" spans="1:26" ht="15">
      <c r="A20" s="274"/>
      <c r="B20" s="275" t="s">
        <v>324</v>
      </c>
      <c r="C20" s="276">
        <f ca="1">SUMIF(INDIRECT("'"&amp;C4&amp;"'"&amp;"!A:A"),结果表!B20,INDIRECT("'"&amp;C4&amp;"'"&amp;"!B:B"))</f>
        <v>31867</v>
      </c>
      <c r="D20" s="277">
        <f ca="1">SUMIF(INDIRECT("'"&amp;D4&amp;"'"&amp;"!A:A"),结果表!B20,INDIRECT("'"&amp;D4&amp;"'"&amp;"!B:B"))</f>
        <v>8466</v>
      </c>
      <c r="E20" s="274"/>
      <c r="F20" s="275" t="s">
        <v>324</v>
      </c>
      <c r="G20" s="278" t="e">
        <f ca="1">ROUND(C20*$C$18+D20*$D$18,0)</f>
        <v>#DIV/0!</v>
      </c>
      <c r="H20" s="279" t="s">
        <v>325</v>
      </c>
      <c r="I20" s="311"/>
      <c r="J20" s="2027"/>
      <c r="K20" s="2027"/>
      <c r="L20" s="2027"/>
      <c r="M20" s="2027"/>
      <c r="N20" s="2027"/>
      <c r="O20" s="2027"/>
      <c r="P20" s="2027"/>
      <c r="Q20" s="2027"/>
      <c r="R20" s="2027"/>
      <c r="S20" s="2027"/>
      <c r="T20" s="2027"/>
      <c r="U20" s="2027"/>
      <c r="V20" s="2027"/>
    </row>
    <row r="21" spans="1:26" ht="15" customHeight="1">
      <c r="A21" s="274"/>
      <c r="B21" s="280" t="s">
        <v>326</v>
      </c>
      <c r="C21" s="281">
        <f ca="1">SUMIF(INDIRECT("'"&amp;C4&amp;"'"&amp;"!A:A"),结果表!B21,INDIRECT("'"&amp;C4&amp;"'"&amp;"!B:B"))</f>
        <v>14484</v>
      </c>
      <c r="D21" s="151" t="e">
        <f ca="1">SUMIF(INDIRECT("'"&amp;D4&amp;"'"&amp;"!A:A"),结果表!B21,INDIRECT("'"&amp;D4&amp;"'"&amp;"!B:B"))</f>
        <v>#DIV/0!</v>
      </c>
      <c r="E21" s="274"/>
      <c r="F21" s="280" t="s">
        <v>326</v>
      </c>
      <c r="G21" s="282" t="e">
        <f ca="1">ROUND(C21*$C$18+D21*$D$18,0)</f>
        <v>#DIV/0!</v>
      </c>
      <c r="H21" s="1250" t="s">
        <v>325</v>
      </c>
      <c r="I21" s="311"/>
      <c r="J21" s="2027"/>
      <c r="K21" s="2027"/>
      <c r="L21" s="2027"/>
      <c r="M21" s="2027"/>
      <c r="N21" s="2027"/>
      <c r="O21" s="2027"/>
      <c r="P21" s="2027"/>
      <c r="Q21" s="2027"/>
      <c r="R21" s="2027"/>
      <c r="S21" s="2027"/>
      <c r="T21" s="2027"/>
      <c r="U21" s="2027"/>
      <c r="V21" s="2027"/>
    </row>
    <row r="22" spans="1:26" ht="15.75" thickBot="1">
      <c r="A22" s="126" t="s">
        <v>327</v>
      </c>
      <c r="B22" s="1251"/>
      <c r="C22" s="1252"/>
      <c r="D22" s="283">
        <f ca="1">IF(C19&lt;D19,D19/C19-1,C19/D19-1)</f>
        <v>0.30324717814493707</v>
      </c>
      <c r="E22" s="284"/>
      <c r="F22" s="285"/>
      <c r="G22" s="286" t="e">
        <f ca="1">ROUND(G19/('数据-汇总表'!D3/666.67),0)</f>
        <v>#DIV/0!</v>
      </c>
      <c r="H22" s="287" t="s">
        <v>328</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52" t="s">
        <v>329</v>
      </c>
      <c r="B24" s="269" t="s">
        <v>321</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94"/>
      <c r="B25" s="1320" t="s">
        <v>330</v>
      </c>
      <c r="C25" s="290">
        <f>IF(B30=0,0,C30)</f>
        <v>0</v>
      </c>
      <c r="D25" s="291"/>
      <c r="E25" s="311"/>
      <c r="F25" s="311"/>
      <c r="G25" s="311"/>
      <c r="H25" s="311"/>
      <c r="I25" s="311"/>
      <c r="J25" s="2027"/>
      <c r="K25" s="1254" t="e">
        <f ca="1">项目基本情况!B16&amp;"国有建设用地使用权价格："&amp;O38&amp;"万元"</f>
        <v>#DIV/0!</v>
      </c>
      <c r="L25" s="1255"/>
      <c r="M25" s="1255"/>
      <c r="N25" s="1255"/>
      <c r="O25" s="1256"/>
      <c r="P25" s="2027"/>
      <c r="Q25" s="2027"/>
      <c r="R25" s="2027"/>
      <c r="S25" s="2027"/>
      <c r="T25" s="2027"/>
      <c r="U25" s="2027"/>
      <c r="V25" s="2027"/>
    </row>
    <row r="26" spans="1:26" s="1253" customFormat="1" ht="18">
      <c r="A26" s="293" t="s">
        <v>331</v>
      </c>
      <c r="B26" s="294" t="s">
        <v>332</v>
      </c>
      <c r="C26" s="294" t="s">
        <v>333</v>
      </c>
      <c r="D26" s="295" t="s">
        <v>334</v>
      </c>
      <c r="E26" s="311"/>
      <c r="F26" s="311"/>
      <c r="G26" s="311"/>
      <c r="H26" s="311"/>
      <c r="I26" s="311"/>
      <c r="J26" s="2027"/>
      <c r="K26" s="1257" t="e">
        <f ca="1">"大写金额：人民币"&amp;NUMBERSTRING(INT(O38*10000),2)&amp;"元整"</f>
        <v>#DIV/0!</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e">
        <f ca="1">"单位面积地价："&amp;M38&amp;"元/平方米"</f>
        <v>#DIV/0!</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e">
        <f ca="1">"楼面地价："&amp;N38&amp;"元/平方米"</f>
        <v>#DIV/0!</v>
      </c>
      <c r="L28" s="1251"/>
      <c r="M28" s="1251"/>
      <c r="N28" s="1251"/>
      <c r="O28" s="1250"/>
      <c r="P28" s="2027"/>
      <c r="V28" s="2027"/>
    </row>
    <row r="29" spans="1:26" ht="18">
      <c r="A29" s="293"/>
      <c r="B29" s="294"/>
      <c r="C29" s="294"/>
      <c r="D29" s="295"/>
      <c r="E29" s="311"/>
      <c r="F29" s="311"/>
      <c r="G29" s="311"/>
      <c r="H29" s="311"/>
      <c r="I29" s="311"/>
      <c r="J29" s="2027"/>
      <c r="K29" s="1257" t="str">
        <f>IF(OR(项目基本情况!E8="抵押价格",项目基本情况!E8="已注销及未注销"),"抵押价格："&amp;O39&amp;"万元","——")</f>
        <v>——</v>
      </c>
      <c r="L29" s="1251"/>
      <c r="M29" s="1251"/>
      <c r="N29" s="1251"/>
      <c r="O29" s="1250"/>
      <c r="P29" s="2027"/>
      <c r="V29" s="2027"/>
    </row>
    <row r="30" spans="1:26" ht="18.75" thickBot="1">
      <c r="A30" s="3103" t="s">
        <v>335</v>
      </c>
      <c r="B30" s="309"/>
      <c r="C30" s="309"/>
      <c r="D30" s="310"/>
      <c r="E30" s="3104" t="s">
        <v>2964</v>
      </c>
      <c r="F30" s="311"/>
      <c r="G30" s="311"/>
      <c r="H30" s="311"/>
      <c r="I30" s="311"/>
      <c r="J30" s="2027"/>
      <c r="K30" s="1257" t="str">
        <f>IF(K29="——","——","大写金额：人民币"&amp;NUMBERSTRING(INT(O39*10000),2)&amp;"元整")</f>
        <v>——</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抵押担保权已注销时的抵押价格：——万元</v>
      </c>
      <c r="L31" s="2442"/>
      <c r="M31" s="2442"/>
      <c r="N31" s="2442"/>
      <c r="O31" s="2443"/>
      <c r="P31" s="2027"/>
      <c r="V31" s="2027"/>
    </row>
    <row r="32" spans="1:26" ht="18.75" thickBot="1">
      <c r="A32" s="268" t="s">
        <v>336</v>
      </c>
      <c r="B32" s="1380" t="s">
        <v>1688</v>
      </c>
      <c r="C32" s="1381" t="e">
        <f ca="1">G19-C24</f>
        <v>#DIV/0!</v>
      </c>
      <c r="D32" s="1382" t="s">
        <v>1689</v>
      </c>
      <c r="E32" s="311"/>
      <c r="F32" s="311"/>
      <c r="G32" s="311"/>
      <c r="H32" s="311"/>
      <c r="I32" s="311"/>
      <c r="J32" s="2027"/>
      <c r="K32" s="2441" t="e">
        <f>IF(K31="——","——","大写金额：人民币"&amp;NUMBERSTRING(INT(O40*10000),2)&amp;"元整")</f>
        <v>#VALUE!</v>
      </c>
      <c r="L32" s="2444"/>
      <c r="M32" s="2444"/>
      <c r="N32" s="2444"/>
      <c r="O32" s="2445"/>
      <c r="P32" s="2027"/>
      <c r="V32" s="2027"/>
    </row>
    <row r="33" spans="1:26" ht="18.75" thickBot="1">
      <c r="A33" s="298" t="s">
        <v>339</v>
      </c>
      <c r="B33" s="1383" t="s">
        <v>1690</v>
      </c>
      <c r="C33" s="264" t="e">
        <f ca="1">ROUND(C32*10000/'数据-汇总表'!E3,0)</f>
        <v>#DIV/0!</v>
      </c>
      <c r="D33" s="1384" t="s">
        <v>1691</v>
      </c>
      <c r="E33" s="3352" t="s">
        <v>337</v>
      </c>
      <c r="F33" s="296" t="s">
        <v>338</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1692</v>
      </c>
      <c r="C34" s="264" t="e">
        <f ca="1">ROUND(C32*10000/'数据-汇总表'!D3,0)</f>
        <v>#DIV/0!</v>
      </c>
      <c r="D34" s="1386" t="s">
        <v>1691</v>
      </c>
      <c r="E34" s="3353"/>
      <c r="F34" s="127" t="s">
        <v>340</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t="e">
        <f ca="1">ROUND(C32/('数据-汇总表'!D3/666.67),0)</f>
        <v>#DIV/0!</v>
      </c>
      <c r="D35" s="1389" t="s">
        <v>1693</v>
      </c>
      <c r="E35" s="3354"/>
      <c r="F35" s="301" t="s">
        <v>341</v>
      </c>
      <c r="G35" s="981"/>
      <c r="H35" s="980" t="s">
        <v>342</v>
      </c>
      <c r="I35" s="311"/>
      <c r="J35" s="2027"/>
      <c r="K35" s="3358" t="s">
        <v>349</v>
      </c>
      <c r="L35" s="3358" t="s">
        <v>350</v>
      </c>
      <c r="M35" s="1263" t="s">
        <v>351</v>
      </c>
      <c r="N35" s="3358" t="s">
        <v>352</v>
      </c>
      <c r="O35" s="3358" t="s">
        <v>353</v>
      </c>
      <c r="P35" s="2027"/>
      <c r="V35" s="2027"/>
    </row>
    <row r="36" spans="1:26" ht="16.5" customHeight="1">
      <c r="A36" s="303" t="s">
        <v>343</v>
      </c>
      <c r="B36" s="304" t="s">
        <v>332</v>
      </c>
      <c r="C36" s="305" t="s">
        <v>344</v>
      </c>
      <c r="D36" s="305" t="s">
        <v>345</v>
      </c>
      <c r="E36" s="306" t="s">
        <v>346</v>
      </c>
      <c r="F36" s="311"/>
      <c r="G36" s="311"/>
      <c r="H36" s="311"/>
      <c r="I36" s="311"/>
      <c r="J36" s="2029"/>
      <c r="K36" s="3359"/>
      <c r="L36" s="3359"/>
      <c r="M36" s="1265" t="s">
        <v>354</v>
      </c>
      <c r="N36" s="3359"/>
      <c r="O36" s="3359"/>
      <c r="P36" s="2027"/>
      <c r="V36" s="2027"/>
    </row>
    <row r="37" spans="1:26" ht="16.5" customHeight="1" thickBot="1">
      <c r="A37" s="1259" t="s">
        <v>347</v>
      </c>
      <c r="B37" s="307"/>
      <c r="C37" s="294"/>
      <c r="D37" s="294"/>
      <c r="E37" s="295"/>
      <c r="F37" s="311"/>
      <c r="G37" s="311"/>
      <c r="H37" s="311"/>
      <c r="I37" s="311"/>
      <c r="J37" s="2029"/>
      <c r="K37" s="3360"/>
      <c r="L37" s="3360"/>
      <c r="M37" s="1266"/>
      <c r="N37" s="3360"/>
      <c r="O37" s="3360"/>
      <c r="P37" s="2027"/>
      <c r="V37" s="2027"/>
    </row>
    <row r="38" spans="1:26" ht="16.5" customHeight="1" thickBot="1">
      <c r="A38" s="1259" t="s">
        <v>348</v>
      </c>
      <c r="B38" s="307"/>
      <c r="C38" s="294"/>
      <c r="D38" s="294"/>
      <c r="E38" s="295"/>
      <c r="F38" s="311"/>
      <c r="G38" s="311"/>
      <c r="H38" s="311"/>
      <c r="I38" s="311"/>
      <c r="J38" s="2029"/>
      <c r="K38" s="1267">
        <f>'数据-汇总表'!D3</f>
        <v>68743.19</v>
      </c>
      <c r="L38" s="1268">
        <f>'数据-汇总表'!E3</f>
        <v>31245.480000000003</v>
      </c>
      <c r="M38" s="1268" t="e">
        <f ca="1">C34</f>
        <v>#DIV/0!</v>
      </c>
      <c r="N38" s="1268" t="e">
        <f ca="1">C33</f>
        <v>#DIV/0!</v>
      </c>
      <c r="O38" s="1269" t="e">
        <f ca="1">C32</f>
        <v>#DIV/0!</v>
      </c>
      <c r="P38" s="2027"/>
      <c r="V38" s="2027"/>
    </row>
    <row r="39" spans="1:26" ht="16.5" customHeight="1" thickBot="1">
      <c r="A39" s="1264"/>
      <c r="B39" s="308"/>
      <c r="C39" s="309"/>
      <c r="D39" s="309"/>
      <c r="E39" s="310"/>
      <c r="F39" s="311"/>
      <c r="G39" s="311"/>
      <c r="H39" s="311"/>
      <c r="I39" s="311"/>
      <c r="J39" s="2029"/>
      <c r="K39" s="3335" t="str">
        <f>MID(A44,3,LEN(A44)-2)</f>
        <v/>
      </c>
      <c r="L39" s="3336"/>
      <c r="M39" s="3336"/>
      <c r="N39" s="3337"/>
      <c r="O39" s="1391" t="str">
        <f>C44</f>
        <v>——</v>
      </c>
      <c r="P39" s="2027"/>
      <c r="V39" s="2027"/>
    </row>
    <row r="40" spans="1:26" ht="19.5" thickBot="1">
      <c r="A40" s="104" t="s">
        <v>872</v>
      </c>
      <c r="B40" s="311"/>
      <c r="C40" s="311"/>
      <c r="D40" s="311"/>
      <c r="E40" s="311"/>
      <c r="F40" s="311"/>
      <c r="G40" s="311"/>
      <c r="H40" s="311"/>
      <c r="I40" s="311"/>
      <c r="J40" s="2029"/>
      <c r="K40" s="3335" t="str">
        <f t="shared" ref="K40:K41" si="0">MID(A45,3,LEN(A45)-2)</f>
        <v/>
      </c>
      <c r="L40" s="3336"/>
      <c r="M40" s="3336"/>
      <c r="N40" s="3337"/>
      <c r="O40" s="1391" t="str">
        <f>C45</f>
        <v>——</v>
      </c>
      <c r="P40" s="2027"/>
      <c r="V40" s="2027"/>
    </row>
    <row r="41" spans="1:26" ht="16.5" thickBot="1">
      <c r="A41" s="312" t="s">
        <v>355</v>
      </c>
      <c r="B41" s="313"/>
      <c r="C41" s="314" t="s">
        <v>356</v>
      </c>
      <c r="D41" s="315" t="s">
        <v>357</v>
      </c>
      <c r="E41" s="315" t="s">
        <v>358</v>
      </c>
      <c r="F41" s="316" t="s">
        <v>359</v>
      </c>
      <c r="G41" s="311"/>
      <c r="H41" s="311"/>
      <c r="I41" s="311"/>
      <c r="J41" s="2029"/>
      <c r="K41" s="3335" t="str">
        <f t="shared" si="0"/>
        <v/>
      </c>
      <c r="L41" s="3336"/>
      <c r="M41" s="3336"/>
      <c r="N41" s="3337"/>
      <c r="O41" s="1391" t="str">
        <f>C46</f>
        <v>——</v>
      </c>
      <c r="P41" s="2027"/>
      <c r="V41" s="2027"/>
    </row>
    <row r="42" spans="1:26" ht="29.25">
      <c r="A42" s="3395" t="s">
        <v>2067</v>
      </c>
      <c r="B42" s="3396"/>
      <c r="C42" s="264" t="e">
        <f ca="1">C32</f>
        <v>#DIV/0!</v>
      </c>
      <c r="D42" s="317" t="e">
        <f ca="1">C33</f>
        <v>#DIV/0!</v>
      </c>
      <c r="E42" s="317" t="e">
        <f ca="1">C34</f>
        <v>#DIV/0!</v>
      </c>
      <c r="F42" s="318" t="e">
        <f ca="1">C35</f>
        <v>#DIV/0!</v>
      </c>
      <c r="G42" s="311"/>
      <c r="H42" s="311"/>
      <c r="I42" s="319"/>
      <c r="J42" s="2029"/>
      <c r="K42" s="1270" t="s">
        <v>360</v>
      </c>
      <c r="L42" s="2046" t="s">
        <v>361</v>
      </c>
      <c r="M42" s="1271" t="s">
        <v>362</v>
      </c>
      <c r="N42" s="2047" t="s">
        <v>363</v>
      </c>
      <c r="O42" s="2048" t="s">
        <v>364</v>
      </c>
      <c r="P42" s="2027"/>
      <c r="V42" s="2027"/>
    </row>
    <row r="43" spans="1:26" ht="30">
      <c r="A43" s="3405" t="s">
        <v>2730</v>
      </c>
      <c r="B43" s="3406"/>
      <c r="C43" s="264">
        <f>IF(H33="正常操作",G33+G34+G35,G34+G35)</f>
        <v>0</v>
      </c>
      <c r="D43" s="317" t="s">
        <v>43</v>
      </c>
      <c r="E43" s="317" t="s">
        <v>44</v>
      </c>
      <c r="F43" s="318" t="s">
        <v>44</v>
      </c>
      <c r="G43" s="2843" t="s">
        <v>951</v>
      </c>
      <c r="H43" s="311"/>
      <c r="I43" s="319"/>
      <c r="J43" s="2029"/>
      <c r="K43" s="1272" t="str">
        <f>C4</f>
        <v>剩余法-待开发住宅</v>
      </c>
      <c r="L43" s="1273">
        <f ca="1">IF(L42="估价结果/万元",C19,C20)</f>
        <v>31867</v>
      </c>
      <c r="M43" s="1274" t="e">
        <f>C18</f>
        <v>#DIV/0!</v>
      </c>
      <c r="N43" s="1275" t="e">
        <f ca="1">IF(N42="测算结果/万元",G19,G20)</f>
        <v>#DIV/0!</v>
      </c>
      <c r="O43" s="1276" t="e">
        <f ca="1">IF(O42="最终结果/万元",C32,C33)</f>
        <v>#DIV/0!</v>
      </c>
      <c r="P43" s="2027"/>
      <c r="V43" s="2027"/>
    </row>
    <row r="44" spans="1:26" ht="30.75" thickBot="1">
      <c r="A44" s="3395" t="str">
        <f>IF(OR(项目基本情况!E8="抵押价格",项目基本情况!E8="已注销及未注销"),"3.抵押价格","——")</f>
        <v>——</v>
      </c>
      <c r="B44" s="3396"/>
      <c r="C44" s="264" t="str">
        <f>IF(A44="——","——",C42-C43)</f>
        <v>——</v>
      </c>
      <c r="D44" s="317" t="e">
        <f>ROUND(C44*10000/'数据-汇总表'!E3,0)</f>
        <v>#VALUE!</v>
      </c>
      <c r="E44" s="317" t="e">
        <f>ROUND(C44*10000/'数据-汇总表'!D3,0)</f>
        <v>#VALUE!</v>
      </c>
      <c r="F44" s="318" t="e">
        <f>ROUND(C44/('数据-汇总表'!D3/666.67),0)</f>
        <v>#VALUE!</v>
      </c>
      <c r="G44" s="311"/>
      <c r="H44" s="311"/>
      <c r="I44" s="319"/>
      <c r="J44" s="2029"/>
      <c r="K44" s="1277" t="str">
        <f>D4</f>
        <v>基准地价-住宅</v>
      </c>
      <c r="L44" s="1278">
        <f ca="1">IF(L42="估价结果/万元",D19,D20)</f>
        <v>24452</v>
      </c>
      <c r="M44" s="1279" t="e">
        <f>D18</f>
        <v>#DIV/0!</v>
      </c>
      <c r="N44" s="1280"/>
      <c r="O44" s="1281"/>
      <c r="P44" s="2027"/>
      <c r="V44" s="2027"/>
    </row>
    <row r="45" spans="1:26" ht="15">
      <c r="A45" s="3400" t="str">
        <f>IF(项目基本情况!E8="已注销及未注销","4.抵押担保权已注销时的抵押价格",IF(项目基本情况!E8="已注销","3.抵押担保权已注销时的抵押价格","——"))</f>
        <v>——</v>
      </c>
      <c r="B45" s="3401"/>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97" t="str">
        <f>IF(项目基本情况!E9="抵押净值",IF(A45="——","4.抵押净值","5.抵押净值"),"——")</f>
        <v>——</v>
      </c>
      <c r="B46" s="3398"/>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365</v>
      </c>
      <c r="B47" s="1282"/>
      <c r="C47" s="322" t="s">
        <v>366</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367</v>
      </c>
      <c r="G53" s="337"/>
      <c r="H53" s="337"/>
      <c r="I53" s="338" t="s">
        <v>368</v>
      </c>
      <c r="J53" s="2030"/>
      <c r="K53" s="2027"/>
      <c r="L53" s="2027"/>
      <c r="M53" s="2027"/>
      <c r="N53" s="2027"/>
      <c r="O53" s="2027"/>
      <c r="P53" s="2027"/>
      <c r="Q53" s="2027"/>
      <c r="R53" s="2027"/>
      <c r="S53" s="2027"/>
      <c r="T53" s="2027"/>
      <c r="U53" s="2027"/>
      <c r="V53" s="2027"/>
    </row>
    <row r="54" spans="1:22" ht="12.75">
      <c r="A54" s="257"/>
      <c r="B54" s="339" t="s">
        <v>369</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370</v>
      </c>
      <c r="J56" s="2030"/>
      <c r="K56" s="2027"/>
      <c r="L56" s="2027"/>
      <c r="M56" s="2027"/>
      <c r="N56" s="2027"/>
      <c r="O56" s="2027"/>
      <c r="P56" s="2027"/>
      <c r="Q56" s="2027"/>
      <c r="R56" s="2027"/>
      <c r="S56" s="2027"/>
      <c r="T56" s="2027"/>
      <c r="U56" s="2027"/>
      <c r="V56" s="2027"/>
    </row>
    <row r="57" spans="1:22" ht="12.75">
      <c r="A57" s="257"/>
      <c r="B57" s="339" t="s">
        <v>371</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370</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372</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63" t="s">
        <v>373</v>
      </c>
      <c r="B63" s="3364"/>
      <c r="C63" s="3365"/>
      <c r="D63" s="341" t="e">
        <f ca="1">ROUND(C42*F63,0)</f>
        <v>#DIV/0!</v>
      </c>
      <c r="E63" s="302" t="s">
        <v>374</v>
      </c>
      <c r="F63" s="342">
        <v>0.6</v>
      </c>
      <c r="G63" s="343" t="s">
        <v>375</v>
      </c>
      <c r="H63" s="311"/>
      <c r="I63" s="311"/>
      <c r="J63" s="2027"/>
      <c r="K63" s="2027"/>
      <c r="L63" s="2027"/>
      <c r="M63" s="2027"/>
      <c r="N63" s="2027"/>
      <c r="O63" s="2027"/>
      <c r="P63" s="311"/>
      <c r="Q63" s="2027"/>
      <c r="R63" s="2027"/>
      <c r="S63" s="2027"/>
      <c r="T63" s="2027"/>
      <c r="U63" s="2027"/>
      <c r="V63" s="2027"/>
    </row>
    <row r="64" spans="1:22" ht="14.25" customHeight="1">
      <c r="A64" s="3402" t="s">
        <v>377</v>
      </c>
      <c r="B64" s="3403"/>
      <c r="C64" s="3403"/>
      <c r="D64" s="3403"/>
      <c r="E64" s="3403"/>
      <c r="F64" s="3403"/>
      <c r="G64" s="3404"/>
      <c r="H64" s="1287"/>
      <c r="I64" s="947"/>
      <c r="J64" s="1989"/>
      <c r="K64" s="1560" t="s">
        <v>376</v>
      </c>
      <c r="L64" s="11"/>
      <c r="M64" s="11"/>
      <c r="N64" s="11"/>
      <c r="O64" s="11"/>
      <c r="P64" s="311"/>
      <c r="Q64" s="2027"/>
      <c r="R64" s="2027"/>
      <c r="S64" s="2027"/>
      <c r="T64" s="2027"/>
      <c r="U64" s="2027"/>
      <c r="V64" s="2027"/>
    </row>
    <row r="65" spans="1:22" ht="12" customHeight="1">
      <c r="A65" s="344" t="s">
        <v>379</v>
      </c>
      <c r="B65" s="345"/>
      <c r="C65" s="346"/>
      <c r="D65" s="347" t="s">
        <v>380</v>
      </c>
      <c r="E65" s="53" t="s">
        <v>381</v>
      </c>
      <c r="F65" s="348" t="s">
        <v>382</v>
      </c>
      <c r="G65" s="349" t="s">
        <v>383</v>
      </c>
      <c r="H65" s="1287"/>
      <c r="I65" s="947"/>
      <c r="J65" s="1989"/>
      <c r="K65" s="1288"/>
      <c r="L65" s="1289"/>
      <c r="M65" s="1289"/>
      <c r="N65" s="1321" t="s">
        <v>378</v>
      </c>
      <c r="O65" s="1322"/>
      <c r="P65" s="1323"/>
      <c r="Q65" s="2027"/>
      <c r="R65" s="2027"/>
      <c r="S65" s="2027"/>
      <c r="T65" s="2027"/>
      <c r="U65" s="2027"/>
      <c r="V65" s="2027"/>
    </row>
    <row r="66" spans="1:22" ht="25.5">
      <c r="A66" s="3399" t="s">
        <v>385</v>
      </c>
      <c r="B66" s="3370"/>
      <c r="C66" s="3370"/>
      <c r="D66" s="261" t="e">
        <f ca="1">IF(H66="情况1",0,IF(H66="情况2",D70,IF(H66="情况3",D71,IF(H66="情况4",D72))))</f>
        <v>#DIV/0!</v>
      </c>
      <c r="E66" s="992" t="str">
        <f>IF(H66="情况4","(销售额-原购置价)×税（费）率","销售额×税（费）率")</f>
        <v>销售额×税（费）率</v>
      </c>
      <c r="F66" s="350">
        <f>IF(H66="情况1","免征",'数据-取费表'!B41)</f>
        <v>5.6000000000000001E-2</v>
      </c>
      <c r="G66" s="351" t="s">
        <v>386</v>
      </c>
      <c r="H66" s="191" t="s">
        <v>387</v>
      </c>
      <c r="I66" s="1287"/>
      <c r="J66" s="2033"/>
      <c r="K66" s="1290">
        <v>1</v>
      </c>
      <c r="L66" s="3339" t="s">
        <v>384</v>
      </c>
      <c r="M66" s="3340"/>
      <c r="N66" s="2436"/>
      <c r="O66" s="2437"/>
      <c r="P66" s="2438"/>
      <c r="Q66" s="2027"/>
      <c r="R66" s="2027"/>
      <c r="S66" s="2027"/>
      <c r="T66" s="2027"/>
      <c r="U66" s="2027"/>
      <c r="V66" s="2027"/>
    </row>
    <row r="67" spans="1:22" ht="25.5" customHeight="1">
      <c r="A67" s="352" t="s">
        <v>389</v>
      </c>
      <c r="B67" s="3382" t="s">
        <v>390</v>
      </c>
      <c r="C67" s="3382"/>
      <c r="D67" s="353">
        <v>0</v>
      </c>
      <c r="E67" s="41" t="s">
        <v>391</v>
      </c>
      <c r="F67" s="62" t="s">
        <v>21</v>
      </c>
      <c r="G67" s="3366"/>
      <c r="H67" s="311"/>
      <c r="I67" s="1291"/>
      <c r="J67" s="2034"/>
      <c r="K67" s="1975">
        <v>2</v>
      </c>
      <c r="L67" s="3338" t="s">
        <v>388</v>
      </c>
      <c r="M67" s="3338"/>
      <c r="N67" s="1324">
        <f>'数据-取费表'!B2</f>
        <v>43528</v>
      </c>
      <c r="O67" s="1324"/>
      <c r="P67" s="1324"/>
      <c r="Q67" s="2027"/>
      <c r="R67" s="2027"/>
      <c r="S67" s="2027"/>
      <c r="T67" s="2027"/>
      <c r="U67" s="2027"/>
      <c r="V67" s="2027"/>
    </row>
    <row r="68" spans="1:22" ht="25.5" customHeight="1">
      <c r="A68" s="354"/>
      <c r="B68" s="3382" t="s">
        <v>393</v>
      </c>
      <c r="C68" s="3382"/>
      <c r="D68" s="355"/>
      <c r="E68" s="77"/>
      <c r="F68" s="356"/>
      <c r="G68" s="3367"/>
      <c r="H68" s="311"/>
      <c r="I68" s="1291"/>
      <c r="J68" s="2034"/>
      <c r="K68" s="1975">
        <v>3</v>
      </c>
      <c r="L68" s="3338" t="s">
        <v>392</v>
      </c>
      <c r="M68" s="3338"/>
      <c r="N68" s="1292" t="e">
        <f ca="1">C42</f>
        <v>#DIV/0!</v>
      </c>
      <c r="O68" s="1292"/>
      <c r="P68" s="1292"/>
      <c r="Q68" s="2027"/>
      <c r="R68" s="2027"/>
      <c r="S68" s="2027"/>
      <c r="T68" s="2027"/>
      <c r="U68" s="2027"/>
      <c r="V68" s="2027"/>
    </row>
    <row r="69" spans="1:22" ht="12" customHeight="1">
      <c r="A69" s="357"/>
      <c r="B69" s="3382" t="s">
        <v>394</v>
      </c>
      <c r="C69" s="3382"/>
      <c r="D69" s="358"/>
      <c r="E69" s="73"/>
      <c r="F69" s="356"/>
      <c r="G69" s="3368"/>
      <c r="H69" s="311"/>
      <c r="I69" s="1291"/>
      <c r="J69" s="2034"/>
      <c r="K69" s="1293">
        <v>4</v>
      </c>
      <c r="L69" s="3344" t="s">
        <v>2882</v>
      </c>
      <c r="M69" s="3345"/>
      <c r="N69" s="1294" t="str">
        <f>C44</f>
        <v>——</v>
      </c>
      <c r="O69" s="1294"/>
      <c r="P69" s="1294"/>
      <c r="Q69" s="2027"/>
      <c r="R69" s="2027"/>
      <c r="S69" s="2027"/>
      <c r="T69" s="2027"/>
      <c r="U69" s="2027"/>
      <c r="V69" s="2027"/>
    </row>
    <row r="70" spans="1:22" ht="24" customHeight="1">
      <c r="A70" s="359" t="s">
        <v>395</v>
      </c>
      <c r="B70" s="3382" t="s">
        <v>396</v>
      </c>
      <c r="C70" s="3382"/>
      <c r="D70" s="358" t="e">
        <f ca="1">ROUND(D63*'数据-取费表'!B41/(1+'数据-取费表'!C42),0)</f>
        <v>#DIV/0!</v>
      </c>
      <c r="E70" s="17" t="s">
        <v>397</v>
      </c>
      <c r="F70" s="360">
        <f>'数据-取费表'!B41</f>
        <v>5.6000000000000001E-2</v>
      </c>
      <c r="G70" s="361"/>
      <c r="H70" s="311"/>
      <c r="I70" s="1291"/>
      <c r="J70" s="2034"/>
      <c r="K70" s="3036"/>
      <c r="L70" s="3037"/>
      <c r="M70" s="3037"/>
      <c r="N70" s="3038" t="s">
        <v>2887</v>
      </c>
      <c r="O70" s="3037"/>
      <c r="P70" s="3039"/>
      <c r="Q70" s="2027"/>
      <c r="R70" s="2027"/>
      <c r="S70" s="2027"/>
      <c r="T70" s="2027"/>
      <c r="U70" s="2027"/>
      <c r="V70" s="2027"/>
    </row>
    <row r="71" spans="1:22" ht="12" customHeight="1">
      <c r="A71" s="359" t="s">
        <v>403</v>
      </c>
      <c r="B71" s="3381" t="s">
        <v>404</v>
      </c>
      <c r="C71" s="3393"/>
      <c r="D71" s="358" t="e">
        <f ca="1">ROUND(D63*'数据-取费表'!B41/(1+'数据-取费表'!C42),0)</f>
        <v>#DIV/0!</v>
      </c>
      <c r="E71" s="17" t="s">
        <v>397</v>
      </c>
      <c r="F71" s="360">
        <f>'数据-取费表'!B41</f>
        <v>5.6000000000000001E-2</v>
      </c>
      <c r="G71" s="361"/>
      <c r="H71" s="311"/>
      <c r="I71" s="1291"/>
      <c r="J71" s="2034"/>
      <c r="K71" s="3035" t="s">
        <v>398</v>
      </c>
      <c r="L71" s="3346" t="s">
        <v>399</v>
      </c>
      <c r="M71" s="3346"/>
      <c r="N71" s="3035" t="s">
        <v>400</v>
      </c>
      <c r="O71" s="3035" t="s">
        <v>401</v>
      </c>
      <c r="P71" s="3035" t="s">
        <v>402</v>
      </c>
      <c r="Q71" s="2027"/>
      <c r="R71" s="2027"/>
      <c r="S71" s="2027"/>
      <c r="T71" s="2027"/>
      <c r="U71" s="2027"/>
      <c r="V71" s="2027"/>
    </row>
    <row r="72" spans="1:22" ht="12" customHeight="1">
      <c r="A72" s="359" t="s">
        <v>406</v>
      </c>
      <c r="B72" s="3381" t="s">
        <v>407</v>
      </c>
      <c r="C72" s="3393"/>
      <c r="D72" s="358" t="e">
        <f ca="1">C86</f>
        <v>#DIV/0!</v>
      </c>
      <c r="E72" s="73" t="s">
        <v>408</v>
      </c>
      <c r="F72" s="360">
        <f>'数据-取费表'!B41</f>
        <v>5.6000000000000001E-2</v>
      </c>
      <c r="G72" s="361"/>
      <c r="H72" s="1297"/>
      <c r="I72" s="1291"/>
      <c r="J72" s="2034"/>
      <c r="K72" s="1975">
        <v>1</v>
      </c>
      <c r="L72" s="3343" t="s">
        <v>405</v>
      </c>
      <c r="M72" s="3343"/>
      <c r="N72" s="1295" t="e">
        <f ca="1">D66</f>
        <v>#DIV/0!</v>
      </c>
      <c r="O72" s="1858" t="str">
        <f>E66</f>
        <v>销售额×税（费）率</v>
      </c>
      <c r="P72" s="1296">
        <f>F66</f>
        <v>5.6000000000000001E-2</v>
      </c>
      <c r="Q72" s="2027"/>
      <c r="R72" s="2027"/>
      <c r="S72" s="2027"/>
      <c r="T72" s="2027"/>
      <c r="U72" s="2027"/>
      <c r="V72" s="2027"/>
    </row>
    <row r="73" spans="1:22" ht="24" customHeight="1">
      <c r="A73" s="3369" t="s">
        <v>410</v>
      </c>
      <c r="B73" s="3370"/>
      <c r="C73" s="3370"/>
      <c r="D73" s="362">
        <f>IF(H73="个人住宅",0,ROUND(D63*I73,0))</f>
        <v>0</v>
      </c>
      <c r="E73" s="17" t="s">
        <v>411</v>
      </c>
      <c r="F73" s="360" t="str">
        <f>IF(H73="正常",I73,"免征")</f>
        <v>免征</v>
      </c>
      <c r="G73" s="361"/>
      <c r="H73" s="191" t="s">
        <v>2455</v>
      </c>
      <c r="I73" s="360">
        <f>'数据-取费表'!B49</f>
        <v>5.0000000000000001E-4</v>
      </c>
      <c r="J73" s="2034"/>
      <c r="K73" s="1975">
        <v>2</v>
      </c>
      <c r="L73" s="3343" t="s">
        <v>409</v>
      </c>
      <c r="M73" s="3343"/>
      <c r="N73" s="1295">
        <f t="shared" ref="N73:P74" si="1">D73</f>
        <v>0</v>
      </c>
      <c r="O73" s="1858" t="str">
        <f t="shared" si="1"/>
        <v>销售额×税（费）率</v>
      </c>
      <c r="P73" s="1296" t="str">
        <f t="shared" si="1"/>
        <v>免征</v>
      </c>
      <c r="Q73" s="2027"/>
      <c r="R73" s="2027"/>
      <c r="S73" s="2027"/>
      <c r="T73" s="2027"/>
      <c r="U73" s="2027"/>
      <c r="V73" s="2027"/>
    </row>
    <row r="74" spans="1:22" ht="24.75">
      <c r="A74" s="3369" t="s">
        <v>414</v>
      </c>
      <c r="B74" s="3370"/>
      <c r="C74" s="3370"/>
      <c r="D74" s="362" t="e">
        <f ca="1">IF(H74="个人住宅",D75,D76)</f>
        <v>#DIV/0!</v>
      </c>
      <c r="E74" s="17" t="s">
        <v>415</v>
      </c>
      <c r="F74" s="360" t="str">
        <f>IF(H74="正常",F76,"免征")</f>
        <v>——</v>
      </c>
      <c r="G74" s="982" t="s">
        <v>416</v>
      </c>
      <c r="H74" s="363" t="s">
        <v>412</v>
      </c>
      <c r="I74" s="42"/>
      <c r="J74" s="2034"/>
      <c r="K74" s="1975">
        <v>3</v>
      </c>
      <c r="L74" s="3343" t="s">
        <v>413</v>
      </c>
      <c r="M74" s="3343"/>
      <c r="N74" s="1295" t="e">
        <f t="shared" ca="1" si="1"/>
        <v>#DIV/0!</v>
      </c>
      <c r="O74" s="1858" t="str">
        <f t="shared" si="1"/>
        <v>增值额×税（费）率</v>
      </c>
      <c r="P74" s="1298" t="str">
        <f t="shared" si="1"/>
        <v>——</v>
      </c>
      <c r="Q74" s="2027"/>
      <c r="R74" s="2027"/>
      <c r="S74" s="2027"/>
      <c r="T74" s="2027"/>
      <c r="U74" s="2027"/>
      <c r="V74" s="2027"/>
    </row>
    <row r="75" spans="1:22" ht="24">
      <c r="A75" s="359" t="s">
        <v>417</v>
      </c>
      <c r="B75" s="3350" t="s">
        <v>418</v>
      </c>
      <c r="C75" s="3351"/>
      <c r="D75" s="364">
        <v>0</v>
      </c>
      <c r="E75" s="41" t="s">
        <v>419</v>
      </c>
      <c r="F75" s="365"/>
      <c r="G75" s="361"/>
      <c r="H75" s="42"/>
      <c r="I75" s="42"/>
      <c r="J75" s="2034"/>
      <c r="K75" s="3028">
        <f>IF(H77="非个人房产","",4)</f>
        <v>4</v>
      </c>
      <c r="L75" s="3343" t="str">
        <f>IF(H77="非个人房产","——","个人所得税")</f>
        <v>个人所得税</v>
      </c>
      <c r="M75" s="3343"/>
      <c r="N75" s="1299" t="e">
        <f ca="1">D77</f>
        <v>#DIV/0!</v>
      </c>
      <c r="O75" s="1871" t="str">
        <f>E77</f>
        <v>销售额×税（费）率</v>
      </c>
      <c r="P75" s="1300">
        <f>F77</f>
        <v>0.01</v>
      </c>
      <c r="Q75" s="2027"/>
      <c r="R75" s="2027"/>
      <c r="S75" s="2027"/>
      <c r="T75" s="2027"/>
      <c r="U75" s="2027"/>
      <c r="V75" s="2027"/>
    </row>
    <row r="76" spans="1:22" ht="24.75">
      <c r="A76" s="359" t="s">
        <v>395</v>
      </c>
      <c r="B76" s="3350" t="s">
        <v>421</v>
      </c>
      <c r="C76" s="3392"/>
      <c r="D76" s="362" t="e">
        <f ca="1">IF(H76="转让取得",C99,C115)</f>
        <v>#DIV/0!</v>
      </c>
      <c r="E76" s="17" t="s">
        <v>422</v>
      </c>
      <c r="F76" s="53" t="s">
        <v>21</v>
      </c>
      <c r="G76" s="361"/>
      <c r="H76" s="363" t="s">
        <v>423</v>
      </c>
      <c r="I76" s="42"/>
      <c r="J76" s="2034"/>
      <c r="K76" s="3028" t="str">
        <f>IF(项目基本情况!K6="上海银行",IF(K75="",4,K75+1),"")</f>
        <v/>
      </c>
      <c r="L76" s="3331" t="str">
        <f>IF(项目基本情况!K6="上海银行","其他处置费用","")</f>
        <v/>
      </c>
      <c r="M76" s="3332"/>
      <c r="N76" s="1295" t="str">
        <f>IF(项目基本情况!K6="上海银行",N89,"")</f>
        <v/>
      </c>
      <c r="O76" s="3333" t="str">
        <f>IF(项目基本情况!K6="上海银行","包含处置中涉及的律师、诉讼、拍卖、评估等费用","")</f>
        <v/>
      </c>
      <c r="P76" s="3334"/>
      <c r="Q76" s="2027"/>
      <c r="R76" s="2027"/>
      <c r="S76" s="2027"/>
      <c r="T76" s="2027"/>
      <c r="U76" s="2027"/>
      <c r="V76" s="2027"/>
    </row>
    <row r="77" spans="1:22" ht="26.25" thickBot="1">
      <c r="A77" s="3361" t="s">
        <v>425</v>
      </c>
      <c r="B77" s="3362"/>
      <c r="C77" s="3362"/>
      <c r="D77" s="366" t="e">
        <f ca="1">IF(H77="非个人房产","——",IF(H77="个人住宅",0,ROUND(D63*I77,0)))</f>
        <v>#DIV/0!</v>
      </c>
      <c r="E77" s="367" t="str">
        <f>IF(H77="非个人房产","——","销售额×税（费）率")</f>
        <v>销售额×税（费）率</v>
      </c>
      <c r="F77" s="368">
        <f>IF(H77="非个人房产","——",IF(H77="个人住宅","免征",I77))</f>
        <v>0.01</v>
      </c>
      <c r="G77" s="983" t="s">
        <v>416</v>
      </c>
      <c r="H77" s="363" t="s">
        <v>2883</v>
      </c>
      <c r="I77" s="369">
        <v>0.01</v>
      </c>
      <c r="J77" s="2034"/>
      <c r="K77" s="3357">
        <f>IF(AND(K75="",K76=""),4,IF(项目基本情况!K6="上海银行",K76+1,K75+1))</f>
        <v>5</v>
      </c>
      <c r="L77" s="3343" t="s">
        <v>2884</v>
      </c>
      <c r="M77" s="3034" t="s">
        <v>420</v>
      </c>
      <c r="N77" s="1301"/>
      <c r="O77" s="1302">
        <f ca="1">SUMIF(N72:N76,"&lt;9e307")</f>
        <v>0</v>
      </c>
      <c r="P77" s="1303"/>
      <c r="Q77" s="3032" t="e">
        <f ca="1">O77/N69</f>
        <v>#VALUE!</v>
      </c>
      <c r="R77" s="2027"/>
      <c r="S77" s="2027"/>
      <c r="T77" s="2027"/>
      <c r="U77" s="2027"/>
      <c r="V77" s="2027"/>
    </row>
    <row r="78" spans="1:22" ht="12" customHeight="1">
      <c r="A78" s="1304"/>
      <c r="B78" s="311"/>
      <c r="C78" s="311"/>
      <c r="D78" s="311"/>
      <c r="E78" s="42"/>
      <c r="F78" s="42"/>
      <c r="G78" s="42"/>
      <c r="H78" s="1002"/>
      <c r="I78" s="311"/>
      <c r="J78" s="2034"/>
      <c r="K78" s="3357"/>
      <c r="L78" s="3343"/>
      <c r="M78" s="3034" t="s">
        <v>424</v>
      </c>
      <c r="N78" s="1301"/>
      <c r="O78" s="1302" t="str">
        <f ca="1">NUMBERSTRING(INT(O77*10000),2)&amp;"元整"</f>
        <v>零元整</v>
      </c>
      <c r="P78" s="1303"/>
      <c r="Q78" s="2027"/>
      <c r="R78" s="2027"/>
      <c r="S78" s="2027"/>
      <c r="T78" s="2027"/>
      <c r="U78" s="2027"/>
      <c r="V78" s="2027"/>
    </row>
    <row r="79" spans="1:22" ht="13.5" thickBot="1">
      <c r="A79" s="3347" t="s">
        <v>426</v>
      </c>
      <c r="B79" s="3347"/>
      <c r="C79" s="3347"/>
      <c r="D79" s="3347"/>
      <c r="E79" s="3347"/>
      <c r="F79" s="42"/>
      <c r="G79" s="42"/>
      <c r="H79" s="1002"/>
      <c r="I79" s="311"/>
      <c r="J79" s="2034"/>
      <c r="K79" s="3341">
        <f>K77+1</f>
        <v>6</v>
      </c>
      <c r="L79" s="3343" t="s">
        <v>2885</v>
      </c>
      <c r="M79" s="3034" t="s">
        <v>420</v>
      </c>
      <c r="N79" s="1301"/>
      <c r="O79" s="1302" t="e">
        <f ca="1">N69-O77</f>
        <v>#VALUE!</v>
      </c>
      <c r="P79" s="1303"/>
      <c r="Q79" s="2027"/>
      <c r="R79" s="2027"/>
      <c r="S79" s="2027"/>
      <c r="T79" s="2027"/>
      <c r="U79" s="2027"/>
      <c r="V79" s="2027"/>
    </row>
    <row r="80" spans="1:22" ht="12.75">
      <c r="A80" s="3348" t="s">
        <v>427</v>
      </c>
      <c r="B80" s="3349"/>
      <c r="C80" s="993"/>
      <c r="D80" s="993" t="s">
        <v>428</v>
      </c>
      <c r="E80" s="370" t="s">
        <v>429</v>
      </c>
      <c r="F80" s="42"/>
      <c r="G80" s="42"/>
      <c r="H80" s="1002"/>
      <c r="I80" s="311"/>
      <c r="J80" s="2027"/>
      <c r="K80" s="3342"/>
      <c r="L80" s="3343"/>
      <c r="M80" s="3034" t="s">
        <v>424</v>
      </c>
      <c r="N80" s="1301"/>
      <c r="O80" s="1302" t="e">
        <f ca="1">NUMBERSTRING(INT(O79*10000),2)&amp;"元整"</f>
        <v>#VALUE!</v>
      </c>
      <c r="P80" s="1303"/>
      <c r="Q80" s="2027"/>
      <c r="R80" s="2027"/>
      <c r="S80" s="2027"/>
      <c r="T80" s="2027"/>
      <c r="U80" s="2027"/>
      <c r="V80" s="2027"/>
    </row>
    <row r="81" spans="1:26" ht="13.5" thickBot="1">
      <c r="A81" s="381" t="s">
        <v>1823</v>
      </c>
      <c r="B81" s="371" t="s">
        <v>430</v>
      </c>
      <c r="C81" s="372" t="e">
        <f ca="1">ROUND((C82+C83)/(1+'数据-取费表'!C42),0)</f>
        <v>#DIV/0!</v>
      </c>
      <c r="D81" s="373"/>
      <c r="E81" s="374"/>
      <c r="F81" s="42"/>
      <c r="G81" s="42"/>
      <c r="H81" s="1002"/>
      <c r="I81" s="311"/>
      <c r="J81" s="2027"/>
      <c r="K81" s="3028">
        <f>K79+1</f>
        <v>7</v>
      </c>
      <c r="L81" s="3355" t="s">
        <v>2886</v>
      </c>
      <c r="M81" s="3356"/>
      <c r="N81" s="1305"/>
      <c r="O81" s="1306" t="e">
        <f ca="1">ROUND(O79*10000/'数据-汇总表'!E3,0)</f>
        <v>#VALUE!</v>
      </c>
      <c r="P81" s="1307"/>
      <c r="Q81" s="2027"/>
      <c r="R81" s="2027"/>
      <c r="S81" s="2027"/>
      <c r="T81" s="2027"/>
      <c r="U81" s="2027"/>
      <c r="V81" s="2027"/>
    </row>
    <row r="82" spans="1:26" ht="13.5" thickTop="1">
      <c r="A82" s="375" t="s">
        <v>1824</v>
      </c>
      <c r="B82" s="376" t="s">
        <v>431</v>
      </c>
      <c r="C82" s="377" t="e">
        <f ca="1">D63</f>
        <v>#DIV/0!</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1825</v>
      </c>
      <c r="B83" s="376" t="s">
        <v>432</v>
      </c>
      <c r="C83" s="380">
        <v>0</v>
      </c>
      <c r="D83" s="378"/>
      <c r="E83" s="379"/>
      <c r="F83" s="42"/>
      <c r="G83" s="42"/>
      <c r="H83" s="1002"/>
      <c r="I83" s="311"/>
      <c r="J83" s="2027"/>
      <c r="K83" s="3330" t="s">
        <v>2873</v>
      </c>
      <c r="L83" s="3040" t="s">
        <v>2874</v>
      </c>
      <c r="M83" s="3030" t="e">
        <f>IF(N69&gt;10000,N69*0.5%,IF(AND(N69&gt;1000,N69&lt;=10000),N69*1%,IF(AND(N69&gt;100,N69&lt;=1000),N69*3%,IF(AND(N69&gt;10,N69&lt;=100),N69*5%,N69*8%))))</f>
        <v>#VALUE!</v>
      </c>
      <c r="N83" s="53" t="e">
        <f>ROUND(M83,1)</f>
        <v>#VALUE!</v>
      </c>
      <c r="O83" s="3033"/>
      <c r="P83" s="2027"/>
      <c r="Q83" s="2027"/>
      <c r="R83" s="2027"/>
      <c r="S83" s="2027"/>
      <c r="T83" s="2027"/>
      <c r="U83" s="2027"/>
      <c r="V83" s="2027"/>
    </row>
    <row r="84" spans="1:26" ht="12.75">
      <c r="A84" s="381" t="s">
        <v>1826</v>
      </c>
      <c r="B84" s="382" t="s">
        <v>433</v>
      </c>
      <c r="C84" s="383">
        <v>2000</v>
      </c>
      <c r="D84" s="384" t="s">
        <v>19</v>
      </c>
      <c r="E84" s="3074" t="s">
        <v>2936</v>
      </c>
      <c r="F84" s="42"/>
      <c r="G84" s="42"/>
      <c r="H84" s="1002"/>
      <c r="I84" s="311"/>
      <c r="J84" s="2027"/>
      <c r="K84" s="3330"/>
      <c r="L84" s="3040" t="s">
        <v>2875</v>
      </c>
      <c r="M84" s="303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2876</v>
      </c>
      <c r="P84" s="2027"/>
      <c r="Q84" s="2027"/>
      <c r="R84" s="2027"/>
      <c r="S84" s="2027"/>
      <c r="T84" s="2027"/>
      <c r="U84" s="2027"/>
      <c r="V84" s="2027"/>
    </row>
    <row r="85" spans="1:26" ht="12.75">
      <c r="A85" s="381" t="s">
        <v>1827</v>
      </c>
      <c r="B85" s="382" t="s">
        <v>434</v>
      </c>
      <c r="C85" s="385" t="e">
        <f ca="1">C81-C84</f>
        <v>#DIV/0!</v>
      </c>
      <c r="D85" s="378" t="s">
        <v>19</v>
      </c>
      <c r="E85" s="379"/>
      <c r="F85" s="42"/>
      <c r="G85" s="42"/>
      <c r="H85" s="1002"/>
      <c r="I85" s="311"/>
      <c r="J85" s="2027"/>
      <c r="K85" s="3330"/>
      <c r="L85" s="3040" t="s">
        <v>2877</v>
      </c>
      <c r="M85" s="3030" t="e">
        <f>IF(N69&gt;1000,N69*0.1%,IF(AND(N69&gt;500,N69&lt;=1000),N69*0.5%,IF(AND(N69&gt;50,N69&lt;=500),N69*1%,IF(AND(N69&gt;1,N69&lt;=50),N69*1.5%))))</f>
        <v>#VALUE!</v>
      </c>
      <c r="N85" s="53" t="e">
        <f t="shared" si="2"/>
        <v>#VALUE!</v>
      </c>
      <c r="O85" s="2027" t="s">
        <v>2876</v>
      </c>
      <c r="P85" s="2027"/>
      <c r="Q85" s="2027"/>
      <c r="R85" s="2027"/>
      <c r="S85" s="2027"/>
      <c r="T85" s="2027"/>
      <c r="U85" s="2027"/>
      <c r="V85" s="2027"/>
    </row>
    <row r="86" spans="1:26" ht="13.5" thickBot="1">
      <c r="A86" s="386" t="s">
        <v>1828</v>
      </c>
      <c r="B86" s="387" t="s">
        <v>435</v>
      </c>
      <c r="C86" s="388" t="e">
        <f ca="1">IF(C85&lt;=0,0,ROUND(C85*D86,0))</f>
        <v>#DIV/0!</v>
      </c>
      <c r="D86" s="389">
        <f>'数据-取费表'!B41</f>
        <v>5.6000000000000001E-2</v>
      </c>
      <c r="E86" s="390"/>
      <c r="F86" s="42"/>
      <c r="G86" s="42"/>
      <c r="H86" s="1002"/>
      <c r="I86" s="311"/>
      <c r="J86" s="2027"/>
      <c r="K86" s="3330"/>
      <c r="L86" s="3040" t="s">
        <v>2878</v>
      </c>
      <c r="M86" s="3030" t="e">
        <f>N69*0.5%</f>
        <v>#VALUE!</v>
      </c>
      <c r="N86" s="53" t="e">
        <f>IF(M86&gt;0.5,0.5,ROUND(M86,0))</f>
        <v>#VALUE!</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30"/>
      <c r="L87" s="3040" t="s">
        <v>2880</v>
      </c>
      <c r="M87" s="303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3"/>
      <c r="P87" s="311"/>
      <c r="Q87" s="2027"/>
      <c r="R87" s="2027"/>
      <c r="S87" s="2027"/>
      <c r="T87" s="2027"/>
      <c r="U87" s="2027"/>
      <c r="V87" s="2027"/>
      <c r="W87" s="292"/>
      <c r="X87" s="292"/>
      <c r="Y87" s="292"/>
      <c r="Z87" s="292"/>
    </row>
    <row r="88" spans="1:26" s="1313" customFormat="1" ht="15" thickBot="1">
      <c r="A88" s="3384" t="s">
        <v>436</v>
      </c>
      <c r="B88" s="3385"/>
      <c r="C88" s="3385"/>
      <c r="D88" s="3385"/>
      <c r="E88" s="3385"/>
      <c r="F88" s="3385"/>
      <c r="G88" s="3385"/>
      <c r="H88" s="3385"/>
      <c r="I88" s="1314"/>
      <c r="J88" s="2035"/>
      <c r="K88" s="3330"/>
      <c r="L88" s="3040" t="s">
        <v>2881</v>
      </c>
      <c r="M88" s="3030" t="e">
        <f>IF(N69&gt;10000,N69*0.5%,IF(AND(N69&gt;5000,N69&lt;=10000),N69*1%,IF(AND(N69&gt;1000,N69&lt;=5000),N69*2%,IF(AND(N69&gt;200,N69&lt;=1000),N69*3%,N69*5%))))</f>
        <v>#VALUE!</v>
      </c>
      <c r="N88" s="53" t="e">
        <f>ROUND(M88,1)</f>
        <v>#VALUE!</v>
      </c>
      <c r="O88" s="3033"/>
      <c r="P88" s="11"/>
      <c r="Q88" s="2032"/>
      <c r="R88" s="2032"/>
      <c r="S88" s="2032"/>
      <c r="T88" s="2032"/>
      <c r="U88" s="2032"/>
      <c r="V88" s="2032"/>
      <c r="W88" s="2036"/>
      <c r="X88" s="2036"/>
      <c r="Y88" s="2036"/>
      <c r="Z88" s="2036"/>
    </row>
    <row r="89" spans="1:26" s="1313" customFormat="1" ht="14.25">
      <c r="A89" s="3348" t="s">
        <v>427</v>
      </c>
      <c r="B89" s="3349"/>
      <c r="C89" s="993"/>
      <c r="D89" s="993" t="s">
        <v>428</v>
      </c>
      <c r="E89" s="391" t="s">
        <v>437</v>
      </c>
      <c r="F89" s="392"/>
      <c r="G89" s="392"/>
      <c r="H89" s="393"/>
      <c r="I89" s="1315"/>
      <c r="J89" s="2037"/>
      <c r="K89" s="3330"/>
      <c r="L89" s="3040" t="s">
        <v>27</v>
      </c>
      <c r="M89" s="3031"/>
      <c r="N89" s="53" t="e">
        <f>ROUND(SUM(N83:N88),0)</f>
        <v>#VALUE!</v>
      </c>
      <c r="O89" s="3041" t="e">
        <f>N89/N69</f>
        <v>#VALUE!</v>
      </c>
      <c r="P89" s="2032"/>
      <c r="Q89" s="2032"/>
      <c r="R89" s="2032"/>
      <c r="S89" s="2032"/>
      <c r="T89" s="2032"/>
      <c r="U89" s="2032"/>
      <c r="V89" s="2032"/>
      <c r="W89" s="2036"/>
      <c r="X89" s="2036"/>
      <c r="Y89" s="2036"/>
      <c r="Z89" s="2036"/>
    </row>
    <row r="90" spans="1:26" s="1313" customFormat="1" ht="14.25">
      <c r="A90" s="381" t="s">
        <v>1823</v>
      </c>
      <c r="B90" s="382" t="s">
        <v>438</v>
      </c>
      <c r="C90" s="385" t="e">
        <f ca="1">ROUND(D63/(1+'数据-取费表'!C42),0)</f>
        <v>#DIV/0!</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1829</v>
      </c>
      <c r="B91" s="348" t="s">
        <v>439</v>
      </c>
      <c r="C91" s="385" t="e">
        <f ca="1">C92+C96</f>
        <v>#DIV/0!</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1831</v>
      </c>
      <c r="B93" s="376" t="s">
        <v>441</v>
      </c>
      <c r="C93" s="396">
        <v>2000</v>
      </c>
      <c r="D93" s="378" t="s">
        <v>19</v>
      </c>
      <c r="E93" s="397" t="s">
        <v>442</v>
      </c>
      <c r="F93" s="398" t="s">
        <v>443</v>
      </c>
      <c r="G93" s="397" t="s">
        <v>444</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1832</v>
      </c>
      <c r="B94" s="400" t="s">
        <v>445</v>
      </c>
      <c r="C94" s="378">
        <f>IF(F93="购房发票",ROUND(C93*H93*5%,0),0)</f>
        <v>500</v>
      </c>
      <c r="D94" s="401">
        <v>0.05</v>
      </c>
      <c r="E94" s="3381" t="s">
        <v>446</v>
      </c>
      <c r="F94" s="3382"/>
      <c r="G94" s="3382"/>
      <c r="H94" s="3383"/>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1834</v>
      </c>
      <c r="B96" s="376" t="s">
        <v>449</v>
      </c>
      <c r="C96" s="405" t="e">
        <f ca="1">ROUND(D63*D96/(1+'数据-取费表'!C42),0)</f>
        <v>#DIV/0!</v>
      </c>
      <c r="D96" s="406">
        <f>'数据-取费表'!B43</f>
        <v>6.000000000000001E-3</v>
      </c>
      <c r="E96" s="3371" t="s">
        <v>2428</v>
      </c>
      <c r="F96" s="3372"/>
      <c r="G96" s="3372"/>
      <c r="H96" s="3373"/>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1835</v>
      </c>
      <c r="B97" s="382" t="s">
        <v>450</v>
      </c>
      <c r="C97" s="385" t="e">
        <f ca="1">C90-C91</f>
        <v>#DIV/0!</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1836</v>
      </c>
      <c r="B98" s="382" t="s">
        <v>451</v>
      </c>
      <c r="C98" s="407" t="e">
        <f ca="1">IF(C97&lt;=0,0,C97/C91)</f>
        <v>#DIV/0!</v>
      </c>
      <c r="D98" s="378" t="s">
        <v>19</v>
      </c>
      <c r="E98" s="26" t="e">
        <f ca="1">IF(C98&gt;=200%,"增值额超过扣除项目金额200%",IF(C98&gt;=100%,"增值额超过扣除项目金额100%，未超过200%",IF(C98&gt;=50%,"增值额超过扣除项目金额50%，未超过100%",IF(C98&lt;50%,"增值额未超过扣除项目金额50%"))))</f>
        <v>#DIV/0!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1837</v>
      </c>
      <c r="B99" s="387" t="s">
        <v>452</v>
      </c>
      <c r="C99" s="408" t="e">
        <f ca="1">ROUND(IF(C97&lt;=0,0,IF(C98&gt;=200%,C97*60%-C91*35%,IF(C98&gt;=100%,C97*50%-C91*15%,IF(C98&gt;=50%,C97*40%-C91*5%,IF(C98&lt;50%,C97*30%,0))))),0)</f>
        <v>#DIV/0!</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84" t="s">
        <v>453</v>
      </c>
      <c r="B101" s="3385"/>
      <c r="C101" s="3385"/>
      <c r="D101" s="3385"/>
      <c r="E101" s="3385"/>
      <c r="F101" s="3385"/>
      <c r="G101" s="3385"/>
      <c r="H101" s="3385"/>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48" t="s">
        <v>427</v>
      </c>
      <c r="B102" s="3349"/>
      <c r="C102" s="993"/>
      <c r="D102" s="993" t="s">
        <v>428</v>
      </c>
      <c r="E102" s="391" t="s">
        <v>437</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1823</v>
      </c>
      <c r="B103" s="382" t="s">
        <v>438</v>
      </c>
      <c r="C103" s="385" t="e">
        <f ca="1">ROUND(D63/(1+'数据-取费表'!C42),0)</f>
        <v>#DIV/0!</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1829</v>
      </c>
      <c r="B104" s="348" t="s">
        <v>439</v>
      </c>
      <c r="C104" s="385" t="e">
        <f ca="1">IF(H106="仅含出让金",C105+C108+C109+C110+C111+C112,C105+C109+C110+C111+C112)</f>
        <v>#DIV/0!</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1830</v>
      </c>
      <c r="B105" s="376" t="s">
        <v>454</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1831</v>
      </c>
      <c r="B106" s="376" t="s">
        <v>455</v>
      </c>
      <c r="C106" s="416">
        <v>555</v>
      </c>
      <c r="D106" s="406"/>
      <c r="E106" s="417" t="s">
        <v>456</v>
      </c>
      <c r="F106" s="985"/>
      <c r="G106" s="418" t="s">
        <v>457</v>
      </c>
      <c r="H106" s="419" t="s">
        <v>2439</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1838</v>
      </c>
      <c r="B109" s="376" t="s">
        <v>460</v>
      </c>
      <c r="C109" s="405">
        <f>IF(H109="——",IF(F1="现房",'剩余法-现房'!C18,'剩余法-待开发住宅'!C18),I109)</f>
        <v>55</v>
      </c>
      <c r="D109" s="406"/>
      <c r="E109" s="3374" t="s">
        <v>461</v>
      </c>
      <c r="F109" s="3372"/>
      <c r="G109" s="3372"/>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1839</v>
      </c>
      <c r="B110" s="376" t="s">
        <v>462</v>
      </c>
      <c r="C110" s="405">
        <f>ROUND((C105+C108+C109)*D110,0)</f>
        <v>63</v>
      </c>
      <c r="D110" s="406">
        <v>0.1</v>
      </c>
      <c r="E110" s="3374" t="s">
        <v>463</v>
      </c>
      <c r="F110" s="3372"/>
      <c r="G110" s="3372"/>
      <c r="H110" s="3373"/>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1840</v>
      </c>
      <c r="B111" s="376" t="s">
        <v>449</v>
      </c>
      <c r="C111" s="405" t="e">
        <f ca="1">ROUND(D63*D111/(1+'数据-取费表'!C42),0)</f>
        <v>#DIV/0!</v>
      </c>
      <c r="D111" s="406">
        <f>'数据-取费表'!B43</f>
        <v>6.000000000000001E-3</v>
      </c>
      <c r="E111" s="3371" t="s">
        <v>2428</v>
      </c>
      <c r="F111" s="3372"/>
      <c r="G111" s="3372"/>
      <c r="H111" s="3373"/>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1841</v>
      </c>
      <c r="B112" s="376" t="s">
        <v>464</v>
      </c>
      <c r="C112" s="405">
        <f>ROUND(C108*D112,0)</f>
        <v>0</v>
      </c>
      <c r="D112" s="406">
        <v>0.2</v>
      </c>
      <c r="E112" s="3374" t="s">
        <v>2453</v>
      </c>
      <c r="F112" s="3372"/>
      <c r="G112" s="3372"/>
      <c r="H112" s="3373"/>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1835</v>
      </c>
      <c r="B113" s="382" t="s">
        <v>450</v>
      </c>
      <c r="C113" s="385" t="e">
        <f ca="1">ROUND(C103-C104,0)</f>
        <v>#DIV/0!</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1836</v>
      </c>
      <c r="B114" s="382" t="s">
        <v>451</v>
      </c>
      <c r="C114" s="407" t="e">
        <f ca="1">IF(C113&lt;=0,0,C113/C104)</f>
        <v>#DIV/0!</v>
      </c>
      <c r="D114" s="378" t="s">
        <v>19</v>
      </c>
      <c r="E114" s="26" t="e">
        <f ca="1">IF(C114&gt;=200%,"增值额超过扣除项目金额200%",IF(C114&gt;=100%,"增值额超过扣除项目金额100%，未超过200%",IF(C114&gt;=50%,"增值额超过扣除项目金额50%，未超过100%",IF(C114&lt;50%,"增值额未超过扣除项目金额50%"))))</f>
        <v>#DIV/0!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1837</v>
      </c>
      <c r="B115" s="387" t="s">
        <v>452</v>
      </c>
      <c r="C115" s="408" t="e">
        <f ca="1">ROUND(IF(C113&lt;=0,0,IF(C114&gt;=200%,C113*60%-C104*35%,IF(C114&gt;=100%,C113*50%-C104*15%,IF(C114&gt;=50%,C113*40%-C104*5%,IF(C114&lt;50%,C113*30%,0))))),0)</f>
        <v>#DIV/0!</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108">
    <cfRule type="expression" dxfId="143" priority="3" stopIfTrue="1">
      <formula>$H$106&lt;&gt;"仅含出让金"</formula>
    </cfRule>
  </conditionalFormatting>
  <conditionalFormatting sqref="C109">
    <cfRule type="expression" dxfId="142" priority="2" stopIfTrue="1">
      <formula>$H$109="由企业提供"</formula>
    </cfRule>
  </conditionalFormatting>
  <conditionalFormatting sqref="I33">
    <cfRule type="expression" dxfId="14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D2" sqref="D2"/>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786" t="s">
        <v>922</v>
      </c>
      <c r="C1" s="2103"/>
      <c r="D1" s="2103"/>
      <c r="E1" s="2103"/>
      <c r="F1" s="2103"/>
      <c r="G1" s="2103"/>
      <c r="H1" s="2103"/>
      <c r="I1" s="2103"/>
      <c r="J1" s="2103"/>
      <c r="K1" s="422">
        <f>MATCH(B1,'数据-取费表'!A6:A16,0)+5</f>
        <v>6</v>
      </c>
    </row>
    <row r="2" spans="1:31" s="2040" customFormat="1" ht="18" customHeight="1">
      <c r="A2" s="2100" t="s">
        <v>466</v>
      </c>
      <c r="B2" s="2104">
        <f ca="1">C36</f>
        <v>31867</v>
      </c>
      <c r="C2" s="2103"/>
      <c r="D2" s="2103"/>
      <c r="E2" s="2103"/>
      <c r="F2" s="2103"/>
      <c r="G2" s="2103"/>
      <c r="H2" s="2103"/>
      <c r="I2" s="2103"/>
      <c r="J2" s="2103"/>
      <c r="K2" s="2103"/>
    </row>
    <row r="3" spans="1:31" s="2040" customFormat="1" ht="18" customHeight="1">
      <c r="A3" s="2105" t="s">
        <v>1684</v>
      </c>
      <c r="B3" s="2106">
        <f ca="1">ROUND(B2*10000/IF(B1="",'数据-汇总表'!E3,INDIRECT("'数据-取费表'!K"&amp;$K$1)),0)</f>
        <v>31867</v>
      </c>
      <c r="C3" s="2103"/>
      <c r="D3" s="2103"/>
      <c r="E3" s="2103"/>
      <c r="F3" s="2103"/>
      <c r="G3" s="2103"/>
      <c r="H3" s="2103"/>
      <c r="I3" s="2103"/>
      <c r="J3" s="2103"/>
      <c r="K3" s="2103"/>
    </row>
    <row r="4" spans="1:31" s="2040" customFormat="1" ht="18" customHeight="1">
      <c r="A4" s="426" t="s">
        <v>467</v>
      </c>
      <c r="B4" s="427">
        <f ca="1">ROUND(B2*10000/IF(B1="",'数据-汇总表'!D3,INDIRECT("'数据-取费表'!R"&amp;$K$1)),0)</f>
        <v>14484</v>
      </c>
      <c r="C4" s="428"/>
      <c r="D4" s="422"/>
      <c r="E4" s="422"/>
      <c r="F4" s="422"/>
      <c r="G4" s="422"/>
      <c r="H4" s="422"/>
      <c r="I4" s="422"/>
      <c r="J4" s="422"/>
      <c r="K4" s="422"/>
    </row>
    <row r="5" spans="1:31" s="2040" customFormat="1" ht="18" customHeight="1" thickBot="1">
      <c r="A5" s="429"/>
      <c r="B5" s="430">
        <f ca="1">ROUND(B2/(IF(B1="",'数据-汇总表'!D3,INDIRECT("'数据-取费表'!R"&amp;$K$1))/666.67),0)</f>
        <v>966</v>
      </c>
      <c r="C5" s="431" t="s">
        <v>468</v>
      </c>
      <c r="D5" s="422"/>
      <c r="E5" s="422"/>
      <c r="F5" s="422"/>
      <c r="G5" s="422"/>
      <c r="H5" s="422"/>
      <c r="I5" s="422"/>
      <c r="J5" s="422"/>
      <c r="K5" s="422"/>
    </row>
    <row r="6" spans="1:31" s="2110" customFormat="1" ht="16.5" customHeight="1">
      <c r="A6" s="2805" t="s">
        <v>1842</v>
      </c>
      <c r="B6" s="2806"/>
      <c r="C6" s="2807">
        <f>SUM(C10:K10)</f>
        <v>47075</v>
      </c>
      <c r="D6" s="2806"/>
      <c r="E6" s="2806"/>
      <c r="F6" s="2806"/>
      <c r="G6" s="2806"/>
      <c r="H6" s="2806"/>
      <c r="I6" s="2806"/>
      <c r="J6" s="2806"/>
      <c r="K6" s="2808"/>
    </row>
    <row r="7" spans="1:31" s="2112" customFormat="1" ht="15">
      <c r="A7" s="2809" t="s">
        <v>469</v>
      </c>
      <c r="B7" s="2810" t="s">
        <v>470</v>
      </c>
      <c r="C7" s="436" t="s">
        <v>922</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471</v>
      </c>
      <c r="C8" s="2811">
        <f>'不动产比较法-住宅'!C49</f>
        <v>47075</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472</v>
      </c>
      <c r="C9" s="441">
        <f>SUMIF('数据-汇总表'!$C19:$C33,'剩余法-待开发住宅'!C7,'数据-汇总表'!$E19:$E33)</f>
        <v>10000</v>
      </c>
      <c r="D9" s="441">
        <f>SUMIF('数据-汇总表'!$C19:$C33,'剩余法-待开发住宅'!D7,'数据-汇总表'!$E19:$E33)</f>
        <v>0</v>
      </c>
      <c r="E9" s="441">
        <f>SUMIF('数据-汇总表'!$C19:$C33,'剩余法-待开发住宅'!E7,'数据-汇总表'!$E19:$E33)</f>
        <v>0</v>
      </c>
      <c r="F9" s="441">
        <f>SUMIF('数据-汇总表'!$C19:$C33,'剩余法-待开发住宅'!F7,'数据-汇总表'!$E19:$E33)</f>
        <v>0</v>
      </c>
      <c r="G9" s="441">
        <f>SUMIF('数据-汇总表'!$C19:$C33,'剩余法-待开发住宅'!G7,'数据-汇总表'!$E19:$E33)</f>
        <v>0</v>
      </c>
      <c r="H9" s="441">
        <f>SUMIF('数据-汇总表'!$C19:$C33,'剩余法-待开发住宅'!H7,'数据-汇总表'!$E19:$E33)</f>
        <v>0</v>
      </c>
      <c r="I9" s="441">
        <f>SUMIF('数据-汇总表'!$C19:$C33,'剩余法-待开发住宅'!I7,'数据-汇总表'!$E19:$E33)</f>
        <v>0</v>
      </c>
      <c r="J9" s="441">
        <f>SUMIF('数据-汇总表'!$C19:$C33,'剩余法-待开发住宅'!J7,'数据-汇总表'!$E19:$E33)</f>
        <v>0</v>
      </c>
      <c r="K9" s="442">
        <f>SUMIF('数据-汇总表'!$C19:$C33,'剩余法-待开发住宅'!K7,'数据-汇总表'!$E19:$E33)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473</v>
      </c>
      <c r="C10" s="3003">
        <f>C8</f>
        <v>47075</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469</v>
      </c>
      <c r="B12" s="2789" t="s">
        <v>470</v>
      </c>
      <c r="C12" s="2818" t="s">
        <v>474</v>
      </c>
      <c r="D12" s="2785" t="s">
        <v>475</v>
      </c>
      <c r="E12" s="2785" t="s">
        <v>476</v>
      </c>
      <c r="F12" s="2785" t="s">
        <v>477</v>
      </c>
      <c r="G12" s="2789"/>
      <c r="H12" s="2790"/>
      <c r="I12" s="2790"/>
      <c r="J12" s="2790"/>
      <c r="K12" s="2791"/>
    </row>
    <row r="13" spans="1:31" s="2115" customFormat="1" ht="13.5" customHeight="1">
      <c r="A13" s="2819" t="s">
        <v>1848</v>
      </c>
      <c r="B13" s="2820" t="s">
        <v>478</v>
      </c>
      <c r="C13" s="450">
        <f ca="1">IF(B1="",'数据-取费表'!P16,INDIRECT("'数据-取费表'!p"&amp;$K$1)+INDIRECT("'数据-取费表'!t"&amp;$K$1))</f>
        <v>2600</v>
      </c>
      <c r="D13" s="2821"/>
      <c r="E13" s="2822"/>
      <c r="F13" s="2823"/>
      <c r="G13" s="2789"/>
      <c r="H13" s="2790"/>
      <c r="I13" s="2790"/>
      <c r="J13" s="2790"/>
      <c r="K13" s="2791"/>
    </row>
    <row r="14" spans="1:31" s="2115" customFormat="1" ht="13.5" customHeight="1">
      <c r="A14" s="2819" t="s">
        <v>1849</v>
      </c>
      <c r="B14" s="2820" t="s">
        <v>479</v>
      </c>
      <c r="C14" s="53">
        <f ca="1">ROUND(C13*F14,0)</f>
        <v>78</v>
      </c>
      <c r="D14" s="2821"/>
      <c r="E14" s="2822"/>
      <c r="F14" s="2824">
        <f>'数据-取费表'!B33</f>
        <v>0.03</v>
      </c>
      <c r="G14" s="2789" t="s">
        <v>480</v>
      </c>
      <c r="H14" s="2790"/>
      <c r="I14" s="2790"/>
      <c r="J14" s="2790"/>
      <c r="K14" s="2791"/>
    </row>
    <row r="15" spans="1:31" s="2115" customFormat="1" ht="13.5" customHeight="1">
      <c r="A15" s="2819" t="s">
        <v>1850</v>
      </c>
      <c r="B15" s="2820" t="s">
        <v>481</v>
      </c>
      <c r="C15" s="53">
        <f ca="1">ROUND(IF(B1="",SUMIF('数据-取费表'!C:C,"住宅",'数据-取费表'!P:P)*F15,IF(INDIRECT("'数据-取费表'!c"&amp;$K$1)="住宅",INDIRECT("'数据-取费表'!P"&amp;$K$1)*F15,0)),0)</f>
        <v>260</v>
      </c>
      <c r="D15" s="2821"/>
      <c r="E15" s="2822"/>
      <c r="F15" s="2824">
        <f>'数据-取费表'!B34</f>
        <v>0.1</v>
      </c>
      <c r="G15" s="2789" t="s">
        <v>482</v>
      </c>
      <c r="H15" s="2790"/>
      <c r="I15" s="2790"/>
      <c r="J15" s="2790"/>
      <c r="K15" s="2791"/>
    </row>
    <row r="16" spans="1:31" s="2116" customFormat="1" ht="13.5" customHeight="1">
      <c r="A16" s="2819" t="s">
        <v>1851</v>
      </c>
      <c r="B16" s="2820" t="s">
        <v>483</v>
      </c>
      <c r="C16" s="53">
        <f ca="1">ROUND(D16*E16/10000,0)</f>
        <v>200</v>
      </c>
      <c r="D16" s="2821">
        <f ca="1">IF(B1="",'数据-汇总表'!E3,INDIRECT("'数据-取费表'!K"&amp;$K$1)+INDIRECT("'数据-取费表'!S"&amp;$K$1))</f>
        <v>10000</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484</v>
      </c>
      <c r="C17" s="2825">
        <f ca="1">ROUND(C13*F17,0)</f>
        <v>39</v>
      </c>
      <c r="D17" s="475"/>
      <c r="E17" s="2825"/>
      <c r="F17" s="2826">
        <f>'数据-取费表'!B36</f>
        <v>1.4999999999999999E-2</v>
      </c>
      <c r="G17" s="261" t="s">
        <v>485</v>
      </c>
      <c r="H17" s="2792"/>
      <c r="I17" s="2792"/>
      <c r="J17" s="2792"/>
      <c r="K17" s="279"/>
    </row>
    <row r="18" spans="1:14" s="2115" customFormat="1" ht="13.5" customHeight="1">
      <c r="A18" s="2827" t="s">
        <v>1853</v>
      </c>
      <c r="B18" s="2828" t="s">
        <v>486</v>
      </c>
      <c r="C18" s="2829">
        <f ca="1">SUM(C13:C17)</f>
        <v>3177</v>
      </c>
      <c r="D18" s="2830"/>
      <c r="E18" s="468"/>
      <c r="F18" s="468"/>
      <c r="G18" s="2793" t="s">
        <v>2430</v>
      </c>
      <c r="H18" s="2794"/>
      <c r="I18" s="2794"/>
      <c r="J18" s="2794"/>
      <c r="K18" s="2795"/>
    </row>
    <row r="19" spans="1:14" s="2115" customFormat="1" ht="13.5" customHeight="1">
      <c r="A19" s="2827" t="s">
        <v>1854</v>
      </c>
      <c r="B19" s="2828" t="s">
        <v>487</v>
      </c>
      <c r="C19" s="2785">
        <f ca="1">ROUND(D19*E19/10000,0)</f>
        <v>0</v>
      </c>
      <c r="D19" s="2831">
        <f ca="1">D16</f>
        <v>10000</v>
      </c>
      <c r="E19" s="2785">
        <f>'数据-取费表'!B32</f>
        <v>0</v>
      </c>
      <c r="F19" s="468"/>
      <c r="G19" s="2789" t="s">
        <v>488</v>
      </c>
      <c r="H19" s="2790"/>
      <c r="I19" s="2794"/>
      <c r="J19" s="2794"/>
      <c r="K19" s="2795"/>
    </row>
    <row r="20" spans="1:14" s="2115" customFormat="1" ht="13.5" customHeight="1">
      <c r="A20" s="2827" t="s">
        <v>1855</v>
      </c>
      <c r="B20" s="2828" t="s">
        <v>489</v>
      </c>
      <c r="C20" s="2785">
        <f ca="1">C21+C22-IF(B1="",'数据-取费表'!B29,IF(G20="已全部缴纳",C21+C22,H20))</f>
        <v>160</v>
      </c>
      <c r="D20" s="2831"/>
      <c r="E20" s="2785"/>
      <c r="F20" s="2832"/>
      <c r="G20" s="3062"/>
      <c r="H20" s="2787"/>
      <c r="I20" s="2788" t="s">
        <v>2651</v>
      </c>
      <c r="J20" s="2794"/>
      <c r="K20" s="2795"/>
    </row>
    <row r="21" spans="1:14" s="2115" customFormat="1" ht="13.5" customHeight="1">
      <c r="A21" s="2819" t="s">
        <v>1856</v>
      </c>
      <c r="B21" s="2820" t="s">
        <v>490</v>
      </c>
      <c r="C21" s="53">
        <f ca="1">ROUND(D21*E21/10000,0)</f>
        <v>160</v>
      </c>
      <c r="D21" s="2821">
        <f ca="1">IF(B1="",'数据-汇总表'!E5,IF(INDIRECT("'数据-取费表'!c"&amp;$K$1)="住宅",INDIRECT("'数据-取费表'!k"&amp;$K$1),0))</f>
        <v>10000</v>
      </c>
      <c r="E21" s="53">
        <f>'数据-取费表'!B27</f>
        <v>160</v>
      </c>
      <c r="F21" s="2824"/>
      <c r="G21" s="26"/>
      <c r="H21" s="51"/>
      <c r="I21" s="51"/>
      <c r="J21" s="51"/>
      <c r="K21" s="2796"/>
    </row>
    <row r="22" spans="1:14" s="2115" customFormat="1" ht="13.5" customHeight="1">
      <c r="A22" s="2819" t="s">
        <v>1857</v>
      </c>
      <c r="B22" s="2820" t="s">
        <v>491</v>
      </c>
      <c r="C22" s="53">
        <f ca="1">ROUND(D22*E22/10000,0)</f>
        <v>0</v>
      </c>
      <c r="D22" s="2821">
        <f ca="1">IF(B1="",'数据-汇总表'!E6,IF(INDIRECT("'数据-取费表'!c"&amp;$K$1)="住宅",INDIRECT("'数据-取费表'!s"&amp;$K$1),INDIRECT("'数据-取费表'!k"&amp;$K$1)+INDIRECT("'数据-取费表'!s"&amp;$K$1)))</f>
        <v>0</v>
      </c>
      <c r="E22" s="53">
        <f>'数据-取费表'!B28</f>
        <v>200</v>
      </c>
      <c r="F22" s="2824"/>
      <c r="G22" s="26"/>
      <c r="H22" s="51"/>
      <c r="I22" s="51"/>
      <c r="J22" s="51"/>
      <c r="K22" s="2796"/>
    </row>
    <row r="23" spans="1:14" s="2115" customFormat="1" ht="13.5" customHeight="1">
      <c r="A23" s="2827" t="s">
        <v>1858</v>
      </c>
      <c r="B23" s="3009" t="s">
        <v>2833</v>
      </c>
      <c r="C23" s="2829">
        <f ca="1">ROUND((C18+C19+C20)*F23,0)</f>
        <v>67</v>
      </c>
      <c r="D23" s="468"/>
      <c r="E23" s="468"/>
      <c r="F23" s="2833">
        <f>'数据-取费表'!B37</f>
        <v>0.02</v>
      </c>
      <c r="G23" s="2789" t="s">
        <v>2431</v>
      </c>
      <c r="H23" s="2790"/>
      <c r="I23" s="2790"/>
      <c r="J23" s="2790"/>
      <c r="K23" s="2791"/>
      <c r="L23" s="2117"/>
      <c r="M23" s="2117"/>
      <c r="N23" s="2117"/>
    </row>
    <row r="24" spans="1:14" s="2115" customFormat="1" ht="13.5" customHeight="1">
      <c r="A24" s="2827" t="s">
        <v>1859</v>
      </c>
      <c r="B24" s="3009" t="s">
        <v>2836</v>
      </c>
      <c r="C24" s="2829">
        <f>ROUND(C6*F24,0)</f>
        <v>942</v>
      </c>
      <c r="D24" s="475"/>
      <c r="E24" s="473"/>
      <c r="F24" s="2833">
        <f>'数据-取费表'!B38</f>
        <v>0.02</v>
      </c>
      <c r="G24" s="2798" t="s">
        <v>498</v>
      </c>
      <c r="H24" s="2792"/>
      <c r="I24" s="2792"/>
      <c r="J24" s="2792"/>
      <c r="K24" s="279"/>
      <c r="L24" s="2117"/>
      <c r="M24" s="2117"/>
      <c r="N24" s="2117"/>
    </row>
    <row r="25" spans="1:14" s="2118" customFormat="1" ht="13.5" customHeight="1">
      <c r="A25" s="2827" t="s">
        <v>1860</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1861</v>
      </c>
      <c r="B26" s="3010" t="s">
        <v>2835</v>
      </c>
      <c r="C26" s="2834">
        <f ca="1">C28</f>
        <v>0</v>
      </c>
      <c r="D26" s="467">
        <f ca="1">C27</f>
        <v>0</v>
      </c>
      <c r="E26" s="469" t="s">
        <v>494</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495</v>
      </c>
      <c r="C27" s="2836">
        <f ca="1">ROUND(IF('数据-取费表'!B22&lt;=1,(1+C25)*F26*'数据-取费表'!B24,(1+C25)*(POWER((1+F26),'数据-取费表'!B24)-1)),4)</f>
        <v>0</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2837</v>
      </c>
      <c r="C28" s="2837">
        <f ca="1">ROUND(IF('数据-取费表'!B22&lt;=1,(C18+C19+C20+C23+C24)*F26*'数据-取费表'!B24/2,(C18+C19+C20+C23+C24)*(POWER((1+F26),'数据-取费表'!B24/2)-1)),0)</f>
        <v>0</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496</v>
      </c>
      <c r="C29" s="2829">
        <f>ROUND(C6*F29/(1+'数据-取费表'!C42),0)</f>
        <v>2511</v>
      </c>
      <c r="D29" s="468"/>
      <c r="E29" s="468"/>
      <c r="F29" s="3011">
        <f>'数据-取费表'!B41</f>
        <v>5.6000000000000001E-2</v>
      </c>
      <c r="G29" s="2798" t="s">
        <v>497</v>
      </c>
      <c r="H29" s="2790"/>
      <c r="I29" s="2790"/>
      <c r="J29" s="2790"/>
      <c r="K29" s="2791"/>
    </row>
    <row r="30" spans="1:14" s="2120" customFormat="1" ht="13.5" customHeight="1">
      <c r="A30" s="1634" t="s">
        <v>1863</v>
      </c>
      <c r="B30" s="2839" t="s">
        <v>499</v>
      </c>
      <c r="C30" s="2834">
        <f ca="1">C31</f>
        <v>6857</v>
      </c>
      <c r="D30" s="477">
        <f ca="1">C32</f>
        <v>2.9000000000000001E-2</v>
      </c>
      <c r="E30" s="469" t="s">
        <v>494</v>
      </c>
      <c r="F30" s="471"/>
      <c r="G30" s="2797" t="s">
        <v>2968</v>
      </c>
      <c r="H30" s="2790"/>
      <c r="I30" s="2790"/>
      <c r="J30" s="2790"/>
      <c r="K30" s="2791"/>
    </row>
    <row r="31" spans="1:14" s="2119" customFormat="1" ht="13.5" customHeight="1">
      <c r="A31" s="803" t="s">
        <v>1856</v>
      </c>
      <c r="B31" s="2835"/>
      <c r="C31" s="450">
        <f ca="1">C18+C19+C20+C23+C24+C26+C29</f>
        <v>6857</v>
      </c>
      <c r="D31" s="472"/>
      <c r="E31" s="473"/>
      <c r="F31" s="474"/>
      <c r="G31" s="261"/>
      <c r="H31" s="2792"/>
      <c r="I31" s="2792"/>
      <c r="J31" s="2792"/>
      <c r="K31" s="279"/>
    </row>
    <row r="32" spans="1:14" s="2119" customFormat="1" ht="13.5" customHeight="1">
      <c r="A32" s="803" t="s">
        <v>1857</v>
      </c>
      <c r="B32" s="2835"/>
      <c r="C32" s="53">
        <f ca="1">ROUND(C25+D26,4)</f>
        <v>2.9000000000000001E-2</v>
      </c>
      <c r="D32" s="472"/>
      <c r="E32" s="473"/>
      <c r="F32" s="474"/>
      <c r="G32" s="261"/>
      <c r="H32" s="2792"/>
      <c r="I32" s="2792"/>
      <c r="J32" s="2792"/>
      <c r="K32" s="279"/>
    </row>
    <row r="33" spans="1:11" s="2121" customFormat="1" ht="13.5" customHeight="1">
      <c r="A33" s="3008" t="s">
        <v>2832</v>
      </c>
      <c r="B33" s="3006" t="s">
        <v>2830</v>
      </c>
      <c r="C33" s="478">
        <f ca="1">C35</f>
        <v>869</v>
      </c>
      <c r="D33" s="467">
        <f ca="1">C34</f>
        <v>0.20580000000000001</v>
      </c>
      <c r="E33" s="469" t="s">
        <v>494</v>
      </c>
      <c r="F33" s="479">
        <f ca="1">IF(B1="",'数据-取费表'!Q16,INDIRECT("'数据-取费表'!q"&amp;$K$1))</f>
        <v>0.2</v>
      </c>
      <c r="G33" s="2793"/>
      <c r="H33" s="2794"/>
      <c r="I33" s="2794"/>
      <c r="J33" s="2794"/>
      <c r="K33" s="2795"/>
    </row>
    <row r="34" spans="1:11" s="2122" customFormat="1" ht="13.5" customHeight="1">
      <c r="A34" s="375" t="s">
        <v>1856</v>
      </c>
      <c r="B34" s="2840" t="s">
        <v>500</v>
      </c>
      <c r="C34" s="472">
        <f ca="1">ROUND((1+C25)*F33,4)</f>
        <v>0.20580000000000001</v>
      </c>
      <c r="D34" s="472"/>
      <c r="E34" s="473"/>
      <c r="F34" s="480"/>
      <c r="G34" s="261" t="s">
        <v>2290</v>
      </c>
      <c r="H34" s="2792"/>
      <c r="I34" s="2792"/>
      <c r="J34" s="2792"/>
      <c r="K34" s="279"/>
    </row>
    <row r="35" spans="1:11" s="2122" customFormat="1" ht="13.5" customHeight="1" thickBot="1">
      <c r="A35" s="1635" t="s">
        <v>1857</v>
      </c>
      <c r="B35" s="3007" t="s">
        <v>2838</v>
      </c>
      <c r="C35" s="1627">
        <f ca="1">ROUND((C18+C19+C20+C23+C24)*F33,0)</f>
        <v>869</v>
      </c>
      <c r="D35" s="1628"/>
      <c r="E35" s="2841"/>
      <c r="F35" s="1629"/>
      <c r="G35" s="2799"/>
      <c r="H35" s="2800"/>
      <c r="I35" s="2800"/>
      <c r="J35" s="2800"/>
      <c r="K35" s="2801"/>
    </row>
    <row r="36" spans="1:11" s="2084" customFormat="1" ht="13.5" customHeight="1" thickBot="1">
      <c r="A36" s="284" t="s">
        <v>1844</v>
      </c>
      <c r="B36" s="2803"/>
      <c r="C36" s="2842">
        <f ca="1">ROUND((C6-C30-C33)/(1+D30+D33),0)</f>
        <v>31867</v>
      </c>
      <c r="D36" s="2803"/>
      <c r="E36" s="2803"/>
      <c r="F36" s="2803"/>
      <c r="G36" s="2802" t="s">
        <v>2839</v>
      </c>
      <c r="H36" s="2803"/>
      <c r="I36" s="2803"/>
      <c r="J36" s="2803"/>
      <c r="K36" s="2804"/>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18.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465</v>
      </c>
      <c r="B1" s="2786"/>
      <c r="C1" s="2103"/>
      <c r="D1" s="2103"/>
      <c r="E1" s="2103"/>
      <c r="F1" s="2103"/>
      <c r="G1" s="2103"/>
      <c r="H1" s="2103"/>
      <c r="I1" s="2103"/>
      <c r="J1" s="2103"/>
      <c r="K1" s="422">
        <f>MATCH(B1,'数据-取费表'!A6:A16,0)+5</f>
        <v>10</v>
      </c>
    </row>
    <row r="2" spans="1:41" s="2040" customFormat="1" ht="18" customHeight="1">
      <c r="A2" s="423" t="s">
        <v>466</v>
      </c>
      <c r="B2" s="424">
        <f ca="1">C32</f>
        <v>0</v>
      </c>
      <c r="C2" s="2103"/>
      <c r="D2" s="2103"/>
      <c r="E2" s="2103"/>
      <c r="F2" s="2103"/>
      <c r="G2" s="2103"/>
      <c r="H2" s="2103"/>
      <c r="I2" s="2103"/>
      <c r="J2" s="2103"/>
      <c r="K2" s="2103"/>
    </row>
    <row r="3" spans="1:41" s="2040" customFormat="1" ht="18" customHeight="1">
      <c r="A3" s="1378" t="s">
        <v>1684</v>
      </c>
      <c r="B3" s="425">
        <f ca="1">ROUND(B2*10000/IF(B1="",'数据-汇总表'!E3,INDIRECT("'数据-取费表'!K"&amp;$K$1)),0)</f>
        <v>0</v>
      </c>
      <c r="C3" s="2103"/>
      <c r="D3" s="2103"/>
      <c r="E3" s="2103"/>
      <c r="F3" s="2103"/>
      <c r="G3" s="2103"/>
      <c r="H3" s="2103"/>
      <c r="I3" s="2103"/>
      <c r="J3" s="2103"/>
      <c r="K3" s="2103"/>
    </row>
    <row r="4" spans="1:41" s="2040" customFormat="1" ht="18" customHeight="1">
      <c r="A4" s="426" t="s">
        <v>467</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468</v>
      </c>
      <c r="D5" s="2103"/>
      <c r="E5" s="2103"/>
      <c r="F5" s="2103"/>
      <c r="G5" s="2103"/>
      <c r="H5" s="2103"/>
      <c r="I5" s="2103"/>
      <c r="J5" s="2103"/>
      <c r="K5" s="2103"/>
    </row>
    <row r="6" spans="1:41" s="2110" customFormat="1" ht="16.5" customHeight="1">
      <c r="A6" s="432" t="s">
        <v>2652</v>
      </c>
      <c r="B6" s="433"/>
      <c r="C6" s="1622">
        <f>SUM(C10:K10)</f>
        <v>0</v>
      </c>
      <c r="D6" s="2108"/>
      <c r="E6" s="2108"/>
      <c r="F6" s="2108"/>
      <c r="G6" s="2108"/>
      <c r="H6" s="2108"/>
      <c r="I6" s="2108"/>
      <c r="J6" s="2108"/>
      <c r="K6" s="2109"/>
    </row>
    <row r="7" spans="1:41" s="2112" customFormat="1" ht="15">
      <c r="A7" s="434" t="s">
        <v>469</v>
      </c>
      <c r="B7" s="435" t="s">
        <v>470</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1845</v>
      </c>
      <c r="B8" s="438" t="s">
        <v>471</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1847</v>
      </c>
      <c r="B10" s="1623" t="s">
        <v>473</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1864</v>
      </c>
      <c r="B11" s="1620"/>
      <c r="C11" s="1620"/>
      <c r="D11" s="1620"/>
      <c r="E11" s="1620"/>
      <c r="F11" s="1620"/>
      <c r="G11" s="1620"/>
      <c r="H11" s="1620"/>
      <c r="I11" s="1620"/>
      <c r="J11" s="1620"/>
      <c r="K11" s="1621"/>
    </row>
    <row r="12" spans="1:41" s="2084" customFormat="1" ht="13.5" customHeight="1">
      <c r="A12" s="434" t="s">
        <v>469</v>
      </c>
      <c r="B12" s="444" t="s">
        <v>470</v>
      </c>
      <c r="C12" s="445" t="s">
        <v>474</v>
      </c>
      <c r="D12" s="446" t="s">
        <v>475</v>
      </c>
      <c r="E12" s="446" t="s">
        <v>476</v>
      </c>
      <c r="F12" s="446" t="s">
        <v>477</v>
      </c>
      <c r="G12" s="444"/>
      <c r="H12" s="447"/>
      <c r="I12" s="447"/>
      <c r="J12" s="447"/>
      <c r="K12" s="448"/>
    </row>
    <row r="13" spans="1:41" s="2115" customFormat="1" ht="13.5" customHeight="1">
      <c r="A13" s="1632" t="s">
        <v>1848</v>
      </c>
      <c r="B13" s="449" t="s">
        <v>478</v>
      </c>
      <c r="C13" s="450">
        <f ca="1">IF(B1="",'数据-取费表'!M16,INDIRECT("'数据-取费表'!M"&amp;$K$1)+INDIRECT("'数据-取费表'!t"&amp;$K$1))</f>
        <v>7874</v>
      </c>
      <c r="D13" s="451"/>
      <c r="E13" s="365"/>
      <c r="F13" s="452"/>
      <c r="G13" s="444"/>
      <c r="H13" s="447"/>
      <c r="I13" s="447"/>
      <c r="J13" s="447"/>
      <c r="K13" s="448"/>
    </row>
    <row r="14" spans="1:41" s="2115" customFormat="1" ht="13.5" customHeight="1">
      <c r="A14" s="1632" t="s">
        <v>1849</v>
      </c>
      <c r="B14" s="449" t="s">
        <v>479</v>
      </c>
      <c r="C14" s="53">
        <f ca="1">ROUND(C13*F14,0)</f>
        <v>236</v>
      </c>
      <c r="D14" s="451"/>
      <c r="E14" s="365"/>
      <c r="F14" s="453">
        <f>'数据-取费表'!B33</f>
        <v>0.03</v>
      </c>
      <c r="G14" s="444" t="s">
        <v>501</v>
      </c>
      <c r="H14" s="447"/>
      <c r="I14" s="447"/>
      <c r="J14" s="447"/>
      <c r="K14" s="448"/>
    </row>
    <row r="15" spans="1:41" s="2115" customFormat="1" ht="13.5" customHeight="1">
      <c r="A15" s="1632" t="s">
        <v>1850</v>
      </c>
      <c r="B15" s="449" t="s">
        <v>481</v>
      </c>
      <c r="C15" s="53">
        <f ca="1">ROUND(IF(B1="",SUMIF('数据-取费表'!C:C,"住宅",'数据-取费表'!M:M)*F15,IF(INDIRECT("'数据-取费表'!c"&amp;$K$1)="住宅",INDIRECT("'数据-取费表'!M"&amp;$K$1)*F15,0)),0)</f>
        <v>260</v>
      </c>
      <c r="D15" s="451"/>
      <c r="E15" s="365"/>
      <c r="F15" s="453">
        <f>'数据-取费表'!B34</f>
        <v>0.1</v>
      </c>
      <c r="G15" s="444" t="s">
        <v>501</v>
      </c>
      <c r="H15" s="447"/>
      <c r="I15" s="447"/>
      <c r="J15" s="447"/>
      <c r="K15" s="448"/>
    </row>
    <row r="16" spans="1:41" s="2116" customFormat="1" ht="13.5" customHeight="1">
      <c r="A16" s="1632" t="s">
        <v>1851</v>
      </c>
      <c r="B16" s="449" t="s">
        <v>483</v>
      </c>
      <c r="C16" s="53">
        <f ca="1">ROUND(D16*E16/10000,0)</f>
        <v>625</v>
      </c>
      <c r="D16" s="451">
        <f ca="1">IF(B1="",'数据-汇总表'!E3,INDIRECT("'数据-取费表'!K"&amp;$K$1)+INDIRECT("'数据-取费表'!S"&amp;$K$1))</f>
        <v>31245.480000000003</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1852</v>
      </c>
      <c r="B17" s="449" t="s">
        <v>484</v>
      </c>
      <c r="C17" s="454">
        <f ca="1">ROUND(C13*F17,0)</f>
        <v>118</v>
      </c>
      <c r="D17" s="455"/>
      <c r="E17" s="454"/>
      <c r="F17" s="456">
        <f>'数据-取费表'!B36</f>
        <v>1.4999999999999999E-2</v>
      </c>
      <c r="G17" s="444" t="s">
        <v>501</v>
      </c>
      <c r="H17" s="457"/>
      <c r="I17" s="457"/>
      <c r="J17" s="457"/>
      <c r="K17" s="458"/>
    </row>
    <row r="18" spans="1:14" s="2118" customFormat="1" ht="13.5" customHeight="1">
      <c r="A18" s="1633" t="s">
        <v>1853</v>
      </c>
      <c r="B18" s="459" t="s">
        <v>486</v>
      </c>
      <c r="C18" s="460">
        <f ca="1">SUM(C13:C17)</f>
        <v>9113</v>
      </c>
      <c r="D18" s="461"/>
      <c r="E18" s="462"/>
      <c r="F18" s="462"/>
      <c r="G18" s="1326" t="s">
        <v>2432</v>
      </c>
      <c r="H18" s="447"/>
      <c r="I18" s="447"/>
      <c r="J18" s="447"/>
      <c r="K18" s="448"/>
    </row>
    <row r="19" spans="1:14" s="2118" customFormat="1" ht="13.5" customHeight="1">
      <c r="A19" s="1633" t="s">
        <v>1854</v>
      </c>
      <c r="B19" s="459" t="s">
        <v>492</v>
      </c>
      <c r="C19" s="460">
        <f ca="1">ROUND(C18*F19,0)</f>
        <v>182</v>
      </c>
      <c r="D19" s="462"/>
      <c r="E19" s="462"/>
      <c r="F19" s="466">
        <f>'数据-取费表'!B37</f>
        <v>0.02</v>
      </c>
      <c r="G19" s="444" t="s">
        <v>502</v>
      </c>
      <c r="H19" s="447"/>
      <c r="I19" s="447"/>
      <c r="J19" s="447"/>
      <c r="K19" s="448"/>
      <c r="L19" s="2120"/>
      <c r="M19" s="2120"/>
      <c r="N19" s="2120"/>
    </row>
    <row r="20" spans="1:14" s="2118" customFormat="1" ht="13.5" customHeight="1">
      <c r="A20" s="1633" t="s">
        <v>1855</v>
      </c>
      <c r="B20" s="459" t="s">
        <v>503</v>
      </c>
      <c r="C20" s="3004">
        <f>F20</f>
        <v>0.02</v>
      </c>
      <c r="D20" s="469" t="s">
        <v>504</v>
      </c>
      <c r="E20" s="469"/>
      <c r="F20" s="486">
        <f>'数据-取费表'!B38</f>
        <v>0.02</v>
      </c>
      <c r="G20" s="1326" t="s">
        <v>505</v>
      </c>
      <c r="H20" s="447"/>
      <c r="I20" s="447"/>
      <c r="J20" s="447"/>
      <c r="K20" s="448"/>
      <c r="L20" s="2120"/>
      <c r="M20" s="2120"/>
      <c r="N20" s="2120"/>
    </row>
    <row r="21" spans="1:14" s="2120" customFormat="1" ht="13.5" customHeight="1">
      <c r="A21" s="1633" t="s">
        <v>1858</v>
      </c>
      <c r="B21" s="461" t="s">
        <v>493</v>
      </c>
      <c r="C21" s="470">
        <f ca="1">C22</f>
        <v>329</v>
      </c>
      <c r="D21" s="467">
        <f ca="1">C23</f>
        <v>6.9999999999999999E-4</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2454</v>
      </c>
    </row>
    <row r="22" spans="1:14" s="2119" customFormat="1" ht="13.5" customHeight="1">
      <c r="A22" s="1632" t="s">
        <v>1848</v>
      </c>
      <c r="B22" s="1327" t="s">
        <v>2435</v>
      </c>
      <c r="C22" s="487">
        <f ca="1">ROUND(IF('数据-取费表'!B22&lt;=1,(C18+C19)*F21*'数据-取费表'!B20/2,(C18+C19)*(POWER((1+F21),'数据-取费表'!B20/2)-1)),0)</f>
        <v>329</v>
      </c>
      <c r="D22" s="472"/>
      <c r="E22" s="473"/>
      <c r="F22" s="474"/>
      <c r="G22" s="2545" t="str">
        <f>IF('数据-取费表'!B22&lt;=1,"((1)+(2))×年利率×建设期÷2","((1)+(2))×((1+年利率)^(建设期÷2)-1)")</f>
        <v>((1)+(2))×((1+年利率)^(建设期÷2)-1)</v>
      </c>
      <c r="H22" s="457"/>
      <c r="I22" s="457"/>
      <c r="J22" s="457"/>
      <c r="K22" s="458"/>
    </row>
    <row r="23" spans="1:14" s="2119" customFormat="1" ht="13.5" customHeight="1">
      <c r="A23" s="1632" t="s">
        <v>1849</v>
      </c>
      <c r="B23" s="1327" t="s">
        <v>507</v>
      </c>
      <c r="C23" s="488">
        <f ca="1">ROUND(IF('数据-取费表'!B22&lt;=1,F20*F21*'数据-取费表'!B20/2,F20*(POWER((1+F21),'数据-取费表'!B20/2)-1)),4)</f>
        <v>6.9999999999999999E-4</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3" t="s">
        <v>1859</v>
      </c>
      <c r="B24" s="3006" t="s">
        <v>2831</v>
      </c>
      <c r="C24" s="478">
        <f ca="1">C25</f>
        <v>1859</v>
      </c>
      <c r="D24" s="489">
        <f ca="1">C26</f>
        <v>4.0000000000000001E-3</v>
      </c>
      <c r="E24" s="469" t="s">
        <v>506</v>
      </c>
      <c r="F24" s="479">
        <f ca="1">IF(B1="",'数据-取费表'!Q16,INDIRECT("'数据-取费表'!q"&amp;$K$1))</f>
        <v>0.2</v>
      </c>
      <c r="G24" s="444"/>
      <c r="H24" s="447"/>
      <c r="I24" s="447"/>
      <c r="J24" s="447"/>
      <c r="K24" s="448"/>
    </row>
    <row r="25" spans="1:14" s="2119" customFormat="1" ht="13.5" customHeight="1">
      <c r="A25" s="1632" t="s">
        <v>1848</v>
      </c>
      <c r="B25" s="1327" t="s">
        <v>2436</v>
      </c>
      <c r="C25" s="490">
        <f ca="1">ROUND((C18+C19)*F24,0)</f>
        <v>1859</v>
      </c>
      <c r="D25" s="472"/>
      <c r="E25" s="473"/>
      <c r="F25" s="480"/>
      <c r="G25" s="1325" t="s">
        <v>2433</v>
      </c>
      <c r="H25" s="457"/>
      <c r="I25" s="457"/>
      <c r="J25" s="457"/>
      <c r="K25" s="458"/>
    </row>
    <row r="26" spans="1:14" s="2119" customFormat="1" ht="13.5" customHeight="1">
      <c r="A26" s="1632" t="s">
        <v>1849</v>
      </c>
      <c r="B26" s="1327" t="s">
        <v>508</v>
      </c>
      <c r="C26" s="491">
        <f ca="1">ROUND(F20*F24,4)</f>
        <v>4.0000000000000001E-3</v>
      </c>
      <c r="D26" s="472"/>
      <c r="E26" s="481"/>
      <c r="F26" s="480"/>
      <c r="G26" s="1325" t="s">
        <v>509</v>
      </c>
      <c r="H26" s="457"/>
      <c r="I26" s="457"/>
      <c r="J26" s="457"/>
      <c r="K26" s="458"/>
    </row>
    <row r="27" spans="1:14" s="2119" customFormat="1" ht="13.5" customHeight="1">
      <c r="A27" s="1636" t="s">
        <v>1867</v>
      </c>
      <c r="B27" s="459" t="s">
        <v>510</v>
      </c>
      <c r="C27" s="3005">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1868</v>
      </c>
      <c r="B28" s="476" t="s">
        <v>511</v>
      </c>
      <c r="C28" s="470">
        <f ca="1">ROUND((C18+C19+C21+C24)/(1-C20-D21-D24-C27),0)</f>
        <v>12454</v>
      </c>
      <c r="D28" s="477"/>
      <c r="E28" s="469"/>
      <c r="F28" s="471"/>
      <c r="G28" s="1326" t="s">
        <v>2434</v>
      </c>
      <c r="H28" s="447"/>
      <c r="I28" s="447"/>
      <c r="J28" s="447"/>
      <c r="K28" s="448"/>
    </row>
    <row r="29" spans="1:14" s="2120"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0" customFormat="1" ht="13.5" customHeight="1">
      <c r="A30" s="443">
        <v>2</v>
      </c>
      <c r="B30" s="476" t="s">
        <v>513</v>
      </c>
      <c r="C30" s="497">
        <f ca="1">ROUND(C28*C29,0)</f>
        <v>0</v>
      </c>
      <c r="D30" s="493"/>
      <c r="E30" s="498"/>
      <c r="F30" s="499"/>
      <c r="G30" s="1328" t="s">
        <v>514</v>
      </c>
      <c r="H30" s="496"/>
      <c r="I30" s="496"/>
      <c r="J30" s="447"/>
      <c r="K30" s="448"/>
    </row>
    <row r="31" spans="1:14" s="2125" customFormat="1" ht="13.5" customHeight="1">
      <c r="A31" s="2460" t="s">
        <v>1865</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1" t="s">
        <v>2969</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t="e">
        <f>F68</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t="e">
        <f>ROUND(B2*10000/'数据-汇总表'!E3,0)</f>
        <v>#DIV/0!</v>
      </c>
      <c r="C3" s="2060"/>
      <c r="D3" s="2548"/>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519</v>
      </c>
      <c r="B4" s="427" t="e">
        <f>IF(B48="单位面积地价",C50,ROUND(B2*10000/'数据-汇总表'!D3,0))</f>
        <v>#DIV/0!</v>
      </c>
      <c r="C4" s="2060"/>
      <c r="D4" s="2548"/>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520</v>
      </c>
      <c r="B6" s="513"/>
      <c r="C6" s="3429" t="s">
        <v>521</v>
      </c>
      <c r="D6" s="3430"/>
      <c r="E6" s="3429" t="s">
        <v>522</v>
      </c>
      <c r="F6" s="3430"/>
      <c r="G6" s="3429" t="s">
        <v>523</v>
      </c>
      <c r="H6" s="3430"/>
      <c r="I6" s="3429" t="s">
        <v>524</v>
      </c>
      <c r="J6" s="3430"/>
      <c r="K6" s="514" t="s">
        <v>525</v>
      </c>
      <c r="L6" s="2132"/>
      <c r="M6" s="2131"/>
      <c r="N6" s="2131"/>
      <c r="O6" s="2133"/>
      <c r="P6" s="3431" t="s">
        <v>526</v>
      </c>
      <c r="Q6" s="3432"/>
      <c r="R6" s="3417" t="s">
        <v>522</v>
      </c>
      <c r="S6" s="3418"/>
      <c r="T6" s="3417" t="s">
        <v>523</v>
      </c>
      <c r="U6" s="3418"/>
      <c r="V6" s="3437" t="s">
        <v>524</v>
      </c>
      <c r="W6" s="3437"/>
      <c r="X6" s="1566"/>
      <c r="Y6" s="3417" t="s">
        <v>526</v>
      </c>
      <c r="Z6" s="3418"/>
      <c r="AA6" s="3412" t="s">
        <v>522</v>
      </c>
      <c r="AB6" s="3413" t="s">
        <v>523</v>
      </c>
      <c r="AC6" s="3412" t="s">
        <v>524</v>
      </c>
    </row>
    <row r="7" spans="1:30" ht="20.25">
      <c r="A7" s="515"/>
      <c r="B7" s="516"/>
      <c r="C7" s="3440" t="s">
        <v>2925</v>
      </c>
      <c r="D7" s="3441"/>
      <c r="E7" s="3440" t="s">
        <v>2926</v>
      </c>
      <c r="F7" s="3441"/>
      <c r="G7" s="3440" t="s">
        <v>2927</v>
      </c>
      <c r="H7" s="3441"/>
      <c r="I7" s="3440" t="s">
        <v>2928</v>
      </c>
      <c r="J7" s="3441"/>
      <c r="K7" s="514"/>
      <c r="L7" s="2132"/>
      <c r="M7" s="2131"/>
      <c r="N7" s="2131"/>
      <c r="O7" s="2133"/>
      <c r="P7" s="3433"/>
      <c r="Q7" s="3434"/>
      <c r="R7" s="3419"/>
      <c r="S7" s="3420"/>
      <c r="T7" s="3419"/>
      <c r="U7" s="3420"/>
      <c r="V7" s="3437"/>
      <c r="W7" s="3437"/>
      <c r="X7" s="1566"/>
      <c r="Y7" s="3419"/>
      <c r="Z7" s="3420"/>
      <c r="AA7" s="3413"/>
      <c r="AB7" s="3413"/>
      <c r="AC7" s="3413"/>
    </row>
    <row r="8" spans="1:30" ht="21" thickBot="1">
      <c r="A8" s="515"/>
      <c r="B8" s="516"/>
      <c r="C8" s="3442" t="s">
        <v>2929</v>
      </c>
      <c r="D8" s="3443"/>
      <c r="E8" s="3442" t="s">
        <v>2929</v>
      </c>
      <c r="F8" s="3443"/>
      <c r="G8" s="3438" t="s">
        <v>2929</v>
      </c>
      <c r="H8" s="3439"/>
      <c r="I8" s="3438" t="s">
        <v>2929</v>
      </c>
      <c r="J8" s="3439"/>
      <c r="K8" s="514" t="s">
        <v>527</v>
      </c>
      <c r="L8" s="2132"/>
      <c r="M8" s="2131"/>
      <c r="N8" s="2131"/>
      <c r="O8" s="2133"/>
      <c r="P8" s="3435"/>
      <c r="Q8" s="3436"/>
      <c r="R8" s="3419"/>
      <c r="S8" s="3420"/>
      <c r="T8" s="3421"/>
      <c r="U8" s="3422"/>
      <c r="V8" s="3437"/>
      <c r="W8" s="3437"/>
      <c r="X8" s="1566"/>
      <c r="Y8" s="3421"/>
      <c r="Z8" s="3422"/>
      <c r="AA8" s="3414"/>
      <c r="AB8" s="3414"/>
      <c r="AC8" s="3414"/>
    </row>
    <row r="9" spans="1:30" s="1219" customFormat="1" ht="21" thickBot="1">
      <c r="A9" s="2889"/>
      <c r="B9" s="2896" t="s">
        <v>528</v>
      </c>
      <c r="C9" s="2888">
        <f>'数据-取费表'!B2</f>
        <v>43528</v>
      </c>
      <c r="D9" s="520">
        <v>100</v>
      </c>
      <c r="E9" s="521"/>
      <c r="F9" s="522">
        <f>SUMIF(72:72,YEAR(E9)&amp;"-"&amp;INT((MONTH(E9)+2)/3),73:73)</f>
        <v>0</v>
      </c>
      <c r="G9" s="523"/>
      <c r="H9" s="520">
        <f>SUMIF(72:72,YEAR(G9)&amp;"-"&amp;INT((MONTH(G9)+2)/3),73:73)</f>
        <v>0</v>
      </c>
      <c r="I9" s="523"/>
      <c r="J9" s="520">
        <f>SUMIF(72:72,YEAR(I9)&amp;"-"&amp;INT((MONTH(I9)+2)/3),73:73)</f>
        <v>0</v>
      </c>
      <c r="K9" s="524"/>
      <c r="L9" s="2134"/>
      <c r="M9" s="2131"/>
      <c r="N9" s="2131"/>
      <c r="O9" s="2135"/>
      <c r="P9" s="3415" t="s">
        <v>529</v>
      </c>
      <c r="Q9" s="3424"/>
      <c r="R9" s="1567" t="s">
        <v>8</v>
      </c>
      <c r="S9" s="1568">
        <f t="shared" ref="S9:S17" si="0">F9</f>
        <v>0</v>
      </c>
      <c r="T9" s="1567" t="s">
        <v>8</v>
      </c>
      <c r="U9" s="1568">
        <f t="shared" ref="U9:U17" si="1">H9</f>
        <v>0</v>
      </c>
      <c r="V9" s="1567" t="s">
        <v>8</v>
      </c>
      <c r="W9" s="1568">
        <f t="shared" ref="W9:W17" si="2">J9</f>
        <v>0</v>
      </c>
      <c r="X9" s="1569"/>
      <c r="Y9" s="3415" t="s">
        <v>529</v>
      </c>
      <c r="Z9" s="3416"/>
      <c r="AA9" s="1570" t="e">
        <f>D9/F9</f>
        <v>#DIV/0!</v>
      </c>
      <c r="AB9" s="1570" t="e">
        <f>D9/H9</f>
        <v>#DIV/0!</v>
      </c>
      <c r="AC9" s="1570" t="e">
        <f>D9/J9</f>
        <v>#DIV/0!</v>
      </c>
    </row>
    <row r="10" spans="1:30" s="1219" customFormat="1" ht="21" thickBot="1">
      <c r="A10" s="2890"/>
      <c r="B10" s="2897"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34"/>
      <c r="M10" s="2131"/>
      <c r="N10" s="2131"/>
      <c r="O10" s="2135"/>
      <c r="P10" s="3415" t="s">
        <v>532</v>
      </c>
      <c r="Q10" s="3416"/>
      <c r="R10" s="1567" t="s">
        <v>8</v>
      </c>
      <c r="S10" s="1568">
        <f t="shared" si="0"/>
        <v>0</v>
      </c>
      <c r="T10" s="1567" t="s">
        <v>8</v>
      </c>
      <c r="U10" s="1568">
        <f t="shared" si="1"/>
        <v>0</v>
      </c>
      <c r="V10" s="1567" t="s">
        <v>8</v>
      </c>
      <c r="W10" s="1568">
        <f t="shared" si="2"/>
        <v>0</v>
      </c>
      <c r="X10" s="1569"/>
      <c r="Y10" s="3415" t="s">
        <v>532</v>
      </c>
      <c r="Z10" s="3416"/>
      <c r="AA10" s="1570" t="e">
        <f t="shared" ref="AA10:AA47" si="3">D10/F10</f>
        <v>#DIV/0!</v>
      </c>
      <c r="AB10" s="1570" t="e">
        <f t="shared" ref="AB10:AB47" si="4">D10/H10</f>
        <v>#DIV/0!</v>
      </c>
      <c r="AC10" s="1570" t="e">
        <f t="shared" ref="AC10:AC47" si="5">D10/J10</f>
        <v>#DIV/0!</v>
      </c>
    </row>
    <row r="11" spans="1:30" s="1219" customFormat="1" ht="20.25">
      <c r="A11" s="2891"/>
      <c r="B11" s="2898" t="s">
        <v>2756</v>
      </c>
      <c r="C11" s="2885"/>
      <c r="D11" s="254">
        <v>100</v>
      </c>
      <c r="E11" s="526"/>
      <c r="F11" s="254">
        <f>SUMIF(77:77,E11,78:78)-SUMIF(77:77,C11,78:78)+100</f>
        <v>100</v>
      </c>
      <c r="G11" s="526"/>
      <c r="H11" s="254">
        <f>SUMIF(77:77,G11,78:78)-SUMIF(77:77,C11,78:78)+100</f>
        <v>100</v>
      </c>
      <c r="I11" s="526"/>
      <c r="J11" s="254">
        <f>SUMIF(77:77,I11,78:78)-SUMIF(77:77,C11,78:78)+100</f>
        <v>100</v>
      </c>
      <c r="K11" s="524"/>
      <c r="L11" s="2134"/>
      <c r="M11" s="2131"/>
      <c r="N11" s="2131"/>
      <c r="O11" s="2136"/>
      <c r="P11" s="3423" t="s">
        <v>534</v>
      </c>
      <c r="Q11" s="1150" t="str">
        <f t="shared" ref="Q11:Q17" si="6">B11</f>
        <v>用途</v>
      </c>
      <c r="R11" s="1567" t="s">
        <v>8</v>
      </c>
      <c r="S11" s="1568">
        <f t="shared" si="0"/>
        <v>100</v>
      </c>
      <c r="T11" s="1567" t="s">
        <v>8</v>
      </c>
      <c r="U11" s="1568">
        <f t="shared" si="1"/>
        <v>100</v>
      </c>
      <c r="V11" s="1567" t="s">
        <v>8</v>
      </c>
      <c r="W11" s="1568">
        <f t="shared" si="2"/>
        <v>100</v>
      </c>
      <c r="X11" s="1569"/>
      <c r="Y11" s="3380" t="s">
        <v>535</v>
      </c>
      <c r="Z11" s="1149" t="str">
        <f t="shared" ref="Z11:Z17" si="7">Q11</f>
        <v>用途</v>
      </c>
      <c r="AA11" s="1570">
        <f t="shared" si="3"/>
        <v>1</v>
      </c>
      <c r="AB11" s="1570">
        <f t="shared" si="4"/>
        <v>1</v>
      </c>
      <c r="AC11" s="1570">
        <f t="shared" si="5"/>
        <v>1</v>
      </c>
    </row>
    <row r="12" spans="1:30" s="1337" customFormat="1" ht="27">
      <c r="A12" s="2892"/>
      <c r="B12" s="2897" t="s">
        <v>2757</v>
      </c>
      <c r="C12" s="909"/>
      <c r="D12" s="255">
        <v>100</v>
      </c>
      <c r="E12" s="529"/>
      <c r="F12" s="255">
        <f>ROUND(100/'数据-取费表'!G16,0)</f>
        <v>115</v>
      </c>
      <c r="G12" s="530"/>
      <c r="H12" s="255">
        <f>ROUND(100/'数据-取费表'!G16,0)</f>
        <v>115</v>
      </c>
      <c r="I12" s="530"/>
      <c r="J12" s="255">
        <f>ROUND(100/'数据-取费表'!G16,0)</f>
        <v>115</v>
      </c>
      <c r="K12" s="531"/>
      <c r="L12" s="2137"/>
      <c r="M12" s="2131"/>
      <c r="N12" s="2131"/>
      <c r="O12" s="2138"/>
      <c r="P12" s="3423"/>
      <c r="Q12" s="1150" t="str">
        <f t="shared" si="6"/>
        <v>土地使用年限（年）</v>
      </c>
      <c r="R12" s="1567" t="s">
        <v>8</v>
      </c>
      <c r="S12" s="1568">
        <f t="shared" si="0"/>
        <v>115</v>
      </c>
      <c r="T12" s="1567" t="s">
        <v>8</v>
      </c>
      <c r="U12" s="1568">
        <f t="shared" si="1"/>
        <v>115</v>
      </c>
      <c r="V12" s="1567" t="s">
        <v>8</v>
      </c>
      <c r="W12" s="1568">
        <f t="shared" si="2"/>
        <v>115</v>
      </c>
      <c r="X12" s="1569"/>
      <c r="Y12" s="3380"/>
      <c r="Z12" s="1149" t="str">
        <f t="shared" si="7"/>
        <v>土地使用年限（年）</v>
      </c>
      <c r="AA12" s="1570">
        <f t="shared" si="3"/>
        <v>0.86956521739130432</v>
      </c>
      <c r="AB12" s="1570">
        <f t="shared" si="4"/>
        <v>0.86956521739130432</v>
      </c>
      <c r="AC12" s="1570">
        <f t="shared" si="5"/>
        <v>0.86956521739130432</v>
      </c>
    </row>
    <row r="13" spans="1:30" ht="20.25">
      <c r="A13" s="2893"/>
      <c r="B13" s="2897"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39"/>
      <c r="M13" s="2131"/>
      <c r="N13" s="2131"/>
      <c r="O13" s="2140"/>
      <c r="P13" s="3423"/>
      <c r="Q13" s="1150" t="str">
        <f t="shared" si="6"/>
        <v>容积率</v>
      </c>
      <c r="R13" s="1567" t="s">
        <v>8</v>
      </c>
      <c r="S13" s="1568" t="e">
        <f t="shared" si="0"/>
        <v>#N/A</v>
      </c>
      <c r="T13" s="1567" t="s">
        <v>8</v>
      </c>
      <c r="U13" s="1568" t="e">
        <f t="shared" si="1"/>
        <v>#N/A</v>
      </c>
      <c r="V13" s="1567" t="s">
        <v>8</v>
      </c>
      <c r="W13" s="1568" t="e">
        <f t="shared" si="2"/>
        <v>#N/A</v>
      </c>
      <c r="X13" s="1569"/>
      <c r="Y13" s="3380"/>
      <c r="Z13" s="1149" t="str">
        <f t="shared" si="7"/>
        <v>容积率</v>
      </c>
      <c r="AA13" s="1570" t="e">
        <f t="shared" si="3"/>
        <v>#N/A</v>
      </c>
      <c r="AB13" s="1570" t="e">
        <f t="shared" si="4"/>
        <v>#N/A</v>
      </c>
      <c r="AC13" s="1570" t="e">
        <f t="shared" si="5"/>
        <v>#N/A</v>
      </c>
    </row>
    <row r="14" spans="1:30" s="1219" customFormat="1" ht="20.25">
      <c r="A14" s="2890"/>
      <c r="B14" s="2899" t="s">
        <v>2759</v>
      </c>
      <c r="C14" s="2886"/>
      <c r="D14" s="538">
        <v>100</v>
      </c>
      <c r="E14" s="1373"/>
      <c r="F14" s="255">
        <f>SUMIF(84:84,E14,85:85)-SUMIF(84:84,C14,85:85)+100</f>
        <v>100</v>
      </c>
      <c r="G14" s="530"/>
      <c r="H14" s="255">
        <f>SUMIF(84:84,G14,85:85)-SUMIF(84:84,C14,85:85)+100</f>
        <v>100</v>
      </c>
      <c r="I14" s="529"/>
      <c r="J14" s="255">
        <f>SUMIF(84:84,I14,85:85)-SUMIF(84:84,C14,85:85)+100</f>
        <v>100</v>
      </c>
      <c r="K14" s="531"/>
      <c r="L14" s="2134"/>
      <c r="M14" s="2131"/>
      <c r="N14" s="2131"/>
      <c r="O14" s="2136"/>
      <c r="P14" s="3423"/>
      <c r="Q14" s="1150" t="str">
        <f t="shared" si="6"/>
        <v>配建</v>
      </c>
      <c r="R14" s="1567" t="s">
        <v>8</v>
      </c>
      <c r="S14" s="1568">
        <f t="shared" si="0"/>
        <v>100</v>
      </c>
      <c r="T14" s="1567" t="s">
        <v>8</v>
      </c>
      <c r="U14" s="1568">
        <f t="shared" si="1"/>
        <v>100</v>
      </c>
      <c r="V14" s="1567" t="s">
        <v>8</v>
      </c>
      <c r="W14" s="1568">
        <f t="shared" si="2"/>
        <v>100</v>
      </c>
      <c r="X14" s="1569"/>
      <c r="Y14" s="3380"/>
      <c r="Z14" s="1149" t="str">
        <f t="shared" si="7"/>
        <v>配建</v>
      </c>
      <c r="AA14" s="1570">
        <f>D14/F14</f>
        <v>1</v>
      </c>
      <c r="AB14" s="1570">
        <f>D14/H14</f>
        <v>1</v>
      </c>
      <c r="AC14" s="1570">
        <f>D14/J14</f>
        <v>1</v>
      </c>
    </row>
    <row r="15" spans="1:30" ht="20.25">
      <c r="A15" s="2894"/>
      <c r="B15" s="2900">
        <v>111</v>
      </c>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423"/>
      <c r="Q15" s="1150">
        <f t="shared" si="6"/>
        <v>111</v>
      </c>
      <c r="R15" s="1567" t="s">
        <v>8</v>
      </c>
      <c r="S15" s="1568">
        <f t="shared" si="0"/>
        <v>100</v>
      </c>
      <c r="T15" s="1567" t="s">
        <v>8</v>
      </c>
      <c r="U15" s="1568">
        <f t="shared" si="1"/>
        <v>100</v>
      </c>
      <c r="V15" s="1567" t="s">
        <v>8</v>
      </c>
      <c r="W15" s="1568">
        <f t="shared" si="2"/>
        <v>100</v>
      </c>
      <c r="X15" s="1569"/>
      <c r="Y15" s="3380"/>
      <c r="Z15" s="1149">
        <f t="shared" si="7"/>
        <v>111</v>
      </c>
      <c r="AA15" s="1570">
        <f>D15/F15</f>
        <v>1</v>
      </c>
      <c r="AB15" s="1570">
        <f>D15/H15</f>
        <v>1</v>
      </c>
      <c r="AC15" s="1570">
        <f>D15/J15</f>
        <v>1</v>
      </c>
    </row>
    <row r="16" spans="1:30" ht="21" thickBot="1">
      <c r="A16" s="2895"/>
      <c r="B16" s="2901">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423"/>
      <c r="Q16" s="1150">
        <f t="shared" si="6"/>
        <v>111</v>
      </c>
      <c r="R16" s="1567" t="s">
        <v>8</v>
      </c>
      <c r="S16" s="1568">
        <f t="shared" si="0"/>
        <v>100</v>
      </c>
      <c r="T16" s="1567" t="s">
        <v>8</v>
      </c>
      <c r="U16" s="1568">
        <f t="shared" si="1"/>
        <v>100</v>
      </c>
      <c r="V16" s="1567" t="s">
        <v>8</v>
      </c>
      <c r="W16" s="1568">
        <f t="shared" si="2"/>
        <v>100</v>
      </c>
      <c r="X16" s="1569"/>
      <c r="Y16" s="3380"/>
      <c r="Z16" s="1149">
        <f t="shared" si="7"/>
        <v>111</v>
      </c>
      <c r="AA16" s="1570">
        <f>D16/F16</f>
        <v>1</v>
      </c>
      <c r="AB16" s="1570">
        <f>D16/H16</f>
        <v>1</v>
      </c>
      <c r="AC16" s="1570">
        <f>D16/J16</f>
        <v>1</v>
      </c>
    </row>
    <row r="17" spans="1:29" ht="99.75">
      <c r="A17" s="2887" t="s">
        <v>2754</v>
      </c>
      <c r="B17" s="578" t="s">
        <v>294</v>
      </c>
      <c r="C17" s="548" t="str">
        <f>估价对象房地状况!C15</f>
        <v>估价对象周边居住用地比例、居住小区规模和社区发展完善程度，综合评价居住社区成熟度较好</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425" t="s">
        <v>539</v>
      </c>
      <c r="Q17" s="1571" t="str">
        <f t="shared" si="6"/>
        <v>居住社区成熟度</v>
      </c>
      <c r="R17" s="1572" t="s">
        <v>8</v>
      </c>
      <c r="S17" s="1573">
        <f t="shared" si="0"/>
        <v>100</v>
      </c>
      <c r="T17" s="1572" t="s">
        <v>8</v>
      </c>
      <c r="U17" s="1573">
        <f t="shared" si="1"/>
        <v>100</v>
      </c>
      <c r="V17" s="1572" t="s">
        <v>8</v>
      </c>
      <c r="W17" s="1573">
        <f t="shared" si="2"/>
        <v>100</v>
      </c>
      <c r="X17" s="1566"/>
      <c r="Y17" s="3425" t="s">
        <v>539</v>
      </c>
      <c r="Z17" s="1574" t="str">
        <f t="shared" si="7"/>
        <v>居住社区成熟度</v>
      </c>
      <c r="AA17" s="1575">
        <f t="shared" si="3"/>
        <v>1</v>
      </c>
      <c r="AB17" s="1575">
        <f t="shared" si="4"/>
        <v>1</v>
      </c>
      <c r="AC17" s="1575">
        <f t="shared" si="5"/>
        <v>1</v>
      </c>
    </row>
    <row r="18" spans="1:29" ht="20.25">
      <c r="A18" s="532"/>
      <c r="B18" s="553"/>
      <c r="C18" s="554"/>
      <c r="D18" s="557"/>
      <c r="E18" s="558"/>
      <c r="F18" s="555"/>
      <c r="G18" s="556"/>
      <c r="H18" s="559"/>
      <c r="I18" s="558"/>
      <c r="J18" s="555"/>
      <c r="K18" s="531"/>
      <c r="L18" s="2141"/>
      <c r="M18" s="2131"/>
      <c r="N18" s="2131"/>
      <c r="O18" s="2140"/>
      <c r="P18" s="3426"/>
      <c r="Q18" s="1571"/>
      <c r="R18" s="1572"/>
      <c r="S18" s="1573"/>
      <c r="T18" s="1572"/>
      <c r="U18" s="1573"/>
      <c r="V18" s="1572"/>
      <c r="W18" s="1573"/>
      <c r="X18" s="1566"/>
      <c r="Y18" s="3426"/>
      <c r="Z18" s="1574"/>
      <c r="AA18" s="1575">
        <v>1</v>
      </c>
      <c r="AB18" s="1575">
        <v>1</v>
      </c>
      <c r="AC18" s="1575">
        <v>1</v>
      </c>
    </row>
    <row r="19" spans="1:29" ht="71.25">
      <c r="A19" s="532"/>
      <c r="B19" s="560" t="s">
        <v>540</v>
      </c>
      <c r="C19" s="561" t="str">
        <f>估价对象房地状况!C16</f>
        <v>估价对象位于XX商圈，周边商业氛围成熟，人流量大，商业繁华度一般</v>
      </c>
      <c r="D19" s="563">
        <v>100</v>
      </c>
      <c r="E19" s="564"/>
      <c r="F19" s="559">
        <f>SUMIF(92:92,E20,93:93)-SUMIF(92:92,C20,93:93)+100</f>
        <v>100</v>
      </c>
      <c r="G19" s="562"/>
      <c r="H19" s="565">
        <f>SUMIF(92:92,G20,93:93)-SUMIF(92:92,C20,93:93)+100</f>
        <v>100</v>
      </c>
      <c r="I19" s="564"/>
      <c r="J19" s="565">
        <f>SUMIF(92:92,I20,93:93)-SUMIF(92:92,C20,93:93)+100</f>
        <v>100</v>
      </c>
      <c r="K19" s="535"/>
      <c r="L19" s="2141"/>
      <c r="M19" s="2131"/>
      <c r="N19" s="2131"/>
      <c r="O19" s="2140"/>
      <c r="P19" s="3426"/>
      <c r="Q19" s="1571" t="str">
        <f>B19</f>
        <v>商业繁华度</v>
      </c>
      <c r="R19" s="1572" t="s">
        <v>8</v>
      </c>
      <c r="S19" s="1573">
        <f>F19</f>
        <v>100</v>
      </c>
      <c r="T19" s="1572" t="s">
        <v>8</v>
      </c>
      <c r="U19" s="1573">
        <f>H19</f>
        <v>100</v>
      </c>
      <c r="V19" s="1572" t="s">
        <v>8</v>
      </c>
      <c r="W19" s="1573">
        <f>J19</f>
        <v>100</v>
      </c>
      <c r="X19" s="1566"/>
      <c r="Y19" s="3426"/>
      <c r="Z19" s="1574" t="str">
        <f>Q19</f>
        <v>商业繁华度</v>
      </c>
      <c r="AA19" s="1575">
        <f t="shared" si="3"/>
        <v>1</v>
      </c>
      <c r="AB19" s="1575">
        <f t="shared" si="4"/>
        <v>1</v>
      </c>
      <c r="AC19" s="1575">
        <f t="shared" si="5"/>
        <v>1</v>
      </c>
    </row>
    <row r="20" spans="1:29" ht="20.25">
      <c r="A20" s="532"/>
      <c r="B20" s="566"/>
      <c r="C20" s="567"/>
      <c r="D20" s="563"/>
      <c r="E20" s="569"/>
      <c r="F20" s="559"/>
      <c r="G20" s="568"/>
      <c r="H20" s="555"/>
      <c r="I20" s="569"/>
      <c r="J20" s="555"/>
      <c r="K20" s="531"/>
      <c r="L20" s="2141"/>
      <c r="M20" s="2131"/>
      <c r="N20" s="2131"/>
      <c r="O20" s="2140"/>
      <c r="P20" s="3426"/>
      <c r="Q20" s="1571"/>
      <c r="R20" s="1572"/>
      <c r="S20" s="1573"/>
      <c r="T20" s="1572"/>
      <c r="U20" s="1573"/>
      <c r="V20" s="1572"/>
      <c r="W20" s="1573"/>
      <c r="X20" s="1566"/>
      <c r="Y20" s="3426"/>
      <c r="Z20" s="1574"/>
      <c r="AA20" s="1575">
        <v>1</v>
      </c>
      <c r="AB20" s="1575">
        <v>1</v>
      </c>
      <c r="AC20" s="1575">
        <v>1</v>
      </c>
    </row>
    <row r="21" spans="1:29" ht="71.25">
      <c r="A21" s="532"/>
      <c r="B21" s="560" t="s">
        <v>541</v>
      </c>
      <c r="C21" s="561" t="str">
        <f>估价对象房地状况!C17</f>
        <v>估价对象位于XX商圈，周边办公楼项目较多，入驻率高，办公集聚程度一般</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426"/>
      <c r="Q21" s="1571" t="str">
        <f>B21</f>
        <v>办公集聚程度</v>
      </c>
      <c r="R21" s="1572" t="s">
        <v>8</v>
      </c>
      <c r="S21" s="1573">
        <f>F21</f>
        <v>100</v>
      </c>
      <c r="T21" s="1572" t="s">
        <v>8</v>
      </c>
      <c r="U21" s="1573">
        <f>H21</f>
        <v>100</v>
      </c>
      <c r="V21" s="1572" t="s">
        <v>8</v>
      </c>
      <c r="W21" s="1573">
        <f>J21</f>
        <v>100</v>
      </c>
      <c r="X21" s="1566"/>
      <c r="Y21" s="3426"/>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1"/>
      <c r="M22" s="2131"/>
      <c r="N22" s="2131"/>
      <c r="O22" s="2140"/>
      <c r="P22" s="3426"/>
      <c r="Q22" s="1571"/>
      <c r="R22" s="1572"/>
      <c r="S22" s="1573"/>
      <c r="T22" s="1572"/>
      <c r="U22" s="1573"/>
      <c r="V22" s="1572"/>
      <c r="W22" s="1573"/>
      <c r="X22" s="1566"/>
      <c r="Y22" s="3426"/>
      <c r="Z22" s="1574"/>
      <c r="AA22" s="1575">
        <v>1</v>
      </c>
      <c r="AB22" s="1575">
        <v>1</v>
      </c>
      <c r="AC22" s="1575">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1"/>
      <c r="M23" s="2131"/>
      <c r="N23" s="2131"/>
      <c r="O23" s="2140"/>
      <c r="P23" s="3426"/>
      <c r="Q23" s="1571" t="str">
        <f>B23</f>
        <v>交通便捷度</v>
      </c>
      <c r="R23" s="1572" t="s">
        <v>8</v>
      </c>
      <c r="S23" s="1573">
        <f>F23</f>
        <v>100</v>
      </c>
      <c r="T23" s="1572" t="s">
        <v>8</v>
      </c>
      <c r="U23" s="1573">
        <f>H23</f>
        <v>100</v>
      </c>
      <c r="V23" s="1572" t="s">
        <v>8</v>
      </c>
      <c r="W23" s="1573">
        <f>J23</f>
        <v>100</v>
      </c>
      <c r="X23" s="1566"/>
      <c r="Y23" s="3426"/>
      <c r="Z23" s="1574" t="str">
        <f>Q23</f>
        <v>交通便捷度</v>
      </c>
      <c r="AA23" s="1575">
        <f t="shared" si="3"/>
        <v>1</v>
      </c>
      <c r="AB23" s="1575">
        <f t="shared" si="4"/>
        <v>1</v>
      </c>
      <c r="AC23" s="1575">
        <f t="shared" si="5"/>
        <v>1</v>
      </c>
    </row>
    <row r="24" spans="1:29" ht="20.25">
      <c r="A24" s="532"/>
      <c r="B24" s="578"/>
      <c r="C24" s="554"/>
      <c r="D24" s="557"/>
      <c r="E24" s="558"/>
      <c r="F24" s="555"/>
      <c r="G24" s="556"/>
      <c r="H24" s="555"/>
      <c r="I24" s="558"/>
      <c r="J24" s="555"/>
      <c r="K24" s="531"/>
      <c r="L24" s="2141"/>
      <c r="M24" s="2131"/>
      <c r="N24" s="2131"/>
      <c r="O24" s="2140"/>
      <c r="P24" s="3426"/>
      <c r="Q24" s="1571"/>
      <c r="R24" s="1572"/>
      <c r="S24" s="1573"/>
      <c r="T24" s="1572"/>
      <c r="U24" s="1573"/>
      <c r="V24" s="1572"/>
      <c r="W24" s="1573"/>
      <c r="X24" s="1566"/>
      <c r="Y24" s="3426"/>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1"/>
      <c r="M25" s="2131"/>
      <c r="N25" s="2131"/>
      <c r="O25" s="2140"/>
      <c r="P25" s="3426"/>
      <c r="Q25" s="1571" t="str">
        <f t="shared" ref="Q25:Q39" si="8">B25</f>
        <v>区域土地利用方向</v>
      </c>
      <c r="R25" s="1572" t="s">
        <v>8</v>
      </c>
      <c r="S25" s="1573">
        <f>F25</f>
        <v>100</v>
      </c>
      <c r="T25" s="1572" t="s">
        <v>8</v>
      </c>
      <c r="U25" s="1573">
        <f>H25</f>
        <v>100</v>
      </c>
      <c r="V25" s="1572" t="s">
        <v>8</v>
      </c>
      <c r="W25" s="1573">
        <f>J25</f>
        <v>100</v>
      </c>
      <c r="X25" s="1566"/>
      <c r="Y25" s="3426"/>
      <c r="Z25" s="1574" t="str">
        <f>Q25</f>
        <v>区域土地利用方向</v>
      </c>
      <c r="AA25" s="1575">
        <f t="shared" si="3"/>
        <v>1</v>
      </c>
      <c r="AB25" s="1575">
        <f t="shared" si="4"/>
        <v>1</v>
      </c>
      <c r="AC25" s="1575">
        <f t="shared" si="5"/>
        <v>1</v>
      </c>
    </row>
    <row r="26" spans="1:29" ht="20.25">
      <c r="A26" s="515"/>
      <c r="B26" s="1006"/>
      <c r="C26" s="554"/>
      <c r="D26" s="557"/>
      <c r="E26" s="558"/>
      <c r="F26" s="555"/>
      <c r="G26" s="556"/>
      <c r="H26" s="555"/>
      <c r="I26" s="558"/>
      <c r="J26" s="555"/>
      <c r="K26" s="531"/>
      <c r="L26" s="2141"/>
      <c r="M26" s="2131"/>
      <c r="N26" s="2131"/>
      <c r="O26" s="2140"/>
      <c r="P26" s="3426"/>
      <c r="Q26" s="1571"/>
      <c r="R26" s="1572"/>
      <c r="S26" s="1573"/>
      <c r="T26" s="1572"/>
      <c r="U26" s="1573"/>
      <c r="V26" s="1572"/>
      <c r="W26" s="1573"/>
      <c r="X26" s="1566"/>
      <c r="Y26" s="3426"/>
      <c r="Z26" s="1574"/>
      <c r="AA26" s="1575"/>
      <c r="AB26" s="1575"/>
      <c r="AC26" s="1575"/>
    </row>
    <row r="27" spans="1:29" ht="57">
      <c r="A27" s="515"/>
      <c r="B27" s="578" t="s">
        <v>544</v>
      </c>
      <c r="C27" s="561" t="str">
        <f>估价对象房地状况!C20</f>
        <v>区域自然环境：；人文环境；综合评价环境状况较好</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1"/>
      <c r="M27" s="2131"/>
      <c r="N27" s="2131"/>
      <c r="O27" s="2140"/>
      <c r="P27" s="3426"/>
      <c r="Q27" s="1571" t="str">
        <f t="shared" si="8"/>
        <v>自然及人文环境状况</v>
      </c>
      <c r="R27" s="1572" t="s">
        <v>8</v>
      </c>
      <c r="S27" s="1573">
        <f>F27</f>
        <v>100</v>
      </c>
      <c r="T27" s="1572" t="s">
        <v>8</v>
      </c>
      <c r="U27" s="1573">
        <f>H27</f>
        <v>100</v>
      </c>
      <c r="V27" s="1572" t="s">
        <v>8</v>
      </c>
      <c r="W27" s="1573">
        <f>J27</f>
        <v>100</v>
      </c>
      <c r="X27" s="1566"/>
      <c r="Y27" s="3426"/>
      <c r="Z27" s="1574" t="str">
        <f>Q27</f>
        <v>自然及人文环境状况</v>
      </c>
      <c r="AA27" s="1575">
        <f t="shared" si="3"/>
        <v>1</v>
      </c>
      <c r="AB27" s="1575">
        <f t="shared" si="4"/>
        <v>1</v>
      </c>
      <c r="AC27" s="1575">
        <f t="shared" si="5"/>
        <v>1</v>
      </c>
    </row>
    <row r="28" spans="1:29" ht="20.25">
      <c r="A28" s="515"/>
      <c r="B28" s="566"/>
      <c r="C28" s="554"/>
      <c r="D28" s="557"/>
      <c r="E28" s="576"/>
      <c r="F28" s="555"/>
      <c r="G28" s="554"/>
      <c r="H28" s="555"/>
      <c r="I28" s="576"/>
      <c r="J28" s="555"/>
      <c r="K28" s="531"/>
      <c r="L28" s="2141"/>
      <c r="M28" s="2131"/>
      <c r="N28" s="2131"/>
      <c r="O28" s="2140"/>
      <c r="P28" s="3426"/>
      <c r="Q28" s="1571"/>
      <c r="R28" s="1572"/>
      <c r="S28" s="1573"/>
      <c r="T28" s="1572"/>
      <c r="U28" s="1573"/>
      <c r="V28" s="1572"/>
      <c r="W28" s="1573"/>
      <c r="X28" s="1566"/>
      <c r="Y28" s="3426"/>
      <c r="Z28" s="1574"/>
      <c r="AA28" s="1575">
        <v>1</v>
      </c>
      <c r="AB28" s="1575">
        <v>1</v>
      </c>
      <c r="AC28" s="1575">
        <v>1</v>
      </c>
    </row>
    <row r="29" spans="1:29" s="1219" customFormat="1" ht="42.75">
      <c r="A29" s="577"/>
      <c r="B29" s="2569"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4"/>
      <c r="M29" s="2131"/>
      <c r="N29" s="2131"/>
      <c r="O29" s="2136"/>
      <c r="P29" s="3426"/>
      <c r="Q29" s="1150" t="str">
        <f t="shared" si="8"/>
        <v>公共配套设施</v>
      </c>
      <c r="R29" s="1567" t="s">
        <v>8</v>
      </c>
      <c r="S29" s="1568">
        <f>F29</f>
        <v>100</v>
      </c>
      <c r="T29" s="1567" t="s">
        <v>8</v>
      </c>
      <c r="U29" s="1568">
        <f>H29</f>
        <v>100</v>
      </c>
      <c r="V29" s="1567" t="s">
        <v>8</v>
      </c>
      <c r="W29" s="1568">
        <f>J29</f>
        <v>100</v>
      </c>
      <c r="X29" s="1569"/>
      <c r="Y29" s="3426"/>
      <c r="Z29" s="1149" t="str">
        <f>Q29</f>
        <v>公共配套设施</v>
      </c>
      <c r="AA29" s="1575">
        <f>D29/F29</f>
        <v>1</v>
      </c>
      <c r="AB29" s="1575">
        <f>D29/H29</f>
        <v>1</v>
      </c>
      <c r="AC29" s="1575">
        <f>D29/J29</f>
        <v>1</v>
      </c>
    </row>
    <row r="30" spans="1:29" s="1219" customFormat="1" ht="20.25">
      <c r="A30" s="577"/>
      <c r="B30" s="566"/>
      <c r="C30" s="579"/>
      <c r="D30" s="557"/>
      <c r="E30" s="576"/>
      <c r="F30" s="555"/>
      <c r="G30" s="554"/>
      <c r="H30" s="555"/>
      <c r="I30" s="576"/>
      <c r="J30" s="555"/>
      <c r="K30" s="531"/>
      <c r="L30" s="2134"/>
      <c r="M30" s="2131"/>
      <c r="N30" s="2131"/>
      <c r="O30" s="2136"/>
      <c r="P30" s="3426"/>
      <c r="Q30" s="1150"/>
      <c r="R30" s="1567"/>
      <c r="S30" s="1568"/>
      <c r="T30" s="1567"/>
      <c r="U30" s="1568"/>
      <c r="V30" s="1567"/>
      <c r="W30" s="1568"/>
      <c r="X30" s="1569"/>
      <c r="Y30" s="3426"/>
      <c r="Z30" s="1149"/>
      <c r="AA30" s="1575">
        <v>1</v>
      </c>
      <c r="AB30" s="1575">
        <v>1</v>
      </c>
      <c r="AC30" s="1575">
        <v>1</v>
      </c>
    </row>
    <row r="31" spans="1:29" s="1219" customFormat="1" ht="28.5">
      <c r="A31" s="577"/>
      <c r="B31" s="2569"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4"/>
      <c r="M31" s="2131"/>
      <c r="N31" s="2131"/>
      <c r="O31" s="2136"/>
      <c r="P31" s="3426"/>
      <c r="Q31" s="2556" t="str">
        <f t="shared" ref="Q31" si="9">B31</f>
        <v>基础设施水平</v>
      </c>
      <c r="R31" s="1567" t="s">
        <v>8</v>
      </c>
      <c r="S31" s="1568">
        <f>F31</f>
        <v>100</v>
      </c>
      <c r="T31" s="1567" t="s">
        <v>8</v>
      </c>
      <c r="U31" s="1568">
        <f>H31</f>
        <v>100</v>
      </c>
      <c r="V31" s="1567" t="s">
        <v>8</v>
      </c>
      <c r="W31" s="1568">
        <f>J31</f>
        <v>100</v>
      </c>
      <c r="X31" s="1569"/>
      <c r="Y31" s="3426"/>
      <c r="Z31" s="2553" t="str">
        <f>Q31</f>
        <v>基础设施水平</v>
      </c>
      <c r="AA31" s="1575">
        <f>D31/F31</f>
        <v>1</v>
      </c>
      <c r="AB31" s="1575">
        <f>D31/H31</f>
        <v>1</v>
      </c>
      <c r="AC31" s="1575">
        <f>D31/J31</f>
        <v>1</v>
      </c>
    </row>
    <row r="32" spans="1:29" s="1219" customFormat="1" ht="20.25">
      <c r="A32" s="577"/>
      <c r="B32" s="566"/>
      <c r="C32" s="579"/>
      <c r="D32" s="557"/>
      <c r="E32" s="2570"/>
      <c r="F32" s="555"/>
      <c r="G32" s="579"/>
      <c r="H32" s="555"/>
      <c r="I32" s="579"/>
      <c r="J32" s="555"/>
      <c r="K32" s="531"/>
      <c r="L32" s="2134"/>
      <c r="M32" s="2131"/>
      <c r="N32" s="2131"/>
      <c r="O32" s="2136"/>
      <c r="P32" s="3426"/>
      <c r="Q32" s="2556"/>
      <c r="R32" s="1567"/>
      <c r="S32" s="1568"/>
      <c r="T32" s="1567"/>
      <c r="U32" s="1568"/>
      <c r="V32" s="1567"/>
      <c r="W32" s="1568"/>
      <c r="X32" s="1569"/>
      <c r="Y32" s="3426"/>
      <c r="Z32" s="2553"/>
      <c r="AA32" s="1575">
        <v>1</v>
      </c>
      <c r="AB32" s="1575">
        <v>1</v>
      </c>
      <c r="AC32" s="1575">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26"/>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6"/>
      <c r="Z33" s="1574" t="str">
        <f t="shared" ref="Z33:Z47" si="13">Q33</f>
        <v>临街状况</v>
      </c>
      <c r="AA33" s="1575">
        <f t="shared" si="3"/>
        <v>1</v>
      </c>
      <c r="AB33" s="1575">
        <f t="shared" si="4"/>
        <v>1</v>
      </c>
      <c r="AC33" s="1575">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1"/>
      <c r="M34" s="2131"/>
      <c r="N34" s="2131"/>
      <c r="O34" s="2140"/>
      <c r="P34" s="3426"/>
      <c r="Q34" s="1571" t="str">
        <f t="shared" si="8"/>
        <v>毗邻道路的类型与等级</v>
      </c>
      <c r="R34" s="1572" t="s">
        <v>8</v>
      </c>
      <c r="S34" s="1573">
        <f t="shared" si="10"/>
        <v>100</v>
      </c>
      <c r="T34" s="1572" t="s">
        <v>8</v>
      </c>
      <c r="U34" s="1573">
        <f t="shared" si="11"/>
        <v>100</v>
      </c>
      <c r="V34" s="1572" t="s">
        <v>8</v>
      </c>
      <c r="W34" s="1573">
        <f t="shared" si="12"/>
        <v>100</v>
      </c>
      <c r="X34" s="1566"/>
      <c r="Y34" s="3426"/>
      <c r="Z34" s="1574" t="str">
        <f t="shared" si="13"/>
        <v>毗邻道路的类型与等级</v>
      </c>
      <c r="AA34" s="1575">
        <f t="shared" si="3"/>
        <v>1</v>
      </c>
      <c r="AB34" s="1575">
        <f t="shared" si="4"/>
        <v>1</v>
      </c>
      <c r="AC34" s="1575">
        <f t="shared" si="5"/>
        <v>1</v>
      </c>
    </row>
    <row r="35" spans="1:29" ht="20.25">
      <c r="A35" s="532"/>
      <c r="B35" s="566"/>
      <c r="C35" s="554"/>
      <c r="D35" s="557"/>
      <c r="E35" s="576"/>
      <c r="F35" s="555"/>
      <c r="G35" s="554"/>
      <c r="H35" s="555"/>
      <c r="I35" s="576"/>
      <c r="J35" s="555"/>
      <c r="K35" s="581"/>
      <c r="L35" s="2141"/>
      <c r="M35" s="2131"/>
      <c r="N35" s="2131"/>
      <c r="O35" s="2140"/>
      <c r="P35" s="3426"/>
      <c r="Q35" s="1571"/>
      <c r="R35" s="1572"/>
      <c r="S35" s="1573"/>
      <c r="T35" s="1572"/>
      <c r="U35" s="1573"/>
      <c r="V35" s="1572"/>
      <c r="W35" s="1573"/>
      <c r="X35" s="1566"/>
      <c r="Y35" s="3426"/>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26"/>
      <c r="Q36" s="1571" t="str">
        <f t="shared" si="8"/>
        <v>土地级别</v>
      </c>
      <c r="R36" s="1572" t="s">
        <v>8</v>
      </c>
      <c r="S36" s="1573">
        <f t="shared" si="10"/>
        <v>100</v>
      </c>
      <c r="T36" s="1572" t="s">
        <v>8</v>
      </c>
      <c r="U36" s="1573">
        <f t="shared" si="11"/>
        <v>100</v>
      </c>
      <c r="V36" s="1572" t="s">
        <v>8</v>
      </c>
      <c r="W36" s="1573">
        <f t="shared" si="12"/>
        <v>100</v>
      </c>
      <c r="X36" s="1566"/>
      <c r="Y36" s="3426"/>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26"/>
      <c r="Q37" s="1571">
        <f t="shared" si="8"/>
        <v>111</v>
      </c>
      <c r="R37" s="1572" t="s">
        <v>8</v>
      </c>
      <c r="S37" s="1573">
        <f t="shared" si="10"/>
        <v>100</v>
      </c>
      <c r="T37" s="1572" t="s">
        <v>8</v>
      </c>
      <c r="U37" s="1573">
        <f t="shared" si="11"/>
        <v>100</v>
      </c>
      <c r="V37" s="1572" t="s">
        <v>8</v>
      </c>
      <c r="W37" s="1573">
        <f t="shared" si="12"/>
        <v>100</v>
      </c>
      <c r="X37" s="1566"/>
      <c r="Y37" s="3426"/>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27" t="s">
        <v>549</v>
      </c>
      <c r="Q38" s="1571">
        <f t="shared" si="8"/>
        <v>111</v>
      </c>
      <c r="R38" s="1572" t="s">
        <v>8</v>
      </c>
      <c r="S38" s="1573">
        <f t="shared" si="10"/>
        <v>100</v>
      </c>
      <c r="T38" s="1572" t="s">
        <v>8</v>
      </c>
      <c r="U38" s="1573">
        <f t="shared" si="11"/>
        <v>100</v>
      </c>
      <c r="V38" s="1572" t="s">
        <v>8</v>
      </c>
      <c r="W38" s="1573">
        <f t="shared" si="12"/>
        <v>100</v>
      </c>
      <c r="X38" s="1566"/>
      <c r="Y38" s="3428" t="s">
        <v>549</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8"/>
      <c r="Q39" s="1571">
        <f t="shared" si="8"/>
        <v>111</v>
      </c>
      <c r="R39" s="1576" t="s">
        <v>8</v>
      </c>
      <c r="S39" s="1577">
        <f t="shared" si="10"/>
        <v>100</v>
      </c>
      <c r="T39" s="1576" t="s">
        <v>8</v>
      </c>
      <c r="U39" s="1577">
        <f t="shared" si="11"/>
        <v>100</v>
      </c>
      <c r="V39" s="1576" t="s">
        <v>8</v>
      </c>
      <c r="W39" s="1577">
        <f t="shared" si="12"/>
        <v>100</v>
      </c>
      <c r="X39" s="1578"/>
      <c r="Y39" s="3428"/>
      <c r="Z39" s="1579">
        <f t="shared" si="13"/>
        <v>111</v>
      </c>
      <c r="AA39" s="1575">
        <f t="shared" si="3"/>
        <v>1</v>
      </c>
      <c r="AB39" s="1575">
        <f t="shared" si="4"/>
        <v>1</v>
      </c>
      <c r="AC39" s="1575">
        <f t="shared" si="5"/>
        <v>1</v>
      </c>
    </row>
    <row r="40" spans="1:29" ht="20.25">
      <c r="A40" s="2884" t="s">
        <v>2755</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1"/>
      <c r="M40" s="2131"/>
      <c r="N40" s="2131"/>
      <c r="O40" s="2140"/>
      <c r="P40" s="3428"/>
      <c r="Q40" s="1571" t="str">
        <f>B40</f>
        <v>宗地面积</v>
      </c>
      <c r="R40" s="1572" t="s">
        <v>8</v>
      </c>
      <c r="S40" s="1573" t="e">
        <f t="shared" si="10"/>
        <v>#N/A</v>
      </c>
      <c r="T40" s="1572" t="s">
        <v>8</v>
      </c>
      <c r="U40" s="1573" t="e">
        <f t="shared" si="11"/>
        <v>#N/A</v>
      </c>
      <c r="V40" s="1572" t="s">
        <v>8</v>
      </c>
      <c r="W40" s="1573" t="e">
        <f t="shared" si="12"/>
        <v>#N/A</v>
      </c>
      <c r="X40" s="1566"/>
      <c r="Y40" s="3428"/>
      <c r="Z40" s="1574" t="str">
        <f t="shared" si="13"/>
        <v>宗地面积</v>
      </c>
      <c r="AA40" s="1575" t="e">
        <f t="shared" si="3"/>
        <v>#N/A</v>
      </c>
      <c r="AB40" s="1575" t="e">
        <f t="shared" si="4"/>
        <v>#N/A</v>
      </c>
      <c r="AC40" s="1575" t="e">
        <f t="shared" si="5"/>
        <v>#N/A</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1"/>
      <c r="M41" s="2131"/>
      <c r="N41" s="2131"/>
      <c r="O41" s="2140"/>
      <c r="P41" s="3428"/>
      <c r="Q41" s="1571" t="str">
        <f t="shared" ref="Q41:Q47" si="14">B41</f>
        <v>宗地形状</v>
      </c>
      <c r="R41" s="1572" t="s">
        <v>8</v>
      </c>
      <c r="S41" s="1573">
        <f t="shared" si="10"/>
        <v>100</v>
      </c>
      <c r="T41" s="1572" t="s">
        <v>8</v>
      </c>
      <c r="U41" s="1573">
        <f t="shared" si="11"/>
        <v>100</v>
      </c>
      <c r="V41" s="1572" t="s">
        <v>8</v>
      </c>
      <c r="W41" s="1573">
        <f t="shared" si="12"/>
        <v>100</v>
      </c>
      <c r="X41" s="1566"/>
      <c r="Y41" s="3428"/>
      <c r="Z41" s="1574" t="str">
        <f t="shared" si="13"/>
        <v>宗地形状</v>
      </c>
      <c r="AA41" s="1575">
        <f t="shared" si="3"/>
        <v>1</v>
      </c>
      <c r="AB41" s="1575">
        <f t="shared" si="4"/>
        <v>1</v>
      </c>
      <c r="AC41" s="1575">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28"/>
      <c r="Q42" s="1571" t="str">
        <f t="shared" si="14"/>
        <v>临街宽度及深度</v>
      </c>
      <c r="R42" s="1572" t="s">
        <v>8</v>
      </c>
      <c r="S42" s="1573">
        <f t="shared" si="10"/>
        <v>100</v>
      </c>
      <c r="T42" s="1572" t="s">
        <v>8</v>
      </c>
      <c r="U42" s="1573">
        <f t="shared" si="11"/>
        <v>100</v>
      </c>
      <c r="V42" s="1572" t="s">
        <v>8</v>
      </c>
      <c r="W42" s="1573">
        <f t="shared" si="12"/>
        <v>100</v>
      </c>
      <c r="X42" s="1566"/>
      <c r="Y42" s="3428"/>
      <c r="Z42" s="1574" t="str">
        <f t="shared" si="13"/>
        <v>临街宽度及深度</v>
      </c>
      <c r="AA42" s="1575">
        <f t="shared" si="3"/>
        <v>1</v>
      </c>
      <c r="AB42" s="1575">
        <f t="shared" si="4"/>
        <v>1</v>
      </c>
      <c r="AC42" s="1575">
        <f t="shared" si="5"/>
        <v>1</v>
      </c>
    </row>
    <row r="43" spans="1:29" s="1219" customFormat="1" ht="20.25">
      <c r="A43" s="600"/>
      <c r="B43" s="1894"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4"/>
      <c r="M43" s="2131"/>
      <c r="N43" s="2131"/>
      <c r="O43" s="2136"/>
      <c r="P43" s="3428"/>
      <c r="Q43" s="1571" t="str">
        <f t="shared" si="14"/>
        <v>宗地开发程度</v>
      </c>
      <c r="R43" s="1567" t="s">
        <v>8</v>
      </c>
      <c r="S43" s="1568">
        <f t="shared" si="10"/>
        <v>100</v>
      </c>
      <c r="T43" s="1567" t="s">
        <v>8</v>
      </c>
      <c r="U43" s="1568">
        <f t="shared" si="11"/>
        <v>100</v>
      </c>
      <c r="V43" s="1567" t="s">
        <v>8</v>
      </c>
      <c r="W43" s="1568">
        <f t="shared" si="12"/>
        <v>100</v>
      </c>
      <c r="X43" s="1569"/>
      <c r="Y43" s="3428"/>
      <c r="Z43" s="1149" t="str">
        <f t="shared" si="13"/>
        <v>宗地开发程度</v>
      </c>
      <c r="AA43" s="1570">
        <f t="shared" si="3"/>
        <v>1</v>
      </c>
      <c r="AB43" s="1570">
        <f t="shared" si="4"/>
        <v>1</v>
      </c>
      <c r="AC43" s="1570">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428" t="s">
        <v>549</v>
      </c>
      <c r="Q44" s="1571" t="str">
        <f t="shared" si="14"/>
        <v>工程地质条件</v>
      </c>
      <c r="R44" s="1572" t="s">
        <v>8</v>
      </c>
      <c r="S44" s="1573">
        <f t="shared" si="10"/>
        <v>100</v>
      </c>
      <c r="T44" s="1572" t="s">
        <v>8</v>
      </c>
      <c r="U44" s="1573">
        <f t="shared" si="11"/>
        <v>100</v>
      </c>
      <c r="V44" s="1572" t="s">
        <v>8</v>
      </c>
      <c r="W44" s="1573">
        <f t="shared" si="12"/>
        <v>100</v>
      </c>
      <c r="X44" s="1566"/>
      <c r="Y44" s="3428"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8"/>
      <c r="Q45" s="1571">
        <f t="shared" si="14"/>
        <v>111</v>
      </c>
      <c r="R45" s="1572" t="s">
        <v>8</v>
      </c>
      <c r="S45" s="1573">
        <f t="shared" si="10"/>
        <v>100</v>
      </c>
      <c r="T45" s="1572" t="s">
        <v>8</v>
      </c>
      <c r="U45" s="1573">
        <f t="shared" si="11"/>
        <v>100</v>
      </c>
      <c r="V45" s="1572" t="s">
        <v>8</v>
      </c>
      <c r="W45" s="1573">
        <f t="shared" si="12"/>
        <v>100</v>
      </c>
      <c r="X45" s="1566"/>
      <c r="Y45" s="3428"/>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8"/>
      <c r="Q46" s="1571">
        <f t="shared" si="14"/>
        <v>111</v>
      </c>
      <c r="R46" s="1572" t="s">
        <v>8</v>
      </c>
      <c r="S46" s="1573">
        <f t="shared" si="10"/>
        <v>100</v>
      </c>
      <c r="T46" s="1572" t="s">
        <v>8</v>
      </c>
      <c r="U46" s="1573">
        <f t="shared" si="11"/>
        <v>100</v>
      </c>
      <c r="V46" s="1572" t="s">
        <v>8</v>
      </c>
      <c r="W46" s="1573">
        <f t="shared" si="12"/>
        <v>100</v>
      </c>
      <c r="X46" s="1566"/>
      <c r="Y46" s="3428"/>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8"/>
      <c r="Q47" s="1571">
        <f t="shared" si="14"/>
        <v>111</v>
      </c>
      <c r="R47" s="1576" t="s">
        <v>8</v>
      </c>
      <c r="S47" s="1577">
        <f t="shared" si="10"/>
        <v>100</v>
      </c>
      <c r="T47" s="1576" t="s">
        <v>8</v>
      </c>
      <c r="U47" s="1577">
        <f t="shared" si="11"/>
        <v>100</v>
      </c>
      <c r="V47" s="1576" t="s">
        <v>8</v>
      </c>
      <c r="W47" s="1577">
        <f t="shared" si="12"/>
        <v>100</v>
      </c>
      <c r="X47" s="1578"/>
      <c r="Y47" s="3428"/>
      <c r="Z47" s="1579">
        <f t="shared" si="13"/>
        <v>111</v>
      </c>
      <c r="AA47" s="1575">
        <f t="shared" si="3"/>
        <v>1</v>
      </c>
      <c r="AB47" s="1575">
        <f t="shared" si="4"/>
        <v>1</v>
      </c>
      <c r="AC47" s="1575">
        <f t="shared" si="5"/>
        <v>1</v>
      </c>
    </row>
    <row r="48" spans="1:29" ht="20.25">
      <c r="A48" s="607" t="s">
        <v>555</v>
      </c>
      <c r="B48" s="608" t="s">
        <v>2930</v>
      </c>
      <c r="C48" s="609" t="s">
        <v>1</v>
      </c>
      <c r="D48" s="610"/>
      <c r="E48" s="611"/>
      <c r="F48" s="612"/>
      <c r="G48" s="613"/>
      <c r="H48" s="614"/>
      <c r="I48" s="611"/>
      <c r="J48" s="614"/>
      <c r="K48" s="1339"/>
      <c r="L48" s="2143"/>
      <c r="M48" s="2131"/>
      <c r="N48" s="2131"/>
      <c r="O48" s="2144"/>
      <c r="P48" s="3423" t="str">
        <f>A48</f>
        <v>成交单价</v>
      </c>
      <c r="Q48" s="3423"/>
      <c r="R48" s="3437">
        <f>E48</f>
        <v>0</v>
      </c>
      <c r="S48" s="3437"/>
      <c r="T48" s="3437">
        <f>G48</f>
        <v>0</v>
      </c>
      <c r="U48" s="3437"/>
      <c r="V48" s="3437">
        <f>I48</f>
        <v>0</v>
      </c>
      <c r="W48" s="3437"/>
      <c r="X48" s="1558"/>
      <c r="Y48" s="1580"/>
      <c r="Z48" s="1558"/>
      <c r="AA48" s="1558"/>
      <c r="AB48" s="1558"/>
      <c r="AC48" s="1558"/>
    </row>
    <row r="49" spans="1:29" ht="21" thickBot="1">
      <c r="A49" s="615" t="s">
        <v>2693</v>
      </c>
      <c r="B49" s="616"/>
      <c r="C49" s="617" t="e">
        <f>R50</f>
        <v>#DIV/0!</v>
      </c>
      <c r="D49" s="618"/>
      <c r="E49" s="617" t="e">
        <f>R49</f>
        <v>#DIV/0!</v>
      </c>
      <c r="F49" s="619"/>
      <c r="G49" s="620" t="e">
        <f>T49</f>
        <v>#DIV/0!</v>
      </c>
      <c r="H49" s="618"/>
      <c r="I49" s="617" t="e">
        <f>V49</f>
        <v>#DIV/0!</v>
      </c>
      <c r="J49" s="618"/>
      <c r="K49" s="1340"/>
      <c r="L49" s="2143"/>
      <c r="M49" s="2131"/>
      <c r="N49" s="2131"/>
      <c r="O49" s="2144"/>
      <c r="P49" s="3423" t="str">
        <f>A49</f>
        <v>比较价格（元/平方米）</v>
      </c>
      <c r="Q49" s="3423"/>
      <c r="R49" s="3447" t="e">
        <f>ROUND(PRODUCT(R48,AA9:AA47),0)</f>
        <v>#DIV/0!</v>
      </c>
      <c r="S49" s="3447"/>
      <c r="T49" s="3447" t="e">
        <f>ROUND(PRODUCT(T48,AB9:AB47),0)</f>
        <v>#DIV/0!</v>
      </c>
      <c r="U49" s="3447"/>
      <c r="V49" s="3447" t="e">
        <f>ROUND(PRODUCT(V48,AC9:AC47),0)</f>
        <v>#DIV/0!</v>
      </c>
      <c r="W49" s="3447"/>
      <c r="X49" s="1558"/>
      <c r="Y49" s="1558"/>
      <c r="Z49" s="1558"/>
      <c r="AA49" s="1558"/>
      <c r="AB49" s="1558"/>
      <c r="AC49" s="1558"/>
    </row>
    <row r="50" spans="1:29" ht="21" thickBot="1">
      <c r="A50" s="621" t="s">
        <v>2931</v>
      </c>
      <c r="B50" s="622"/>
      <c r="C50" s="623" t="e">
        <f>R50</f>
        <v>#DIV/0!</v>
      </c>
      <c r="D50" s="623"/>
      <c r="E50" s="623"/>
      <c r="F50" s="623"/>
      <c r="G50" s="623"/>
      <c r="H50" s="623"/>
      <c r="I50" s="623"/>
      <c r="J50" s="623"/>
      <c r="K50" s="1341"/>
      <c r="L50" s="2143"/>
      <c r="M50" s="2131"/>
      <c r="N50" s="2131"/>
      <c r="O50" s="2144"/>
      <c r="P50" s="3444" t="str">
        <f>A50</f>
        <v>估价对象XX用房的比较价格（楼面单价，元/平方米）</v>
      </c>
      <c r="Q50" s="3445"/>
      <c r="R50" s="3446" t="e">
        <f>ROUND(AVERAGE(R49:V49),0)</f>
        <v>#DIV/0!</v>
      </c>
      <c r="S50" s="3446"/>
      <c r="T50" s="3446"/>
      <c r="U50" s="3446"/>
      <c r="V50" s="3446"/>
      <c r="W50" s="3446"/>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559</v>
      </c>
      <c r="B57" s="630" t="s">
        <v>560</v>
      </c>
      <c r="C57" s="1559" t="s">
        <v>1724</v>
      </c>
      <c r="D57" s="2226" t="s">
        <v>2293</v>
      </c>
      <c r="E57" s="631" t="s">
        <v>561</v>
      </c>
      <c r="F57" s="632" t="s">
        <v>562</v>
      </c>
      <c r="G57" s="3407" t="s">
        <v>2281</v>
      </c>
      <c r="H57" s="3408"/>
      <c r="I57" s="1554" t="s">
        <v>1722</v>
      </c>
      <c r="J57" s="1554">
        <f>项目基本情况!F41</f>
        <v>0</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563</v>
      </c>
      <c r="B58" s="634" t="e">
        <f>C50</f>
        <v>#DIV/0!</v>
      </c>
      <c r="C58" s="635">
        <v>1</v>
      </c>
      <c r="D58" s="2227">
        <v>1</v>
      </c>
      <c r="E58" s="635">
        <f>'数据-汇总表'!E8+'数据-汇总表'!E9</f>
        <v>20000</v>
      </c>
      <c r="F58" s="636" t="e">
        <f t="shared" ref="F58:F67" si="15">ROUND(B58*E58/10000,0)</f>
        <v>#DIV/0!</v>
      </c>
      <c r="G58" s="3409"/>
      <c r="H58" s="3410"/>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564</v>
      </c>
      <c r="B59" s="638" t="e">
        <f>ROUND($C$50*C59*D59,0)</f>
        <v>#DIV/0!</v>
      </c>
      <c r="C59" s="378">
        <f t="shared" ref="C59:C67" si="16">IF($C$57="北京市系数",I59,J59)</f>
        <v>0.7</v>
      </c>
      <c r="D59" s="2228">
        <v>0.25</v>
      </c>
      <c r="E59" s="639">
        <v>0</v>
      </c>
      <c r="F59" s="636" t="e">
        <f t="shared" si="15"/>
        <v>#DIV/0!</v>
      </c>
      <c r="G59" s="3411" t="s">
        <v>2282</v>
      </c>
      <c r="H59" s="1947" t="str">
        <f>项目基本情况!B43</f>
        <v>六级</v>
      </c>
      <c r="I59" s="1555">
        <f>SUMIF(修正!$A$45:$A$56,H59,修正!B45:B56)</f>
        <v>0.7</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565</v>
      </c>
      <c r="B60" s="638" t="e">
        <f t="shared" ref="B60:B67" si="17">ROUND($C$50*C60*D60,0)</f>
        <v>#DIV/0!</v>
      </c>
      <c r="C60" s="378">
        <f t="shared" si="16"/>
        <v>0.4</v>
      </c>
      <c r="D60" s="2228">
        <v>0.25</v>
      </c>
      <c r="E60" s="639">
        <v>0</v>
      </c>
      <c r="F60" s="636" t="e">
        <f t="shared" si="15"/>
        <v>#DIV/0!</v>
      </c>
      <c r="G60" s="3411"/>
      <c r="H60" s="1947" t="str">
        <f>项目基本情况!B43</f>
        <v>六级</v>
      </c>
      <c r="I60" s="1555">
        <f>SUMIF(修正!$A$45:$A$56,H60,修正!C45:C56)</f>
        <v>0.4</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566</v>
      </c>
      <c r="B61" s="638" t="e">
        <f t="shared" si="17"/>
        <v>#DIV/0!</v>
      </c>
      <c r="C61" s="378">
        <f t="shared" si="16"/>
        <v>0.28000000000000003</v>
      </c>
      <c r="D61" s="2228">
        <v>0.25</v>
      </c>
      <c r="E61" s="639">
        <v>0</v>
      </c>
      <c r="F61" s="636" t="e">
        <f t="shared" si="15"/>
        <v>#DIV/0!</v>
      </c>
      <c r="G61" s="3411"/>
      <c r="H61" s="1947" t="str">
        <f>项目基本情况!B43</f>
        <v>六级</v>
      </c>
      <c r="I61" s="1555">
        <f>SUMIF(修正!$A$45:$A$56,H61,修正!D45:D56)</f>
        <v>0.28000000000000003</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567</v>
      </c>
      <c r="B62" s="638" t="e">
        <f t="shared" si="17"/>
        <v>#DIV/0!</v>
      </c>
      <c r="C62" s="378">
        <f t="shared" si="16"/>
        <v>0.25</v>
      </c>
      <c r="D62" s="2228">
        <v>0.25</v>
      </c>
      <c r="E62" s="639">
        <v>0</v>
      </c>
      <c r="F62" s="636" t="e">
        <f t="shared" si="15"/>
        <v>#DIV/0!</v>
      </c>
      <c r="G62" s="3411"/>
      <c r="H62" s="1947" t="str">
        <f>项目基本情况!B43</f>
        <v>六级</v>
      </c>
      <c r="I62" s="1555">
        <f>SUMIF(修正!$A$45:$A$56,H62,修正!E45:E56)</f>
        <v>0.25</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2328</v>
      </c>
      <c r="B63" s="638" t="e">
        <f t="shared" si="17"/>
        <v>#DIV/0!</v>
      </c>
      <c r="C63" s="378">
        <f t="shared" si="16"/>
        <v>0</v>
      </c>
      <c r="D63" s="2228">
        <v>0.25</v>
      </c>
      <c r="E63" s="641">
        <f>'数据-汇总表'!E11</f>
        <v>0</v>
      </c>
      <c r="F63" s="636" t="e">
        <f t="shared" si="15"/>
        <v>#DIV/0!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568</v>
      </c>
      <c r="B64" s="638" t="e">
        <f t="shared" si="17"/>
        <v>#DIV/0!</v>
      </c>
      <c r="C64" s="378">
        <f t="shared" si="16"/>
        <v>0</v>
      </c>
      <c r="D64" s="2228">
        <v>0.25</v>
      </c>
      <c r="E64" s="641">
        <f>'数据-汇总表'!E12</f>
        <v>2364.58</v>
      </c>
      <c r="F64" s="636" t="e">
        <f t="shared" si="15"/>
        <v>#DIV/0!</v>
      </c>
      <c r="G64" s="1945" t="s">
        <v>1677</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569</v>
      </c>
      <c r="B65" s="638" t="e">
        <f t="shared" si="17"/>
        <v>#DIV/0!</v>
      </c>
      <c r="C65" s="378">
        <f t="shared" si="16"/>
        <v>0.2</v>
      </c>
      <c r="D65" s="2228">
        <v>0.25</v>
      </c>
      <c r="E65" s="641">
        <f>'数据-汇总表'!E13</f>
        <v>8880.9</v>
      </c>
      <c r="F65" s="636" t="e">
        <f t="shared" si="15"/>
        <v>#DIV/0!</v>
      </c>
      <c r="G65" s="1945" t="s">
        <v>922</v>
      </c>
      <c r="H65" s="1943" t="str">
        <f>IF(G65="商业",项目基本情况!B43,IF(G65="办公",项目基本情况!C43,IF(G65="住宅",项目基本情况!D43,项目基本情况!E43)))</f>
        <v>六级</v>
      </c>
      <c r="I65" s="1555">
        <f>SUMIF(修正!$A$45:$A$56,H65,修正!H45:H56)</f>
        <v>0.2</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570</v>
      </c>
      <c r="B66" s="638" t="e">
        <f t="shared" si="17"/>
        <v>#DIV/0!</v>
      </c>
      <c r="C66" s="378">
        <f t="shared" si="16"/>
        <v>0.2</v>
      </c>
      <c r="D66" s="2228">
        <v>0.25</v>
      </c>
      <c r="E66" s="641">
        <f>'数据-汇总表'!E14</f>
        <v>0</v>
      </c>
      <c r="F66" s="636" t="e">
        <f t="shared" si="15"/>
        <v>#DIV/0!</v>
      </c>
      <c r="G66" s="1944" t="s">
        <v>2282</v>
      </c>
      <c r="H66" s="1947" t="str">
        <f>项目基本情况!B43</f>
        <v>六级</v>
      </c>
      <c r="I66" s="1555">
        <f>SUMIF(修正!$A$45:$A$56,H66,修正!H45:H56)</f>
        <v>0.2</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571</v>
      </c>
      <c r="B67" s="638" t="e">
        <f t="shared" si="17"/>
        <v>#DIV/0!</v>
      </c>
      <c r="C67" s="378">
        <f t="shared" si="16"/>
        <v>0</v>
      </c>
      <c r="D67" s="2228">
        <v>0.25</v>
      </c>
      <c r="E67" s="641">
        <f>'数据-汇总表'!E15</f>
        <v>0</v>
      </c>
      <c r="F67" s="636" t="e">
        <f t="shared" si="15"/>
        <v>#DIV/0!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572</v>
      </c>
      <c r="B68" s="643" t="s">
        <v>17</v>
      </c>
      <c r="C68" s="643" t="s">
        <v>18</v>
      </c>
      <c r="D68" s="643" t="s">
        <v>2294</v>
      </c>
      <c r="E68" s="643">
        <f>IF(B48="楼面地价",SUM(E58:E67),'数据-汇总表'!D3)</f>
        <v>68743.19</v>
      </c>
      <c r="F68" s="644"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2019-3-1</v>
      </c>
      <c r="D70" s="2776">
        <f>EDATE(C70,-3)</f>
        <v>43435</v>
      </c>
      <c r="E70" s="2776">
        <f t="shared" ref="E70:N70" si="18">EDATE(D70,-3)</f>
        <v>43344</v>
      </c>
      <c r="F70" s="2776">
        <f t="shared" si="18"/>
        <v>43252</v>
      </c>
      <c r="G70" s="2776">
        <f t="shared" si="18"/>
        <v>43160</v>
      </c>
      <c r="H70" s="2776">
        <f t="shared" si="18"/>
        <v>43070</v>
      </c>
      <c r="I70" s="2776">
        <f t="shared" si="18"/>
        <v>42979</v>
      </c>
      <c r="J70" s="2776">
        <f t="shared" si="18"/>
        <v>42887</v>
      </c>
      <c r="K70" s="2776">
        <f t="shared" si="18"/>
        <v>42795</v>
      </c>
      <c r="L70" s="2776">
        <f t="shared" si="18"/>
        <v>42705</v>
      </c>
      <c r="M70" s="2776">
        <f t="shared" si="18"/>
        <v>42614</v>
      </c>
      <c r="N70" s="2776">
        <f t="shared" si="18"/>
        <v>42522</v>
      </c>
      <c r="O70" s="2144"/>
      <c r="P70" s="2144"/>
      <c r="Q70" s="2144"/>
      <c r="R70" s="2144"/>
      <c r="S70" s="2144"/>
      <c r="T70" s="2144"/>
      <c r="U70" s="2144"/>
      <c r="V70" s="2144"/>
      <c r="W70" s="2144"/>
      <c r="X70" s="2144"/>
      <c r="Y70" s="2144"/>
      <c r="Z70" s="2144"/>
      <c r="AA70" s="2144"/>
      <c r="AB70" s="2144"/>
      <c r="AC70" s="2144"/>
    </row>
    <row r="71" spans="1:29" ht="21.75" thickBot="1">
      <c r="A71" s="1583" t="s">
        <v>573</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46" t="s">
        <v>2532</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3" t="s">
        <v>2647</v>
      </c>
      <c r="B73" s="479" t="str">
        <f>"北京市平均增长率"&amp;TEXT(SUMIF('基准地价-住宅'!N21:N25,A73,'基准地价-住宅'!P21:P25),"0.00%")</f>
        <v>北京市平均增长率2.13%</v>
      </c>
      <c r="C73" s="893">
        <v>100</v>
      </c>
      <c r="D73" s="730"/>
      <c r="E73" s="730"/>
      <c r="F73" s="730"/>
      <c r="G73" s="730"/>
      <c r="H73" s="730"/>
      <c r="I73" s="730"/>
      <c r="J73" s="730"/>
      <c r="K73" s="730"/>
      <c r="L73" s="730"/>
      <c r="M73" s="2769"/>
      <c r="N73" s="2770"/>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3" t="s">
        <v>2646</v>
      </c>
      <c r="B74" s="2782"/>
      <c r="C74" s="2767"/>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19" customFormat="1" ht="15">
      <c r="A75" s="659" t="s">
        <v>530</v>
      </c>
      <c r="B75" s="648"/>
      <c r="C75" s="660" t="s">
        <v>575</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576</v>
      </c>
      <c r="B77" s="665" t="s">
        <v>533</v>
      </c>
      <c r="C77" s="598"/>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536</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c r="D82" s="541"/>
      <c r="E82" s="541"/>
      <c r="F82" s="541"/>
      <c r="G82" s="541"/>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538</v>
      </c>
      <c r="B90" s="665" t="s">
        <v>577</v>
      </c>
      <c r="C90" s="703" t="s">
        <v>578</v>
      </c>
      <c r="D90" s="703" t="s">
        <v>579</v>
      </c>
      <c r="E90" s="703" t="s">
        <v>580</v>
      </c>
      <c r="F90" s="703" t="s">
        <v>581</v>
      </c>
      <c r="G90" s="703" t="s">
        <v>582</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583</v>
      </c>
      <c r="C92" s="708" t="s">
        <v>578</v>
      </c>
      <c r="D92" s="708" t="s">
        <v>579</v>
      </c>
      <c r="E92" s="708" t="s">
        <v>580</v>
      </c>
      <c r="F92" s="708" t="s">
        <v>581</v>
      </c>
      <c r="G92" s="708" t="s">
        <v>582</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584</v>
      </c>
      <c r="C94" s="708" t="s">
        <v>578</v>
      </c>
      <c r="D94" s="708" t="s">
        <v>579</v>
      </c>
      <c r="E94" s="708" t="s">
        <v>580</v>
      </c>
      <c r="F94" s="708" t="s">
        <v>581</v>
      </c>
      <c r="G94" s="708" t="s">
        <v>582</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585</v>
      </c>
      <c r="C96" s="708" t="s">
        <v>578</v>
      </c>
      <c r="D96" s="708" t="s">
        <v>579</v>
      </c>
      <c r="E96" s="708" t="s">
        <v>580</v>
      </c>
      <c r="F96" s="708" t="s">
        <v>581</v>
      </c>
      <c r="G96" s="708" t="s">
        <v>582</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2548</v>
      </c>
      <c r="C102" s="703" t="s">
        <v>578</v>
      </c>
      <c r="D102" s="703" t="s">
        <v>579</v>
      </c>
      <c r="E102" s="703" t="s">
        <v>580</v>
      </c>
      <c r="F102" s="703" t="s">
        <v>581</v>
      </c>
      <c r="G102" s="703" t="s">
        <v>582</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2550</v>
      </c>
      <c r="C104" s="2576" t="s">
        <v>2551</v>
      </c>
      <c r="D104" s="2576" t="s">
        <v>2552</v>
      </c>
      <c r="E104" s="2576" t="s">
        <v>2553</v>
      </c>
      <c r="F104" s="2576" t="s">
        <v>2554</v>
      </c>
      <c r="G104" s="2576" t="s">
        <v>2555</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547</v>
      </c>
      <c r="C108" s="688"/>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548</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6" t="str">
        <f t="shared" si="25"/>
        <v>(含)-</v>
      </c>
      <c r="K118" s="3066" t="str">
        <f t="shared" si="25"/>
        <v>(含)-</v>
      </c>
      <c r="L118" s="3067" t="str">
        <f t="shared" si="25"/>
        <v>(含)-</v>
      </c>
      <c r="M118" s="306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c r="D119" s="730"/>
      <c r="E119" s="730"/>
      <c r="F119" s="730"/>
      <c r="G119" s="730"/>
      <c r="H119" s="730"/>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c r="D120" s="726"/>
      <c r="E120" s="726"/>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593</v>
      </c>
      <c r="C121" s="718"/>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594</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2425</v>
      </c>
      <c r="C125" s="1374"/>
      <c r="D125" s="1374"/>
      <c r="E125" s="1374"/>
      <c r="F125" s="1374"/>
      <c r="G125" s="1374"/>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595</v>
      </c>
      <c r="C127" s="688"/>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44" t="str">
        <f>项目基本情况!B1</f>
        <v>北京市出让国有建设用地使用权预评估</v>
      </c>
      <c r="C37" s="3244"/>
      <c r="D37" s="3244"/>
      <c r="E37" s="3244"/>
      <c r="F37" s="3244"/>
      <c r="G37" s="3244"/>
      <c r="H37" s="3244"/>
      <c r="I37" s="3244"/>
    </row>
    <row r="38" spans="1:9">
      <c r="A38" s="1655"/>
      <c r="B38" s="1655"/>
    </row>
    <row r="39" spans="1:9">
      <c r="A39" s="1653" t="s">
        <v>1901</v>
      </c>
      <c r="B39" s="1653" t="s">
        <v>2046</v>
      </c>
    </row>
    <row r="40" spans="1:9">
      <c r="A40" s="1653"/>
      <c r="B40" s="1653">
        <f>项目基本情况!B5</f>
        <v>0</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陈颖、杨红英</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520</v>
      </c>
      <c r="B6" s="513"/>
      <c r="C6" s="3429" t="s">
        <v>521</v>
      </c>
      <c r="D6" s="3430"/>
      <c r="E6" s="3453" t="s">
        <v>522</v>
      </c>
      <c r="F6" s="3454"/>
      <c r="G6" s="3429" t="s">
        <v>523</v>
      </c>
      <c r="H6" s="3430"/>
      <c r="I6" s="3429" t="s">
        <v>524</v>
      </c>
      <c r="J6" s="3430"/>
      <c r="K6" s="514" t="s">
        <v>525</v>
      </c>
      <c r="L6" s="2132"/>
      <c r="M6" s="2133"/>
      <c r="N6" s="2133"/>
      <c r="O6" s="2133"/>
      <c r="P6" s="3431" t="s">
        <v>526</v>
      </c>
      <c r="Q6" s="3432"/>
      <c r="R6" s="3417" t="s">
        <v>522</v>
      </c>
      <c r="S6" s="3418"/>
      <c r="T6" s="3417" t="s">
        <v>523</v>
      </c>
      <c r="U6" s="3418"/>
      <c r="V6" s="3437" t="s">
        <v>524</v>
      </c>
      <c r="W6" s="3437"/>
      <c r="X6" s="1566"/>
      <c r="Y6" s="3417" t="s">
        <v>526</v>
      </c>
      <c r="Z6" s="3418"/>
      <c r="AA6" s="3412" t="s">
        <v>522</v>
      </c>
      <c r="AB6" s="3413" t="s">
        <v>523</v>
      </c>
      <c r="AC6" s="3412" t="s">
        <v>524</v>
      </c>
    </row>
    <row r="7" spans="1:29" ht="15">
      <c r="A7" s="515"/>
      <c r="B7" s="516"/>
      <c r="C7" s="3440" t="s">
        <v>2925</v>
      </c>
      <c r="D7" s="3441"/>
      <c r="E7" s="3455" t="s">
        <v>2926</v>
      </c>
      <c r="F7" s="3456"/>
      <c r="G7" s="3440" t="s">
        <v>2927</v>
      </c>
      <c r="H7" s="3441"/>
      <c r="I7" s="3440" t="s">
        <v>2928</v>
      </c>
      <c r="J7" s="3441"/>
      <c r="K7" s="514"/>
      <c r="L7" s="2132"/>
      <c r="M7" s="2133"/>
      <c r="N7" s="2133"/>
      <c r="O7" s="2133"/>
      <c r="P7" s="3433"/>
      <c r="Q7" s="3434"/>
      <c r="R7" s="3419"/>
      <c r="S7" s="3420"/>
      <c r="T7" s="3419"/>
      <c r="U7" s="3420"/>
      <c r="V7" s="3437"/>
      <c r="W7" s="3437"/>
      <c r="X7" s="1566"/>
      <c r="Y7" s="3419"/>
      <c r="Z7" s="3420"/>
      <c r="AA7" s="3413"/>
      <c r="AB7" s="3413"/>
      <c r="AC7" s="3413"/>
    </row>
    <row r="8" spans="1:29" ht="15.75" thickBot="1">
      <c r="A8" s="517"/>
      <c r="B8" s="518"/>
      <c r="C8" s="3438" t="s">
        <v>2929</v>
      </c>
      <c r="D8" s="3439"/>
      <c r="E8" s="3457" t="s">
        <v>2929</v>
      </c>
      <c r="F8" s="3458"/>
      <c r="G8" s="3438" t="s">
        <v>2929</v>
      </c>
      <c r="H8" s="3439"/>
      <c r="I8" s="3438" t="s">
        <v>2929</v>
      </c>
      <c r="J8" s="3439"/>
      <c r="K8" s="514" t="s">
        <v>527</v>
      </c>
      <c r="L8" s="2132"/>
      <c r="M8" s="2133"/>
      <c r="N8" s="2133"/>
      <c r="O8" s="2133"/>
      <c r="P8" s="3435"/>
      <c r="Q8" s="3436"/>
      <c r="R8" s="3419"/>
      <c r="S8" s="3420"/>
      <c r="T8" s="3421"/>
      <c r="U8" s="3422"/>
      <c r="V8" s="3437"/>
      <c r="W8" s="3437"/>
      <c r="X8" s="1566"/>
      <c r="Y8" s="3421"/>
      <c r="Z8" s="3422"/>
      <c r="AA8" s="3414"/>
      <c r="AB8" s="3414"/>
      <c r="AC8" s="3414"/>
    </row>
    <row r="9" spans="1:29" s="1219" customFormat="1" ht="15.75" thickBot="1">
      <c r="A9" s="2889"/>
      <c r="B9" s="2896" t="s">
        <v>528</v>
      </c>
      <c r="C9" s="519">
        <f>'数据-取费表'!B2</f>
        <v>43528</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15" t="s">
        <v>529</v>
      </c>
      <c r="Q9" s="3424"/>
      <c r="R9" s="1567" t="s">
        <v>8</v>
      </c>
      <c r="S9" s="1568">
        <f t="shared" ref="S9:S17" si="0">F9</f>
        <v>0</v>
      </c>
      <c r="T9" s="1567" t="s">
        <v>8</v>
      </c>
      <c r="U9" s="1568">
        <f t="shared" ref="U9:U17" si="1">H9</f>
        <v>0</v>
      </c>
      <c r="V9" s="1567" t="s">
        <v>8</v>
      </c>
      <c r="W9" s="1568">
        <f t="shared" ref="W9:W17" si="2">J9</f>
        <v>0</v>
      </c>
      <c r="X9" s="1569"/>
      <c r="Y9" s="3415" t="s">
        <v>529</v>
      </c>
      <c r="Z9" s="3416"/>
      <c r="AA9" s="1570" t="e">
        <f>D9/F9</f>
        <v>#DIV/0!</v>
      </c>
      <c r="AB9" s="1570" t="e">
        <f>D9/H9</f>
        <v>#DIV/0!</v>
      </c>
      <c r="AC9" s="1570" t="e">
        <f>D9/J9</f>
        <v>#DIV/0!</v>
      </c>
    </row>
    <row r="10" spans="1:29" s="1219" customFormat="1" ht="15.75" thickBot="1">
      <c r="A10" s="2890"/>
      <c r="B10" s="2897"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15" t="s">
        <v>532</v>
      </c>
      <c r="Q10" s="3416"/>
      <c r="R10" s="1567" t="s">
        <v>8</v>
      </c>
      <c r="S10" s="1568">
        <f t="shared" si="0"/>
        <v>0</v>
      </c>
      <c r="T10" s="1567" t="s">
        <v>8</v>
      </c>
      <c r="U10" s="1568">
        <f t="shared" si="1"/>
        <v>0</v>
      </c>
      <c r="V10" s="1567" t="s">
        <v>8</v>
      </c>
      <c r="W10" s="1568">
        <f t="shared" si="2"/>
        <v>0</v>
      </c>
      <c r="X10" s="1569"/>
      <c r="Y10" s="3415" t="s">
        <v>532</v>
      </c>
      <c r="Z10" s="3416"/>
      <c r="AA10" s="1570" t="e">
        <f t="shared" ref="AA10:AA42" si="3">D10/F10</f>
        <v>#DIV/0!</v>
      </c>
      <c r="AB10" s="1570" t="e">
        <f t="shared" ref="AB10:AB42" si="4">D10/H10</f>
        <v>#DIV/0!</v>
      </c>
      <c r="AC10" s="1570" t="e">
        <f t="shared" ref="AC10:AC42" si="5">D10/J10</f>
        <v>#DIV/0!</v>
      </c>
    </row>
    <row r="11" spans="1:29" s="1219" customFormat="1" ht="15">
      <c r="A11" s="2891"/>
      <c r="B11" s="2898" t="s">
        <v>2756</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423" t="s">
        <v>534</v>
      </c>
      <c r="Q11" s="1150" t="str">
        <f t="shared" ref="Q11:Q17" si="6">B11</f>
        <v>用途</v>
      </c>
      <c r="R11" s="1567" t="s">
        <v>8</v>
      </c>
      <c r="S11" s="1568">
        <f t="shared" si="0"/>
        <v>100</v>
      </c>
      <c r="T11" s="1567" t="s">
        <v>8</v>
      </c>
      <c r="U11" s="1568">
        <f t="shared" si="1"/>
        <v>100</v>
      </c>
      <c r="V11" s="1567" t="s">
        <v>8</v>
      </c>
      <c r="W11" s="1568">
        <f t="shared" si="2"/>
        <v>100</v>
      </c>
      <c r="X11" s="1569"/>
      <c r="Y11" s="3380" t="s">
        <v>535</v>
      </c>
      <c r="Z11" s="1149" t="str">
        <f t="shared" ref="Z11:Z17" si="7">Q11</f>
        <v>用途</v>
      </c>
      <c r="AA11" s="1570">
        <f t="shared" si="3"/>
        <v>1</v>
      </c>
      <c r="AB11" s="1570">
        <f t="shared" si="4"/>
        <v>1</v>
      </c>
      <c r="AC11" s="1570">
        <f t="shared" si="5"/>
        <v>1</v>
      </c>
    </row>
    <row r="12" spans="1:29" s="1337" customFormat="1" ht="27">
      <c r="A12" s="2892"/>
      <c r="B12" s="2897" t="s">
        <v>2757</v>
      </c>
      <c r="C12" s="528"/>
      <c r="D12" s="255">
        <v>100</v>
      </c>
      <c r="E12" s="528"/>
      <c r="F12" s="255">
        <f>ROUND(100/'数据-取费表'!G16,0)</f>
        <v>115</v>
      </c>
      <c r="G12" s="528"/>
      <c r="H12" s="255">
        <f>ROUND(100/'数据-取费表'!G16,0)</f>
        <v>115</v>
      </c>
      <c r="I12" s="528"/>
      <c r="J12" s="255">
        <f>ROUND(100/'数据-取费表'!G16,0)</f>
        <v>115</v>
      </c>
      <c r="K12" s="531"/>
      <c r="L12" s="2137"/>
      <c r="M12" s="2177"/>
      <c r="N12" s="2177"/>
      <c r="O12" s="2138"/>
      <c r="P12" s="3423"/>
      <c r="Q12" s="1150" t="str">
        <f t="shared" si="6"/>
        <v>土地使用年限（年）</v>
      </c>
      <c r="R12" s="1567" t="s">
        <v>8</v>
      </c>
      <c r="S12" s="1568">
        <f t="shared" si="0"/>
        <v>115</v>
      </c>
      <c r="T12" s="1567" t="s">
        <v>8</v>
      </c>
      <c r="U12" s="1568">
        <f t="shared" si="1"/>
        <v>115</v>
      </c>
      <c r="V12" s="1567" t="s">
        <v>8</v>
      </c>
      <c r="W12" s="1568">
        <f t="shared" si="2"/>
        <v>115</v>
      </c>
      <c r="X12" s="1569"/>
      <c r="Y12" s="3380"/>
      <c r="Z12" s="1149" t="str">
        <f t="shared" si="7"/>
        <v>土地使用年限（年）</v>
      </c>
      <c r="AA12" s="1570">
        <f t="shared" si="3"/>
        <v>0.86956521739130432</v>
      </c>
      <c r="AB12" s="1570">
        <f t="shared" si="4"/>
        <v>0.86956521739130432</v>
      </c>
      <c r="AC12" s="1570">
        <f t="shared" si="5"/>
        <v>0.86956521739130432</v>
      </c>
    </row>
    <row r="13" spans="1:29" ht="15">
      <c r="A13" s="2893"/>
      <c r="B13" s="2897"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423"/>
      <c r="Q13" s="1150" t="str">
        <f t="shared" si="6"/>
        <v>容积率</v>
      </c>
      <c r="R13" s="1567" t="s">
        <v>8</v>
      </c>
      <c r="S13" s="1568" t="e">
        <f t="shared" si="0"/>
        <v>#N/A</v>
      </c>
      <c r="T13" s="1567" t="s">
        <v>8</v>
      </c>
      <c r="U13" s="1568" t="e">
        <f t="shared" si="1"/>
        <v>#N/A</v>
      </c>
      <c r="V13" s="1567" t="s">
        <v>8</v>
      </c>
      <c r="W13" s="1568" t="e">
        <f t="shared" si="2"/>
        <v>#N/A</v>
      </c>
      <c r="X13" s="1569"/>
      <c r="Y13" s="3380"/>
      <c r="Z13" s="1149" t="str">
        <f t="shared" si="7"/>
        <v>容积率</v>
      </c>
      <c r="AA13" s="1570" t="e">
        <f t="shared" si="3"/>
        <v>#N/A</v>
      </c>
      <c r="AB13" s="1570" t="e">
        <f t="shared" si="4"/>
        <v>#N/A</v>
      </c>
      <c r="AC13" s="1570" t="e">
        <f t="shared" si="5"/>
        <v>#N/A</v>
      </c>
    </row>
    <row r="14" spans="1:29" s="1219"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423"/>
      <c r="Q14" s="1150">
        <f t="shared" si="6"/>
        <v>111</v>
      </c>
      <c r="R14" s="1567" t="s">
        <v>8</v>
      </c>
      <c r="S14" s="1568">
        <f t="shared" si="0"/>
        <v>100</v>
      </c>
      <c r="T14" s="1567" t="s">
        <v>8</v>
      </c>
      <c r="U14" s="1568">
        <f t="shared" si="1"/>
        <v>100</v>
      </c>
      <c r="V14" s="1567" t="s">
        <v>8</v>
      </c>
      <c r="W14" s="1568">
        <f t="shared" si="2"/>
        <v>100</v>
      </c>
      <c r="X14" s="1569"/>
      <c r="Y14" s="3380"/>
      <c r="Z14" s="1149">
        <f t="shared" si="7"/>
        <v>111</v>
      </c>
      <c r="AA14" s="1570">
        <f>D14/F14</f>
        <v>1</v>
      </c>
      <c r="AB14" s="1570">
        <f>D14/H14</f>
        <v>1</v>
      </c>
      <c r="AC14" s="1570">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423"/>
      <c r="Q15" s="1150">
        <f t="shared" si="6"/>
        <v>111</v>
      </c>
      <c r="R15" s="1567" t="s">
        <v>8</v>
      </c>
      <c r="S15" s="1568">
        <f t="shared" si="0"/>
        <v>100</v>
      </c>
      <c r="T15" s="1567" t="s">
        <v>8</v>
      </c>
      <c r="U15" s="1568">
        <f t="shared" si="1"/>
        <v>100</v>
      </c>
      <c r="V15" s="1567" t="s">
        <v>8</v>
      </c>
      <c r="W15" s="1568">
        <f t="shared" si="2"/>
        <v>100</v>
      </c>
      <c r="X15" s="1569"/>
      <c r="Y15" s="3380"/>
      <c r="Z15" s="1149">
        <f t="shared" si="7"/>
        <v>111</v>
      </c>
      <c r="AA15" s="1570">
        <f t="shared" si="3"/>
        <v>1</v>
      </c>
      <c r="AB15" s="1570">
        <f t="shared" si="4"/>
        <v>1</v>
      </c>
      <c r="AC15" s="1570">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423"/>
      <c r="Q16" s="1150">
        <f t="shared" si="6"/>
        <v>111</v>
      </c>
      <c r="R16" s="1567" t="s">
        <v>8</v>
      </c>
      <c r="S16" s="1568">
        <f t="shared" si="0"/>
        <v>100</v>
      </c>
      <c r="T16" s="1567" t="s">
        <v>8</v>
      </c>
      <c r="U16" s="1568">
        <f t="shared" si="1"/>
        <v>100</v>
      </c>
      <c r="V16" s="1567" t="s">
        <v>8</v>
      </c>
      <c r="W16" s="1568">
        <f t="shared" si="2"/>
        <v>100</v>
      </c>
      <c r="X16" s="1569"/>
      <c r="Y16" s="3380"/>
      <c r="Z16" s="1149">
        <f t="shared" si="7"/>
        <v>111</v>
      </c>
      <c r="AA16" s="1570">
        <f t="shared" si="3"/>
        <v>1</v>
      </c>
      <c r="AB16" s="1570">
        <f t="shared" si="4"/>
        <v>1</v>
      </c>
      <c r="AC16" s="1570">
        <f t="shared" si="5"/>
        <v>1</v>
      </c>
    </row>
    <row r="17" spans="1:29" ht="57">
      <c r="A17" s="2887" t="s">
        <v>2754</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25" t="s">
        <v>539</v>
      </c>
      <c r="Q17" s="1571" t="str">
        <f t="shared" si="6"/>
        <v>产业集聚程度</v>
      </c>
      <c r="R17" s="1572" t="s">
        <v>8</v>
      </c>
      <c r="S17" s="1573">
        <f t="shared" si="0"/>
        <v>100</v>
      </c>
      <c r="T17" s="1572" t="s">
        <v>8</v>
      </c>
      <c r="U17" s="1573">
        <f t="shared" si="1"/>
        <v>100</v>
      </c>
      <c r="V17" s="1572" t="s">
        <v>8</v>
      </c>
      <c r="W17" s="1573">
        <f t="shared" si="2"/>
        <v>100</v>
      </c>
      <c r="X17" s="1566"/>
      <c r="Y17" s="3425"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26"/>
      <c r="Q18" s="1571"/>
      <c r="R18" s="1572"/>
      <c r="S18" s="1573"/>
      <c r="T18" s="1572"/>
      <c r="U18" s="1573"/>
      <c r="V18" s="1572"/>
      <c r="W18" s="1573"/>
      <c r="X18" s="1566"/>
      <c r="Y18" s="3426"/>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26"/>
      <c r="Q19" s="1571" t="str">
        <f>B19</f>
        <v>交通便捷度</v>
      </c>
      <c r="R19" s="1572" t="s">
        <v>8</v>
      </c>
      <c r="S19" s="1573">
        <f>F19</f>
        <v>100</v>
      </c>
      <c r="T19" s="1572" t="s">
        <v>8</v>
      </c>
      <c r="U19" s="1573">
        <f>H19</f>
        <v>100</v>
      </c>
      <c r="V19" s="1572" t="s">
        <v>8</v>
      </c>
      <c r="W19" s="1573">
        <f>J19</f>
        <v>100</v>
      </c>
      <c r="X19" s="1566"/>
      <c r="Y19" s="3426"/>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26"/>
      <c r="Q20" s="1571"/>
      <c r="R20" s="1572"/>
      <c r="S20" s="1573"/>
      <c r="T20" s="1572"/>
      <c r="U20" s="1573"/>
      <c r="V20" s="1572"/>
      <c r="W20" s="1573"/>
      <c r="X20" s="1566"/>
      <c r="Y20" s="3426"/>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26"/>
      <c r="Q21" s="1571" t="str">
        <f t="shared" ref="Q21:Q35" si="8">B21</f>
        <v>区域土地利用方向</v>
      </c>
      <c r="R21" s="1572" t="s">
        <v>8</v>
      </c>
      <c r="S21" s="1573">
        <f>F21</f>
        <v>100</v>
      </c>
      <c r="T21" s="1572" t="s">
        <v>8</v>
      </c>
      <c r="U21" s="1573">
        <f>H21</f>
        <v>100</v>
      </c>
      <c r="V21" s="1572" t="s">
        <v>8</v>
      </c>
      <c r="W21" s="1573">
        <f>J21</f>
        <v>100</v>
      </c>
      <c r="X21" s="1566"/>
      <c r="Y21" s="3426"/>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26"/>
      <c r="Q22" s="1571"/>
      <c r="R22" s="1572"/>
      <c r="S22" s="1573"/>
      <c r="T22" s="1572"/>
      <c r="U22" s="1573"/>
      <c r="V22" s="1572"/>
      <c r="W22" s="1573"/>
      <c r="X22" s="1566"/>
      <c r="Y22" s="3426"/>
      <c r="Z22" s="1574"/>
      <c r="AA22" s="1575"/>
      <c r="AB22" s="1575"/>
      <c r="AC22" s="1575"/>
    </row>
    <row r="23" spans="1:29" ht="71.25">
      <c r="A23" s="515"/>
      <c r="B23" s="921"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26"/>
      <c r="Q23" s="1571" t="str">
        <f t="shared" si="8"/>
        <v>环境状况</v>
      </c>
      <c r="R23" s="1572" t="s">
        <v>8</v>
      </c>
      <c r="S23" s="1573">
        <f>F23</f>
        <v>100</v>
      </c>
      <c r="T23" s="1572" t="s">
        <v>8</v>
      </c>
      <c r="U23" s="1573">
        <f>H23</f>
        <v>100</v>
      </c>
      <c r="V23" s="1572" t="s">
        <v>8</v>
      </c>
      <c r="W23" s="1573">
        <f>J23</f>
        <v>100</v>
      </c>
      <c r="X23" s="1566"/>
      <c r="Y23" s="3426"/>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26"/>
      <c r="Q24" s="1571"/>
      <c r="R24" s="1572"/>
      <c r="S24" s="1573"/>
      <c r="T24" s="1572"/>
      <c r="U24" s="1573"/>
      <c r="V24" s="1572"/>
      <c r="W24" s="1573"/>
      <c r="X24" s="1566"/>
      <c r="Y24" s="3426"/>
      <c r="Z24" s="1574"/>
      <c r="AA24" s="1575">
        <v>1</v>
      </c>
      <c r="AB24" s="1575">
        <v>1</v>
      </c>
      <c r="AC24" s="1575">
        <v>1</v>
      </c>
    </row>
    <row r="25" spans="1:29" s="1219" customFormat="1" ht="42.75">
      <c r="A25" s="577"/>
      <c r="B25" s="2571"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26"/>
      <c r="Q25" s="1150" t="str">
        <f t="shared" si="8"/>
        <v>公共配套设施</v>
      </c>
      <c r="R25" s="1567" t="s">
        <v>8</v>
      </c>
      <c r="S25" s="1568">
        <f>F25</f>
        <v>100</v>
      </c>
      <c r="T25" s="1567" t="s">
        <v>8</v>
      </c>
      <c r="U25" s="1568">
        <f>H25</f>
        <v>100</v>
      </c>
      <c r="V25" s="1567" t="s">
        <v>8</v>
      </c>
      <c r="W25" s="1568">
        <f>J25</f>
        <v>100</v>
      </c>
      <c r="X25" s="1569"/>
      <c r="Y25" s="3426"/>
      <c r="Z25" s="1149" t="str">
        <f>Q25</f>
        <v>公共配套设施</v>
      </c>
      <c r="AA25" s="1575">
        <f>D25/F25</f>
        <v>1</v>
      </c>
      <c r="AB25" s="1575">
        <f>D25/H25</f>
        <v>1</v>
      </c>
      <c r="AC25" s="1575">
        <f>D25/J25</f>
        <v>1</v>
      </c>
    </row>
    <row r="26" spans="1:29" s="1219" customFormat="1" ht="15">
      <c r="A26" s="577"/>
      <c r="B26" s="595"/>
      <c r="C26" s="2570"/>
      <c r="D26" s="555"/>
      <c r="E26" s="554"/>
      <c r="F26" s="555"/>
      <c r="G26" s="554"/>
      <c r="H26" s="555"/>
      <c r="I26" s="576"/>
      <c r="J26" s="555"/>
      <c r="K26" s="531"/>
      <c r="L26" s="2134"/>
      <c r="M26" s="2135"/>
      <c r="N26" s="2135"/>
      <c r="O26" s="2136"/>
      <c r="P26" s="3426"/>
      <c r="Q26" s="1150"/>
      <c r="R26" s="1567"/>
      <c r="S26" s="1568"/>
      <c r="T26" s="1567"/>
      <c r="U26" s="1568"/>
      <c r="V26" s="1567"/>
      <c r="W26" s="1568"/>
      <c r="X26" s="1569"/>
      <c r="Y26" s="3426"/>
      <c r="Z26" s="1149"/>
      <c r="AA26" s="1570">
        <v>1</v>
      </c>
      <c r="AB26" s="1570">
        <v>1</v>
      </c>
      <c r="AC26" s="1570">
        <v>1</v>
      </c>
    </row>
    <row r="27" spans="1:29" s="1219" customFormat="1" ht="28.5">
      <c r="A27" s="577"/>
      <c r="B27" s="2571"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26"/>
      <c r="Q27" s="2556" t="str">
        <f t="shared" ref="Q27" si="9">B27</f>
        <v>基础设施水平</v>
      </c>
      <c r="R27" s="1567" t="s">
        <v>8</v>
      </c>
      <c r="S27" s="1568">
        <f>F27</f>
        <v>100</v>
      </c>
      <c r="T27" s="1567" t="s">
        <v>8</v>
      </c>
      <c r="U27" s="1568">
        <f>H27</f>
        <v>100</v>
      </c>
      <c r="V27" s="1567" t="s">
        <v>8</v>
      </c>
      <c r="W27" s="1568">
        <f>J27</f>
        <v>100</v>
      </c>
      <c r="X27" s="1569"/>
      <c r="Y27" s="3426"/>
      <c r="Z27" s="2553" t="str">
        <f>Q27</f>
        <v>基础设施水平</v>
      </c>
      <c r="AA27" s="1575">
        <f>D27/F27</f>
        <v>1</v>
      </c>
      <c r="AB27" s="1575">
        <f>D27/H27</f>
        <v>1</v>
      </c>
      <c r="AC27" s="1575">
        <f>D27/J27</f>
        <v>1</v>
      </c>
    </row>
    <row r="28" spans="1:29" s="1219" customFormat="1" ht="15">
      <c r="A28" s="577"/>
      <c r="B28" s="595"/>
      <c r="C28" s="2570"/>
      <c r="D28" s="555"/>
      <c r="E28" s="579"/>
      <c r="F28" s="555"/>
      <c r="G28" s="579"/>
      <c r="H28" s="555"/>
      <c r="I28" s="579"/>
      <c r="J28" s="555"/>
      <c r="K28" s="531"/>
      <c r="L28" s="2134"/>
      <c r="M28" s="2135"/>
      <c r="N28" s="2135"/>
      <c r="O28" s="2136"/>
      <c r="P28" s="3426"/>
      <c r="Q28" s="2556"/>
      <c r="R28" s="1567"/>
      <c r="S28" s="1568"/>
      <c r="T28" s="1567"/>
      <c r="U28" s="1568"/>
      <c r="V28" s="1567"/>
      <c r="W28" s="1568"/>
      <c r="X28" s="1569"/>
      <c r="Y28" s="3426"/>
      <c r="Z28" s="2553"/>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2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6"/>
      <c r="Z29" s="1574" t="str">
        <f t="shared" ref="Z29:Z42" si="13">Q29</f>
        <v>临街状况</v>
      </c>
      <c r="AA29" s="1575">
        <f t="shared" si="3"/>
        <v>1</v>
      </c>
      <c r="AB29" s="1575">
        <f t="shared" si="4"/>
        <v>1</v>
      </c>
      <c r="AC29" s="1575">
        <f t="shared" si="5"/>
        <v>1</v>
      </c>
    </row>
    <row r="30" spans="1:29" ht="27">
      <c r="A30" s="532"/>
      <c r="B30" s="921" t="s">
        <v>547</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26"/>
      <c r="Q30" s="1571" t="str">
        <f t="shared" si="8"/>
        <v>毗邻道路的类型与等级</v>
      </c>
      <c r="R30" s="1572" t="s">
        <v>8</v>
      </c>
      <c r="S30" s="1573">
        <f t="shared" si="10"/>
        <v>100</v>
      </c>
      <c r="T30" s="1572" t="s">
        <v>8</v>
      </c>
      <c r="U30" s="1573">
        <f t="shared" si="11"/>
        <v>100</v>
      </c>
      <c r="V30" s="1572" t="s">
        <v>8</v>
      </c>
      <c r="W30" s="1573">
        <f t="shared" si="12"/>
        <v>100</v>
      </c>
      <c r="X30" s="1566"/>
      <c r="Y30" s="3426"/>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26"/>
      <c r="Q31" s="1571"/>
      <c r="R31" s="1572"/>
      <c r="S31" s="1573"/>
      <c r="T31" s="1572"/>
      <c r="U31" s="1573"/>
      <c r="V31" s="1572"/>
      <c r="W31" s="1573"/>
      <c r="X31" s="1566"/>
      <c r="Y31" s="3426"/>
      <c r="Z31" s="1574"/>
      <c r="AA31" s="1575">
        <v>1</v>
      </c>
      <c r="AB31" s="1575">
        <v>1</v>
      </c>
      <c r="AC31" s="1575">
        <v>1</v>
      </c>
    </row>
    <row r="32" spans="1:29" ht="15">
      <c r="A32" s="532"/>
      <c r="B32" s="527" t="s">
        <v>548</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26"/>
      <c r="Q32" s="1571" t="str">
        <f t="shared" si="8"/>
        <v>土地级别</v>
      </c>
      <c r="R32" s="1572" t="s">
        <v>8</v>
      </c>
      <c r="S32" s="1573">
        <f t="shared" si="10"/>
        <v>100</v>
      </c>
      <c r="T32" s="1572" t="s">
        <v>8</v>
      </c>
      <c r="U32" s="1573">
        <f t="shared" si="11"/>
        <v>100</v>
      </c>
      <c r="V32" s="1572" t="s">
        <v>8</v>
      </c>
      <c r="W32" s="1573">
        <f t="shared" si="12"/>
        <v>100</v>
      </c>
      <c r="X32" s="1566"/>
      <c r="Y32" s="3426"/>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26"/>
      <c r="Q33" s="1571">
        <f t="shared" si="8"/>
        <v>111</v>
      </c>
      <c r="R33" s="1572" t="s">
        <v>8</v>
      </c>
      <c r="S33" s="1573">
        <f t="shared" si="10"/>
        <v>100</v>
      </c>
      <c r="T33" s="1572" t="s">
        <v>8</v>
      </c>
      <c r="U33" s="1573">
        <f t="shared" si="11"/>
        <v>100</v>
      </c>
      <c r="V33" s="1572" t="s">
        <v>8</v>
      </c>
      <c r="W33" s="1573">
        <f t="shared" si="12"/>
        <v>100</v>
      </c>
      <c r="X33" s="1566"/>
      <c r="Y33" s="3426"/>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27" t="s">
        <v>549</v>
      </c>
      <c r="Q34" s="1571">
        <f t="shared" si="8"/>
        <v>111</v>
      </c>
      <c r="R34" s="1572" t="s">
        <v>8</v>
      </c>
      <c r="S34" s="1573">
        <f t="shared" si="10"/>
        <v>100</v>
      </c>
      <c r="T34" s="1572" t="s">
        <v>8</v>
      </c>
      <c r="U34" s="1573">
        <f t="shared" si="11"/>
        <v>100</v>
      </c>
      <c r="V34" s="1572" t="s">
        <v>8</v>
      </c>
      <c r="W34" s="1573">
        <f t="shared" si="12"/>
        <v>100</v>
      </c>
      <c r="X34" s="1566"/>
      <c r="Y34" s="3428" t="s">
        <v>549</v>
      </c>
      <c r="Z34" s="1574">
        <f t="shared" si="13"/>
        <v>111</v>
      </c>
      <c r="AA34" s="1575">
        <f t="shared" si="3"/>
        <v>1</v>
      </c>
      <c r="AB34" s="1575">
        <f t="shared" si="4"/>
        <v>1</v>
      </c>
      <c r="AC34" s="1575">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8"/>
      <c r="Q35" s="1571">
        <f t="shared" si="8"/>
        <v>111</v>
      </c>
      <c r="R35" s="1576" t="s">
        <v>8</v>
      </c>
      <c r="S35" s="1577">
        <f t="shared" si="10"/>
        <v>100</v>
      </c>
      <c r="T35" s="1576" t="s">
        <v>8</v>
      </c>
      <c r="U35" s="1577">
        <f t="shared" si="11"/>
        <v>100</v>
      </c>
      <c r="V35" s="1576" t="s">
        <v>8</v>
      </c>
      <c r="W35" s="1577">
        <f t="shared" si="12"/>
        <v>100</v>
      </c>
      <c r="X35" s="1578"/>
      <c r="Y35" s="3428"/>
      <c r="Z35" s="1579">
        <f t="shared" si="13"/>
        <v>111</v>
      </c>
      <c r="AA35" s="1575">
        <f t="shared" si="3"/>
        <v>1</v>
      </c>
      <c r="AB35" s="1575">
        <f t="shared" si="4"/>
        <v>1</v>
      </c>
      <c r="AC35" s="1575">
        <f t="shared" si="5"/>
        <v>1</v>
      </c>
    </row>
    <row r="36" spans="1:29" ht="15">
      <c r="A36" s="2884"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8"/>
      <c r="Q36" s="1571" t="str">
        <f>B36</f>
        <v>宗地面积</v>
      </c>
      <c r="R36" s="1572" t="s">
        <v>8</v>
      </c>
      <c r="S36" s="1573" t="e">
        <f t="shared" si="10"/>
        <v>#N/A</v>
      </c>
      <c r="T36" s="1572" t="s">
        <v>8</v>
      </c>
      <c r="U36" s="1573" t="e">
        <f t="shared" si="11"/>
        <v>#N/A</v>
      </c>
      <c r="V36" s="1572" t="s">
        <v>8</v>
      </c>
      <c r="W36" s="1573" t="e">
        <f t="shared" si="12"/>
        <v>#N/A</v>
      </c>
      <c r="X36" s="1566"/>
      <c r="Y36" s="3428"/>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8"/>
      <c r="Q37" s="1571" t="str">
        <f t="shared" ref="Q37:Q42" si="14">B37</f>
        <v>宗地形状</v>
      </c>
      <c r="R37" s="1572" t="s">
        <v>8</v>
      </c>
      <c r="S37" s="1573">
        <f t="shared" si="10"/>
        <v>100</v>
      </c>
      <c r="T37" s="1572" t="s">
        <v>8</v>
      </c>
      <c r="U37" s="1573">
        <f t="shared" si="11"/>
        <v>100</v>
      </c>
      <c r="V37" s="1572" t="s">
        <v>8</v>
      </c>
      <c r="W37" s="1573">
        <f t="shared" si="12"/>
        <v>100</v>
      </c>
      <c r="X37" s="1566"/>
      <c r="Y37" s="3428"/>
      <c r="Z37" s="1574" t="str">
        <f t="shared" si="13"/>
        <v>宗地形状</v>
      </c>
      <c r="AA37" s="1575">
        <f t="shared" si="3"/>
        <v>1</v>
      </c>
      <c r="AB37" s="1575">
        <f t="shared" si="4"/>
        <v>1</v>
      </c>
      <c r="AC37" s="1575">
        <f t="shared" si="5"/>
        <v>1</v>
      </c>
    </row>
    <row r="38" spans="1:29" s="1219" customFormat="1" ht="15">
      <c r="A38" s="600"/>
      <c r="B38" s="1894"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8"/>
      <c r="Q38" s="1571" t="str">
        <f t="shared" si="14"/>
        <v>宗地开发程度</v>
      </c>
      <c r="R38" s="1567" t="s">
        <v>8</v>
      </c>
      <c r="S38" s="1568">
        <f t="shared" si="10"/>
        <v>100</v>
      </c>
      <c r="T38" s="1567" t="s">
        <v>8</v>
      </c>
      <c r="U38" s="1568">
        <f t="shared" si="11"/>
        <v>100</v>
      </c>
      <c r="V38" s="1567" t="s">
        <v>8</v>
      </c>
      <c r="W38" s="1568">
        <f t="shared" si="12"/>
        <v>100</v>
      </c>
      <c r="X38" s="1569"/>
      <c r="Y38" s="3428"/>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8" t="s">
        <v>600</v>
      </c>
      <c r="Q39" s="1571" t="str">
        <f t="shared" si="14"/>
        <v>工程地质条件</v>
      </c>
      <c r="R39" s="1572" t="s">
        <v>8</v>
      </c>
      <c r="S39" s="1573">
        <f t="shared" si="10"/>
        <v>100</v>
      </c>
      <c r="T39" s="1572" t="s">
        <v>8</v>
      </c>
      <c r="U39" s="1573">
        <f t="shared" si="11"/>
        <v>100</v>
      </c>
      <c r="V39" s="1572" t="s">
        <v>8</v>
      </c>
      <c r="W39" s="1573">
        <f t="shared" si="12"/>
        <v>100</v>
      </c>
      <c r="X39" s="1566"/>
      <c r="Y39" s="3428"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8"/>
      <c r="Q40" s="1571">
        <f t="shared" si="14"/>
        <v>111</v>
      </c>
      <c r="R40" s="1572" t="s">
        <v>8</v>
      </c>
      <c r="S40" s="1573">
        <f t="shared" si="10"/>
        <v>100</v>
      </c>
      <c r="T40" s="1572" t="s">
        <v>8</v>
      </c>
      <c r="U40" s="1573">
        <f t="shared" si="11"/>
        <v>100</v>
      </c>
      <c r="V40" s="1572" t="s">
        <v>8</v>
      </c>
      <c r="W40" s="1573">
        <f t="shared" si="12"/>
        <v>100</v>
      </c>
      <c r="X40" s="1566"/>
      <c r="Y40" s="3428"/>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8"/>
      <c r="Q41" s="1571">
        <f t="shared" si="14"/>
        <v>111</v>
      </c>
      <c r="R41" s="1572" t="s">
        <v>8</v>
      </c>
      <c r="S41" s="1573">
        <f t="shared" si="10"/>
        <v>100</v>
      </c>
      <c r="T41" s="1572" t="s">
        <v>8</v>
      </c>
      <c r="U41" s="1573">
        <f t="shared" si="11"/>
        <v>100</v>
      </c>
      <c r="V41" s="1572" t="s">
        <v>8</v>
      </c>
      <c r="W41" s="1573">
        <f t="shared" si="12"/>
        <v>100</v>
      </c>
      <c r="X41" s="1566"/>
      <c r="Y41" s="3428"/>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8"/>
      <c r="Q42" s="1571">
        <f t="shared" si="14"/>
        <v>111</v>
      </c>
      <c r="R42" s="1576" t="s">
        <v>8</v>
      </c>
      <c r="S42" s="1577">
        <f t="shared" si="10"/>
        <v>100</v>
      </c>
      <c r="T42" s="1576" t="s">
        <v>8</v>
      </c>
      <c r="U42" s="1577">
        <f t="shared" si="11"/>
        <v>100</v>
      </c>
      <c r="V42" s="1576" t="s">
        <v>8</v>
      </c>
      <c r="W42" s="1577">
        <f t="shared" si="12"/>
        <v>100</v>
      </c>
      <c r="X42" s="1578"/>
      <c r="Y42" s="3428"/>
      <c r="Z42" s="1579">
        <f t="shared" si="13"/>
        <v>111</v>
      </c>
      <c r="AA42" s="1575">
        <f t="shared" si="3"/>
        <v>1</v>
      </c>
      <c r="AB42" s="1575">
        <f t="shared" si="4"/>
        <v>1</v>
      </c>
      <c r="AC42" s="1575">
        <f t="shared" si="5"/>
        <v>1</v>
      </c>
    </row>
    <row r="43" spans="1:29" ht="15">
      <c r="A43" s="607" t="s">
        <v>555</v>
      </c>
      <c r="B43" s="608" t="s">
        <v>2930</v>
      </c>
      <c r="C43" s="609" t="s">
        <v>1</v>
      </c>
      <c r="D43" s="610"/>
      <c r="E43" s="611"/>
      <c r="F43" s="612"/>
      <c r="G43" s="613"/>
      <c r="H43" s="614"/>
      <c r="I43" s="611"/>
      <c r="J43" s="614"/>
      <c r="K43" s="1339"/>
      <c r="L43" s="2143"/>
      <c r="M43" s="2133"/>
      <c r="N43" s="2133"/>
      <c r="O43" s="2144"/>
      <c r="P43" s="3423" t="str">
        <f>A43</f>
        <v>成交单价</v>
      </c>
      <c r="Q43" s="3423"/>
      <c r="R43" s="3437">
        <f>E43</f>
        <v>0</v>
      </c>
      <c r="S43" s="3437"/>
      <c r="T43" s="3437">
        <f>G43</f>
        <v>0</v>
      </c>
      <c r="U43" s="3437"/>
      <c r="V43" s="3437">
        <f>I43</f>
        <v>0</v>
      </c>
      <c r="W43" s="3437"/>
      <c r="X43" s="1558"/>
      <c r="Y43" s="1580"/>
      <c r="Z43" s="1558"/>
      <c r="AA43" s="1558"/>
      <c r="AB43" s="1558"/>
      <c r="AC43" s="1558"/>
    </row>
    <row r="44" spans="1:29" ht="15.75" thickBot="1">
      <c r="A44" s="615" t="s">
        <v>2693</v>
      </c>
      <c r="B44" s="616"/>
      <c r="C44" s="617" t="e">
        <f>R45</f>
        <v>#DIV/0!</v>
      </c>
      <c r="D44" s="618"/>
      <c r="E44" s="617" t="e">
        <f>R44</f>
        <v>#DIV/0!</v>
      </c>
      <c r="F44" s="619"/>
      <c r="G44" s="620" t="e">
        <f>T44</f>
        <v>#DIV/0!</v>
      </c>
      <c r="H44" s="618"/>
      <c r="I44" s="617" t="e">
        <f>V44</f>
        <v>#DIV/0!</v>
      </c>
      <c r="J44" s="618"/>
      <c r="K44" s="1340"/>
      <c r="L44" s="2143"/>
      <c r="M44" s="2133"/>
      <c r="N44" s="2133"/>
      <c r="O44" s="2144"/>
      <c r="P44" s="3423" t="str">
        <f>A44</f>
        <v>比较价格（元/平方米）</v>
      </c>
      <c r="Q44" s="3423"/>
      <c r="R44" s="3447" t="e">
        <f>ROUND(PRODUCT(R43,AA9:AA42),0)</f>
        <v>#DIV/0!</v>
      </c>
      <c r="S44" s="3447"/>
      <c r="T44" s="3447" t="e">
        <f>ROUND(PRODUCT(T43,AB9:AB42),0)</f>
        <v>#DIV/0!</v>
      </c>
      <c r="U44" s="3447"/>
      <c r="V44" s="3447" t="e">
        <f>ROUND(PRODUCT(V43,AC9:AC42),0)</f>
        <v>#DIV/0!</v>
      </c>
      <c r="W44" s="3447"/>
      <c r="X44" s="1558"/>
      <c r="Y44" s="1558"/>
      <c r="Z44" s="1558"/>
      <c r="AA44" s="1558"/>
      <c r="AB44" s="1558"/>
      <c r="AC44" s="1558"/>
    </row>
    <row r="45" spans="1:29" ht="15.75" thickBot="1">
      <c r="A45" s="621" t="s">
        <v>2931</v>
      </c>
      <c r="B45" s="622"/>
      <c r="C45" s="623" t="e">
        <f>R45</f>
        <v>#DIV/0!</v>
      </c>
      <c r="D45" s="623"/>
      <c r="E45" s="623"/>
      <c r="F45" s="623"/>
      <c r="G45" s="623"/>
      <c r="H45" s="623"/>
      <c r="I45" s="623"/>
      <c r="J45" s="623"/>
      <c r="K45" s="1341"/>
      <c r="L45" s="2143"/>
      <c r="M45" s="2133"/>
      <c r="N45" s="2133"/>
      <c r="O45" s="2144"/>
      <c r="P45" s="3444" t="str">
        <f>A45</f>
        <v>估价对象XX用房的比较价格（楼面单价，元/平方米）</v>
      </c>
      <c r="Q45" s="3445"/>
      <c r="R45" s="3446" t="e">
        <f>ROUND(AVERAGE(R44:V44),0)</f>
        <v>#DIV/0!</v>
      </c>
      <c r="S45" s="3446"/>
      <c r="T45" s="3446"/>
      <c r="U45" s="3446"/>
      <c r="V45" s="3446"/>
      <c r="W45" s="3446"/>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559</v>
      </c>
      <c r="B52" s="630" t="s">
        <v>560</v>
      </c>
      <c r="C52" s="1559" t="s">
        <v>1724</v>
      </c>
      <c r="D52" s="2226" t="s">
        <v>2293</v>
      </c>
      <c r="E52" s="631" t="s">
        <v>561</v>
      </c>
      <c r="F52" s="1950" t="s">
        <v>562</v>
      </c>
      <c r="G52" s="3448" t="s">
        <v>2284</v>
      </c>
      <c r="H52" s="3449"/>
      <c r="I52" s="1951" t="s">
        <v>1945</v>
      </c>
      <c r="J52" s="1554">
        <f>项目基本情况!F41</f>
        <v>0</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563</v>
      </c>
      <c r="B53" s="634" t="e">
        <f>C45</f>
        <v>#DIV/0!</v>
      </c>
      <c r="C53" s="635">
        <v>1</v>
      </c>
      <c r="D53" s="2227">
        <v>1</v>
      </c>
      <c r="E53" s="635">
        <f>'数据-汇总表'!E8+'数据-汇总表'!E9</f>
        <v>20000</v>
      </c>
      <c r="F53" s="1949" t="e">
        <f t="shared" ref="F53:F62" si="15">ROUND(B53*E53/10000,0)</f>
        <v>#DIV/0!</v>
      </c>
      <c r="G53" s="3450"/>
      <c r="H53" s="3451"/>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564</v>
      </c>
      <c r="B54" s="638" t="e">
        <f>ROUND($C$45*C54*D54,0)</f>
        <v>#DIV/0!</v>
      </c>
      <c r="C54" s="378">
        <f t="shared" ref="C54:C62" si="16">IF($C$52="北京市系数",I54,J54)</f>
        <v>0.7</v>
      </c>
      <c r="D54" s="2228">
        <v>0.25</v>
      </c>
      <c r="E54" s="639"/>
      <c r="F54" s="1949" t="e">
        <f t="shared" si="15"/>
        <v>#DIV/0!</v>
      </c>
      <c r="G54" s="3452" t="s">
        <v>2285</v>
      </c>
      <c r="H54" s="1953" t="str">
        <f>项目基本情况!B43</f>
        <v>六级</v>
      </c>
      <c r="I54" s="1952">
        <f>SUMIF(修正!$A$45:$A$56,H54,修正!B45:B56)</f>
        <v>0.7</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565</v>
      </c>
      <c r="B55" s="638" t="e">
        <f t="shared" ref="B55:B62" si="17">ROUND($C$45*C55*D55,0)</f>
        <v>#DIV/0!</v>
      </c>
      <c r="C55" s="378">
        <f t="shared" si="16"/>
        <v>0.4</v>
      </c>
      <c r="D55" s="2228">
        <v>0.25</v>
      </c>
      <c r="E55" s="639"/>
      <c r="F55" s="1949" t="e">
        <f t="shared" si="15"/>
        <v>#DIV/0!</v>
      </c>
      <c r="G55" s="3452"/>
      <c r="H55" s="1954" t="str">
        <f>项目基本情况!B43</f>
        <v>六级</v>
      </c>
      <c r="I55" s="1952">
        <f>SUMIF(修正!$A$45:$A$56,H55,修正!C45:C56)</f>
        <v>0.4</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566</v>
      </c>
      <c r="B56" s="638" t="e">
        <f t="shared" si="17"/>
        <v>#DIV/0!</v>
      </c>
      <c r="C56" s="378">
        <f t="shared" si="16"/>
        <v>0.28000000000000003</v>
      </c>
      <c r="D56" s="2228">
        <v>0.25</v>
      </c>
      <c r="E56" s="639"/>
      <c r="F56" s="1949" t="e">
        <f t="shared" si="15"/>
        <v>#DIV/0!</v>
      </c>
      <c r="G56" s="3452"/>
      <c r="H56" s="1954" t="str">
        <f>项目基本情况!B43</f>
        <v>六级</v>
      </c>
      <c r="I56" s="1952">
        <f>SUMIF(修正!$A$45:$A$56,H56,修正!D45:D56)</f>
        <v>0.28000000000000003</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567</v>
      </c>
      <c r="B57" s="638" t="e">
        <f t="shared" si="17"/>
        <v>#DIV/0!</v>
      </c>
      <c r="C57" s="378">
        <f t="shared" si="16"/>
        <v>0.25</v>
      </c>
      <c r="D57" s="2228">
        <v>0.25</v>
      </c>
      <c r="E57" s="639"/>
      <c r="F57" s="1949" t="e">
        <f t="shared" si="15"/>
        <v>#DIV/0!</v>
      </c>
      <c r="G57" s="3452"/>
      <c r="H57" s="1954" t="str">
        <f>项目基本情况!B43</f>
        <v>六级</v>
      </c>
      <c r="I57" s="1952">
        <f>SUMIF(修正!$A$45:$A$56,H57,修正!E45:E56)</f>
        <v>0.25</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2328</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568</v>
      </c>
      <c r="B59" s="638" t="e">
        <f t="shared" si="17"/>
        <v>#DIV/0!</v>
      </c>
      <c r="C59" s="378">
        <f t="shared" si="16"/>
        <v>0</v>
      </c>
      <c r="D59" s="2228">
        <v>0.25</v>
      </c>
      <c r="E59" s="641">
        <f>'数据-汇总表'!E12</f>
        <v>2364.58</v>
      </c>
      <c r="F59" s="1949" t="e">
        <f t="shared" si="15"/>
        <v>#DIV/0!</v>
      </c>
      <c r="G59" s="1945" t="s">
        <v>1677</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569</v>
      </c>
      <c r="B60" s="638" t="e">
        <f t="shared" si="17"/>
        <v>#DIV/0!</v>
      </c>
      <c r="C60" s="378">
        <f t="shared" si="16"/>
        <v>0.2</v>
      </c>
      <c r="D60" s="2228">
        <v>0.25</v>
      </c>
      <c r="E60" s="641">
        <f>'数据-汇总表'!E13</f>
        <v>8880.9</v>
      </c>
      <c r="F60" s="1949" t="e">
        <f t="shared" si="15"/>
        <v>#DIV/0!</v>
      </c>
      <c r="G60" s="1945" t="s">
        <v>922</v>
      </c>
      <c r="H60" s="1953" t="str">
        <f>IF(G60="商业",项目基本情况!B43,IF(G60="办公",项目基本情况!C43,IF(G60="住宅",项目基本情况!D43,项目基本情况!E43)))</f>
        <v>六级</v>
      </c>
      <c r="I60" s="1952">
        <f>SUMIF(修正!$A$45:$A$56,H60,修正!H45:H56)</f>
        <v>0.2</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570</v>
      </c>
      <c r="B61" s="638" t="e">
        <f t="shared" si="17"/>
        <v>#DIV/0!</v>
      </c>
      <c r="C61" s="378">
        <f t="shared" si="16"/>
        <v>0.2</v>
      </c>
      <c r="D61" s="2228">
        <v>0.25</v>
      </c>
      <c r="E61" s="641">
        <f>'数据-汇总表'!E14</f>
        <v>0</v>
      </c>
      <c r="F61" s="1949" t="e">
        <f t="shared" si="15"/>
        <v>#DIV/0!</v>
      </c>
      <c r="G61" s="1955" t="s">
        <v>2285</v>
      </c>
      <c r="H61" s="1954" t="str">
        <f>项目基本情况!B43</f>
        <v>六级</v>
      </c>
      <c r="I61" s="1952">
        <f>SUMIF(修正!$A$45:$A$56,H61,修正!H45:H56)</f>
        <v>0.2</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571</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572</v>
      </c>
      <c r="B63" s="643" t="s">
        <v>17</v>
      </c>
      <c r="C63" s="643" t="s">
        <v>18</v>
      </c>
      <c r="D63" s="643" t="s">
        <v>2294</v>
      </c>
      <c r="E63" s="643">
        <f>IF(B43="楼面地价",SUM(E53:E62),'数据-汇总表'!D3)</f>
        <v>68743.19</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2019-3-1</v>
      </c>
      <c r="D65" s="2776">
        <f>EDATE(C65,-3)</f>
        <v>43435</v>
      </c>
      <c r="E65" s="2776">
        <f t="shared" ref="E65:N65" si="18">EDATE(D65,-3)</f>
        <v>43344</v>
      </c>
      <c r="F65" s="2776">
        <f t="shared" si="18"/>
        <v>43252</v>
      </c>
      <c r="G65" s="2776">
        <f t="shared" si="18"/>
        <v>43160</v>
      </c>
      <c r="H65" s="2776">
        <f t="shared" si="18"/>
        <v>43070</v>
      </c>
      <c r="I65" s="2776">
        <f t="shared" si="18"/>
        <v>42979</v>
      </c>
      <c r="J65" s="2776">
        <f t="shared" si="18"/>
        <v>42887</v>
      </c>
      <c r="K65" s="2776">
        <f t="shared" si="18"/>
        <v>42795</v>
      </c>
      <c r="L65" s="2776">
        <f t="shared" si="18"/>
        <v>42705</v>
      </c>
      <c r="M65" s="2776">
        <f t="shared" si="18"/>
        <v>42614</v>
      </c>
      <c r="N65" s="2776">
        <f t="shared" si="18"/>
        <v>42522</v>
      </c>
      <c r="O65" s="2144"/>
      <c r="P65" s="2144"/>
      <c r="Q65" s="2144"/>
      <c r="R65" s="2144"/>
      <c r="S65" s="2144"/>
      <c r="T65" s="2144"/>
      <c r="U65" s="2144"/>
      <c r="V65" s="2144"/>
      <c r="W65" s="2144"/>
      <c r="X65" s="2144"/>
      <c r="Y65" s="2144"/>
      <c r="Z65" s="2144"/>
      <c r="AA65" s="2144"/>
      <c r="AB65" s="2144"/>
      <c r="AC65" s="2144"/>
    </row>
    <row r="66" spans="1:29" ht="21.75" thickBot="1">
      <c r="A66" s="1583" t="s">
        <v>573</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46" t="s">
        <v>2533</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5" t="s">
        <v>2649</v>
      </c>
      <c r="B68" s="479" t="str">
        <f>"北京市平均增长率"&amp;TEXT('基准地价-住宅'!P24,"0.00%")</f>
        <v>北京市平均增长率1.42%</v>
      </c>
      <c r="C68" s="893">
        <v>100</v>
      </c>
      <c r="D68" s="730"/>
      <c r="E68" s="730"/>
      <c r="F68" s="730"/>
      <c r="G68" s="730"/>
      <c r="H68" s="730"/>
      <c r="I68" s="730"/>
      <c r="J68" s="730"/>
      <c r="K68" s="730"/>
      <c r="L68" s="730"/>
      <c r="M68" s="2769"/>
      <c r="N68" s="2770"/>
      <c r="O68" s="2161"/>
      <c r="P68" s="2157"/>
      <c r="Q68" s="1992"/>
      <c r="R68" s="1992"/>
      <c r="S68" s="1992"/>
      <c r="T68" s="1992"/>
      <c r="U68" s="1992"/>
      <c r="V68" s="1992"/>
      <c r="W68" s="1992"/>
      <c r="X68" s="1992"/>
      <c r="Y68" s="1992"/>
      <c r="Z68" s="1992"/>
      <c r="AA68" s="1992"/>
      <c r="AB68" s="1992"/>
      <c r="AC68" s="1992"/>
    </row>
    <row r="69" spans="1:29" s="1219" customFormat="1" ht="15.75" thickBot="1">
      <c r="A69" s="653" t="s">
        <v>574</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19" customFormat="1" ht="15">
      <c r="A70" s="659" t="s">
        <v>530</v>
      </c>
      <c r="B70" s="648"/>
      <c r="C70" s="660" t="s">
        <v>575</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576</v>
      </c>
      <c r="B72" s="665" t="s">
        <v>533</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536</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538</v>
      </c>
      <c r="B85" s="665" t="s">
        <v>601</v>
      </c>
      <c r="C85" s="703" t="s">
        <v>578</v>
      </c>
      <c r="D85" s="703" t="s">
        <v>579</v>
      </c>
      <c r="E85" s="703" t="s">
        <v>580</v>
      </c>
      <c r="F85" s="703" t="s">
        <v>581</v>
      </c>
      <c r="G85" s="703" t="s">
        <v>582</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585</v>
      </c>
      <c r="C87" s="708" t="s">
        <v>578</v>
      </c>
      <c r="D87" s="708" t="s">
        <v>579</v>
      </c>
      <c r="E87" s="708" t="s">
        <v>580</v>
      </c>
      <c r="F87" s="708" t="s">
        <v>581</v>
      </c>
      <c r="G87" s="708" t="s">
        <v>582</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2548</v>
      </c>
      <c r="C93" s="703" t="s">
        <v>578</v>
      </c>
      <c r="D93" s="703" t="s">
        <v>579</v>
      </c>
      <c r="E93" s="703" t="s">
        <v>580</v>
      </c>
      <c r="F93" s="703" t="s">
        <v>581</v>
      </c>
      <c r="G93" s="703" t="s">
        <v>582</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2550</v>
      </c>
      <c r="C95" s="2576" t="s">
        <v>2551</v>
      </c>
      <c r="D95" s="2576" t="s">
        <v>2552</v>
      </c>
      <c r="E95" s="2576" t="s">
        <v>2553</v>
      </c>
      <c r="F95" s="2576" t="s">
        <v>2554</v>
      </c>
      <c r="G95" s="2576" t="s">
        <v>2555</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588</v>
      </c>
      <c r="D97" s="674" t="s">
        <v>589</v>
      </c>
      <c r="E97" s="674" t="s">
        <v>590</v>
      </c>
      <c r="F97" s="674" t="s">
        <v>591</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547</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548</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6" t="str">
        <f t="shared" si="25"/>
        <v>(含)-</v>
      </c>
      <c r="L109" s="3067" t="str">
        <f t="shared" si="25"/>
        <v>(含)-</v>
      </c>
      <c r="M109" s="306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593</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2425</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595</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59" t="s">
        <v>1007</v>
      </c>
      <c r="B18" s="1153" t="s">
        <v>1446</v>
      </c>
      <c r="C18" s="1130" t="s">
        <v>1447</v>
      </c>
      <c r="D18" s="1131"/>
      <c r="E18" s="1153">
        <v>1</v>
      </c>
      <c r="F18" s="1132" t="s">
        <v>1448</v>
      </c>
      <c r="G18" s="1133"/>
      <c r="H18" s="1104"/>
      <c r="I18" s="1104"/>
    </row>
    <row r="19" spans="1:9" s="1598" customFormat="1" ht="19.5" customHeight="1">
      <c r="A19" s="3459"/>
      <c r="B19" s="3459" t="s">
        <v>1449</v>
      </c>
      <c r="C19" s="1130" t="s">
        <v>1450</v>
      </c>
      <c r="D19" s="1131"/>
      <c r="E19" s="1153">
        <v>0.9</v>
      </c>
      <c r="F19" s="1132" t="s">
        <v>1451</v>
      </c>
      <c r="G19" s="1133"/>
      <c r="H19" s="1104"/>
      <c r="I19" s="1104"/>
    </row>
    <row r="20" spans="1:9" s="1598" customFormat="1" ht="19.5" customHeight="1">
      <c r="A20" s="3459"/>
      <c r="B20" s="3459"/>
      <c r="C20" s="1130" t="s">
        <v>1452</v>
      </c>
      <c r="D20" s="1131"/>
      <c r="E20" s="1153">
        <v>1.1000000000000001</v>
      </c>
      <c r="F20" s="1132" t="s">
        <v>1453</v>
      </c>
      <c r="G20" s="1133"/>
      <c r="H20" s="1104"/>
      <c r="I20" s="1104"/>
    </row>
    <row r="21" spans="1:9" s="1598" customFormat="1" ht="19.5" customHeight="1">
      <c r="A21" s="3459"/>
      <c r="B21" s="3459"/>
      <c r="C21" s="1130" t="s">
        <v>1454</v>
      </c>
      <c r="D21" s="1131"/>
      <c r="E21" s="1153">
        <v>0.8</v>
      </c>
      <c r="F21" s="1132" t="s">
        <v>1455</v>
      </c>
      <c r="G21" s="1133"/>
      <c r="H21" s="1104"/>
      <c r="I21" s="1104"/>
    </row>
    <row r="22" spans="1:9" s="1598" customFormat="1" ht="19.5" customHeight="1">
      <c r="A22" s="3459"/>
      <c r="B22" s="3459"/>
      <c r="C22" s="1130" t="s">
        <v>1456</v>
      </c>
      <c r="D22" s="1131"/>
      <c r="E22" s="1153">
        <v>0.5</v>
      </c>
      <c r="F22" s="1132"/>
      <c r="G22" s="1133"/>
      <c r="H22" s="1104"/>
      <c r="I22" s="1104"/>
    </row>
    <row r="23" spans="1:9" s="1598" customFormat="1" ht="19.5" customHeight="1">
      <c r="A23" s="3459" t="s">
        <v>1029</v>
      </c>
      <c r="B23" s="1153" t="s">
        <v>1446</v>
      </c>
      <c r="C23" s="1130" t="s">
        <v>1457</v>
      </c>
      <c r="D23" s="1131"/>
      <c r="E23" s="1153">
        <v>1</v>
      </c>
      <c r="F23" s="1132" t="s">
        <v>1458</v>
      </c>
      <c r="G23" s="1133"/>
      <c r="H23" s="1104"/>
      <c r="I23" s="1104"/>
    </row>
    <row r="24" spans="1:9" s="1598" customFormat="1" ht="19.5" customHeight="1">
      <c r="A24" s="3459"/>
      <c r="B24" s="3459" t="s">
        <v>1449</v>
      </c>
      <c r="C24" s="1130" t="s">
        <v>1459</v>
      </c>
      <c r="D24" s="1131"/>
      <c r="E24" s="1153">
        <v>0.5</v>
      </c>
      <c r="F24" s="1132"/>
      <c r="G24" s="1133"/>
      <c r="H24" s="1104"/>
      <c r="I24" s="1104"/>
    </row>
    <row r="25" spans="1:9" s="1598" customFormat="1" ht="19.5" customHeight="1">
      <c r="A25" s="3459"/>
      <c r="B25" s="3459"/>
      <c r="C25" s="1130" t="s">
        <v>1460</v>
      </c>
      <c r="D25" s="1131"/>
      <c r="E25" s="1153">
        <v>1.1000000000000001</v>
      </c>
      <c r="F25" s="1132"/>
      <c r="G25" s="1133"/>
      <c r="H25" s="1104"/>
      <c r="I25" s="1104"/>
    </row>
    <row r="26" spans="1:9" s="1598" customFormat="1" ht="19.5" customHeight="1">
      <c r="A26" s="3459"/>
      <c r="B26" s="3459"/>
      <c r="C26" s="1130" t="s">
        <v>1461</v>
      </c>
      <c r="D26" s="1131"/>
      <c r="E26" s="1153">
        <v>1.1000000000000001</v>
      </c>
      <c r="F26" s="1132"/>
      <c r="G26" s="1133"/>
      <c r="H26" s="1104"/>
      <c r="I26" s="1104"/>
    </row>
    <row r="27" spans="1:9" s="1598" customFormat="1" ht="19.5" customHeight="1">
      <c r="A27" s="3459"/>
      <c r="B27" s="3459"/>
      <c r="C27" s="1130" t="s">
        <v>1462</v>
      </c>
      <c r="D27" s="1131"/>
      <c r="E27" s="1153">
        <v>0.9</v>
      </c>
      <c r="F27" s="1132" t="s">
        <v>1463</v>
      </c>
      <c r="G27" s="1133"/>
      <c r="H27" s="1104"/>
      <c r="I27" s="1104"/>
    </row>
    <row r="28" spans="1:9" s="1598" customFormat="1" ht="19.5" customHeight="1">
      <c r="A28" s="3459"/>
      <c r="B28" s="3459"/>
      <c r="C28" s="1130" t="s">
        <v>1464</v>
      </c>
      <c r="D28" s="1131"/>
      <c r="E28" s="1153">
        <v>0.9</v>
      </c>
      <c r="F28" s="1132" t="s">
        <v>1465</v>
      </c>
      <c r="G28" s="1133"/>
      <c r="H28" s="1104"/>
      <c r="I28" s="1104"/>
    </row>
    <row r="29" spans="1:9" s="1598" customFormat="1" ht="19.5" customHeight="1">
      <c r="A29" s="3459"/>
      <c r="B29" s="3459"/>
      <c r="C29" s="1130" t="s">
        <v>1466</v>
      </c>
      <c r="D29" s="1131"/>
      <c r="E29" s="1153">
        <v>0.9</v>
      </c>
      <c r="F29" s="1132" t="s">
        <v>1467</v>
      </c>
      <c r="G29" s="1133"/>
      <c r="H29" s="1104"/>
      <c r="I29" s="1104"/>
    </row>
    <row r="30" spans="1:9" s="1598" customFormat="1" ht="19.5" customHeight="1">
      <c r="A30" s="3459"/>
      <c r="B30" s="3459"/>
      <c r="C30" s="1130" t="s">
        <v>1468</v>
      </c>
      <c r="D30" s="1131"/>
      <c r="E30" s="1153">
        <v>0.9</v>
      </c>
      <c r="F30" s="1132" t="s">
        <v>1469</v>
      </c>
      <c r="G30" s="1133"/>
      <c r="H30" s="1104"/>
      <c r="I30" s="1104"/>
    </row>
    <row r="31" spans="1:9" s="1598" customFormat="1" ht="19.5" customHeight="1">
      <c r="A31" s="3459"/>
      <c r="B31" s="3459"/>
      <c r="C31" s="1130" t="s">
        <v>1470</v>
      </c>
      <c r="D31" s="1131"/>
      <c r="E31" s="1153">
        <v>0.8</v>
      </c>
      <c r="F31" s="1132" t="s">
        <v>1471</v>
      </c>
      <c r="G31" s="1133"/>
      <c r="H31" s="1104"/>
      <c r="I31" s="1104"/>
    </row>
    <row r="32" spans="1:9" s="1598" customFormat="1" ht="19.5" customHeight="1">
      <c r="A32" s="3459"/>
      <c r="B32" s="3459"/>
      <c r="C32" s="1130" t="s">
        <v>1472</v>
      </c>
      <c r="D32" s="1131"/>
      <c r="E32" s="1153">
        <v>0.8</v>
      </c>
      <c r="F32" s="1132" t="s">
        <v>1473</v>
      </c>
      <c r="G32" s="1133"/>
      <c r="H32" s="1104"/>
      <c r="I32" s="1104"/>
    </row>
    <row r="33" spans="1:9" s="1598" customFormat="1" ht="19.5" customHeight="1">
      <c r="A33" s="3459" t="s">
        <v>1474</v>
      </c>
      <c r="B33" s="1153" t="s">
        <v>1446</v>
      </c>
      <c r="C33" s="1130" t="s">
        <v>1475</v>
      </c>
      <c r="D33" s="1131"/>
      <c r="E33" s="1153">
        <v>1</v>
      </c>
      <c r="F33" s="1132" t="s">
        <v>1476</v>
      </c>
      <c r="G33" s="1133"/>
      <c r="H33" s="1104"/>
      <c r="I33" s="1104"/>
    </row>
    <row r="34" spans="1:9" s="1598" customFormat="1" ht="19.5" customHeight="1">
      <c r="A34" s="3459"/>
      <c r="B34" s="1153" t="s">
        <v>1449</v>
      </c>
      <c r="C34" s="1130" t="s">
        <v>1477</v>
      </c>
      <c r="D34" s="1131"/>
      <c r="E34" s="1153">
        <v>1.5</v>
      </c>
      <c r="F34" s="1132" t="s">
        <v>1478</v>
      </c>
      <c r="G34" s="1133"/>
      <c r="H34" s="1104"/>
      <c r="I34" s="1104"/>
    </row>
    <row r="35" spans="1:9" s="1598" customFormat="1" ht="19.5" customHeight="1">
      <c r="A35" s="3459" t="s">
        <v>1432</v>
      </c>
      <c r="B35" s="1153" t="s">
        <v>1446</v>
      </c>
      <c r="C35" s="1130" t="s">
        <v>1479</v>
      </c>
      <c r="D35" s="1131"/>
      <c r="E35" s="1153">
        <v>1</v>
      </c>
      <c r="F35" s="1132" t="s">
        <v>1480</v>
      </c>
      <c r="G35" s="1133"/>
      <c r="H35" s="1104"/>
      <c r="I35" s="1104"/>
    </row>
    <row r="36" spans="1:9" s="1598" customFormat="1" ht="19.5" customHeight="1">
      <c r="A36" s="3459"/>
      <c r="B36" s="3459" t="s">
        <v>1449</v>
      </c>
      <c r="C36" s="1130" t="s">
        <v>1481</v>
      </c>
      <c r="D36" s="1131"/>
      <c r="E36" s="1153">
        <v>1</v>
      </c>
      <c r="F36" s="1132" t="s">
        <v>1482</v>
      </c>
      <c r="G36" s="1133"/>
      <c r="H36" s="1104"/>
      <c r="I36" s="1104"/>
    </row>
    <row r="37" spans="1:9" s="1598" customFormat="1" ht="19.5" customHeight="1">
      <c r="A37" s="3459"/>
      <c r="B37" s="3459"/>
      <c r="C37" s="1130" t="s">
        <v>1483</v>
      </c>
      <c r="D37" s="1131"/>
      <c r="E37" s="1153">
        <v>1.5</v>
      </c>
      <c r="F37" s="1132" t="s">
        <v>1484</v>
      </c>
      <c r="G37" s="1133"/>
      <c r="H37" s="1104"/>
      <c r="I37" s="1104"/>
    </row>
    <row r="38" spans="1:9" s="1598" customFormat="1" ht="19.5" customHeight="1">
      <c r="A38" s="3459"/>
      <c r="B38" s="3459"/>
      <c r="C38" s="1130" t="s">
        <v>1485</v>
      </c>
      <c r="D38" s="1131"/>
      <c r="E38" s="1153">
        <v>1</v>
      </c>
      <c r="F38" s="1132" t="s">
        <v>1486</v>
      </c>
      <c r="G38" s="1133"/>
      <c r="H38" s="1104"/>
      <c r="I38" s="1104"/>
    </row>
    <row r="39" spans="1:9" s="1598" customFormat="1" ht="19.5" customHeight="1">
      <c r="A39" s="3459"/>
      <c r="B39" s="3459"/>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59" t="s">
        <v>1501</v>
      </c>
      <c r="C61" s="1067" t="s">
        <v>1502</v>
      </c>
      <c r="D61" s="1067" t="s">
        <v>1503</v>
      </c>
      <c r="E61" s="1138">
        <v>0.5</v>
      </c>
      <c r="F61" s="1153">
        <v>80</v>
      </c>
      <c r="H61" s="1104">
        <f>SUMIF(C59:C119,'基准地价-住宅'!C8,E59:E119)</f>
        <v>0</v>
      </c>
    </row>
    <row r="62" spans="1:8" s="1104" customFormat="1" ht="24">
      <c r="A62" s="1153">
        <v>2</v>
      </c>
      <c r="B62" s="3459"/>
      <c r="C62" s="1067" t="s">
        <v>1504</v>
      </c>
      <c r="D62" s="1067" t="s">
        <v>1505</v>
      </c>
      <c r="E62" s="1138">
        <v>0.5</v>
      </c>
      <c r="F62" s="1153">
        <v>80</v>
      </c>
    </row>
    <row r="63" spans="1:8" s="1104" customFormat="1" ht="36">
      <c r="A63" s="1153">
        <v>3</v>
      </c>
      <c r="B63" s="3459"/>
      <c r="C63" s="1067" t="s">
        <v>1506</v>
      </c>
      <c r="D63" s="1067" t="s">
        <v>1507</v>
      </c>
      <c r="E63" s="1138">
        <v>0.5</v>
      </c>
      <c r="F63" s="1153">
        <v>80</v>
      </c>
    </row>
    <row r="64" spans="1:8" s="1104" customFormat="1" ht="36">
      <c r="A64" s="1153">
        <v>4</v>
      </c>
      <c r="B64" s="3459"/>
      <c r="C64" s="1067" t="s">
        <v>1508</v>
      </c>
      <c r="D64" s="1067" t="s">
        <v>1509</v>
      </c>
      <c r="E64" s="1138">
        <v>0.4</v>
      </c>
      <c r="F64" s="1153">
        <v>60</v>
      </c>
    </row>
    <row r="65" spans="1:6" s="1104" customFormat="1" ht="36">
      <c r="A65" s="1153">
        <v>5</v>
      </c>
      <c r="B65" s="3459"/>
      <c r="C65" s="1067" t="s">
        <v>1510</v>
      </c>
      <c r="D65" s="1067" t="s">
        <v>1511</v>
      </c>
      <c r="E65" s="1138">
        <v>0.2</v>
      </c>
      <c r="F65" s="1153">
        <v>30</v>
      </c>
    </row>
    <row r="66" spans="1:6" s="1104" customFormat="1" ht="36">
      <c r="A66" s="1153">
        <v>6</v>
      </c>
      <c r="B66" s="3459"/>
      <c r="C66" s="1067" t="s">
        <v>1512</v>
      </c>
      <c r="D66" s="1067" t="s">
        <v>1513</v>
      </c>
      <c r="E66" s="1138">
        <v>0.3</v>
      </c>
      <c r="F66" s="1153">
        <v>50</v>
      </c>
    </row>
    <row r="67" spans="1:6" s="1104" customFormat="1" ht="36">
      <c r="A67" s="1153">
        <v>7</v>
      </c>
      <c r="B67" s="3459"/>
      <c r="C67" s="1067" t="s">
        <v>1514</v>
      </c>
      <c r="D67" s="1067" t="s">
        <v>1515</v>
      </c>
      <c r="E67" s="1138">
        <v>0.2</v>
      </c>
      <c r="F67" s="1153">
        <v>30</v>
      </c>
    </row>
    <row r="68" spans="1:6" s="1104" customFormat="1" ht="36">
      <c r="A68" s="1153">
        <v>8</v>
      </c>
      <c r="B68" s="3459"/>
      <c r="C68" s="1067" t="s">
        <v>1516</v>
      </c>
      <c r="D68" s="1067" t="s">
        <v>1517</v>
      </c>
      <c r="E68" s="1138">
        <v>0.2</v>
      </c>
      <c r="F68" s="1153">
        <v>30</v>
      </c>
    </row>
    <row r="69" spans="1:6" s="1104" customFormat="1" ht="36">
      <c r="A69" s="1153">
        <v>9</v>
      </c>
      <c r="B69" s="3459"/>
      <c r="C69" s="1067" t="s">
        <v>1518</v>
      </c>
      <c r="D69" s="1067" t="s">
        <v>1519</v>
      </c>
      <c r="E69" s="1138">
        <v>0.2</v>
      </c>
      <c r="F69" s="1153">
        <v>30</v>
      </c>
    </row>
    <row r="70" spans="1:6" s="1104" customFormat="1" ht="48">
      <c r="A70" s="1153">
        <v>10</v>
      </c>
      <c r="B70" s="3459"/>
      <c r="C70" s="1067" t="s">
        <v>1520</v>
      </c>
      <c r="D70" s="1067" t="s">
        <v>1521</v>
      </c>
      <c r="E70" s="1138">
        <v>0.2</v>
      </c>
      <c r="F70" s="1153">
        <v>30</v>
      </c>
    </row>
    <row r="71" spans="1:6" s="1104" customFormat="1" ht="48">
      <c r="A71" s="1153">
        <v>11</v>
      </c>
      <c r="B71" s="3459"/>
      <c r="C71" s="1067" t="s">
        <v>1522</v>
      </c>
      <c r="D71" s="1067" t="s">
        <v>1523</v>
      </c>
      <c r="E71" s="1138">
        <v>0.2</v>
      </c>
      <c r="F71" s="1153">
        <v>30</v>
      </c>
    </row>
    <row r="72" spans="1:6" s="1104" customFormat="1" ht="36">
      <c r="A72" s="1153">
        <v>12</v>
      </c>
      <c r="B72" s="3459"/>
      <c r="C72" s="1067" t="s">
        <v>1524</v>
      </c>
      <c r="D72" s="1067" t="s">
        <v>1525</v>
      </c>
      <c r="E72" s="1138">
        <v>0.5</v>
      </c>
      <c r="F72" s="1153">
        <v>80</v>
      </c>
    </row>
    <row r="73" spans="1:6" s="1104" customFormat="1" ht="24">
      <c r="A73" s="1153">
        <v>13</v>
      </c>
      <c r="B73" s="3459"/>
      <c r="C73" s="1067" t="s">
        <v>1526</v>
      </c>
      <c r="D73" s="1067" t="s">
        <v>1527</v>
      </c>
      <c r="E73" s="1138">
        <v>0.4</v>
      </c>
      <c r="F73" s="1153">
        <v>60</v>
      </c>
    </row>
    <row r="74" spans="1:6" s="1104" customFormat="1" ht="24">
      <c r="A74" s="1153">
        <v>14</v>
      </c>
      <c r="B74" s="3459"/>
      <c r="C74" s="1067" t="s">
        <v>1528</v>
      </c>
      <c r="D74" s="1067" t="s">
        <v>1529</v>
      </c>
      <c r="E74" s="1138">
        <v>0.2</v>
      </c>
      <c r="F74" s="1153">
        <v>30</v>
      </c>
    </row>
    <row r="75" spans="1:6" s="1104" customFormat="1" ht="24">
      <c r="A75" s="1153">
        <v>15</v>
      </c>
      <c r="B75" s="3459"/>
      <c r="C75" s="1067" t="s">
        <v>1530</v>
      </c>
      <c r="D75" s="1067" t="s">
        <v>1531</v>
      </c>
      <c r="E75" s="1138">
        <v>0.2</v>
      </c>
      <c r="F75" s="1153">
        <v>30</v>
      </c>
    </row>
    <row r="76" spans="1:6" s="1104" customFormat="1" ht="24">
      <c r="A76" s="1153">
        <v>16</v>
      </c>
      <c r="B76" s="3459" t="s">
        <v>1532</v>
      </c>
      <c r="C76" s="1067" t="s">
        <v>1533</v>
      </c>
      <c r="D76" s="1067" t="s">
        <v>1534</v>
      </c>
      <c r="E76" s="1138">
        <v>0.5</v>
      </c>
      <c r="F76" s="1153">
        <v>80</v>
      </c>
    </row>
    <row r="77" spans="1:6" s="1104" customFormat="1" ht="24">
      <c r="A77" s="1153">
        <v>17</v>
      </c>
      <c r="B77" s="3459"/>
      <c r="C77" s="1067" t="s">
        <v>1535</v>
      </c>
      <c r="D77" s="1067" t="s">
        <v>1536</v>
      </c>
      <c r="E77" s="1138">
        <v>0.5</v>
      </c>
      <c r="F77" s="1153">
        <v>80</v>
      </c>
    </row>
    <row r="78" spans="1:6" s="1104" customFormat="1" ht="24">
      <c r="A78" s="1153">
        <v>18</v>
      </c>
      <c r="B78" s="3459"/>
      <c r="C78" s="1067" t="s">
        <v>1537</v>
      </c>
      <c r="D78" s="1067" t="s">
        <v>1538</v>
      </c>
      <c r="E78" s="1138">
        <v>0.2</v>
      </c>
      <c r="F78" s="1153">
        <v>30</v>
      </c>
    </row>
    <row r="79" spans="1:6" s="1104" customFormat="1" ht="24">
      <c r="A79" s="1153">
        <v>19</v>
      </c>
      <c r="B79" s="3459"/>
      <c r="C79" s="1067" t="s">
        <v>1539</v>
      </c>
      <c r="D79" s="1067" t="s">
        <v>1540</v>
      </c>
      <c r="E79" s="1138">
        <v>0.5</v>
      </c>
      <c r="F79" s="1153">
        <v>80</v>
      </c>
    </row>
    <row r="80" spans="1:6" s="1104" customFormat="1" ht="36">
      <c r="A80" s="1153">
        <v>20</v>
      </c>
      <c r="B80" s="3459"/>
      <c r="C80" s="1067" t="s">
        <v>1541</v>
      </c>
      <c r="D80" s="1067" t="s">
        <v>1542</v>
      </c>
      <c r="E80" s="1138">
        <v>0.2</v>
      </c>
      <c r="F80" s="1153">
        <v>30</v>
      </c>
    </row>
    <row r="81" spans="1:6" s="1104" customFormat="1" ht="36">
      <c r="A81" s="1153">
        <v>21</v>
      </c>
      <c r="B81" s="3459"/>
      <c r="C81" s="1067" t="s">
        <v>1543</v>
      </c>
      <c r="D81" s="1067" t="s">
        <v>1544</v>
      </c>
      <c r="E81" s="1138">
        <v>0.2</v>
      </c>
      <c r="F81" s="1153">
        <v>30</v>
      </c>
    </row>
    <row r="82" spans="1:6" s="1104" customFormat="1" ht="48">
      <c r="A82" s="1153">
        <v>22</v>
      </c>
      <c r="B82" s="3459"/>
      <c r="C82" s="1067" t="s">
        <v>1545</v>
      </c>
      <c r="D82" s="1067" t="s">
        <v>1546</v>
      </c>
      <c r="E82" s="1138">
        <v>0.2</v>
      </c>
      <c r="F82" s="1153">
        <v>30</v>
      </c>
    </row>
    <row r="83" spans="1:6" s="1104" customFormat="1" ht="48">
      <c r="A83" s="1153">
        <v>23</v>
      </c>
      <c r="B83" s="3459"/>
      <c r="C83" s="1067" t="s">
        <v>1547</v>
      </c>
      <c r="D83" s="1067" t="s">
        <v>1548</v>
      </c>
      <c r="E83" s="1138">
        <v>0.2</v>
      </c>
      <c r="F83" s="1153">
        <v>30</v>
      </c>
    </row>
    <row r="84" spans="1:6" s="1104" customFormat="1" ht="36">
      <c r="A84" s="1153">
        <v>24</v>
      </c>
      <c r="B84" s="3459"/>
      <c r="C84" s="1067" t="s">
        <v>1549</v>
      </c>
      <c r="D84" s="1067" t="s">
        <v>1550</v>
      </c>
      <c r="E84" s="1138">
        <v>0.2</v>
      </c>
      <c r="F84" s="1153">
        <v>30</v>
      </c>
    </row>
    <row r="85" spans="1:6" s="1104" customFormat="1" ht="36">
      <c r="A85" s="1153">
        <v>25</v>
      </c>
      <c r="B85" s="3459"/>
      <c r="C85" s="1067" t="s">
        <v>1551</v>
      </c>
      <c r="D85" s="1067" t="s">
        <v>1552</v>
      </c>
      <c r="E85" s="1138">
        <v>0.5</v>
      </c>
      <c r="F85" s="1153">
        <v>80</v>
      </c>
    </row>
    <row r="86" spans="1:6" s="1104" customFormat="1" ht="36">
      <c r="A86" s="1153">
        <v>26</v>
      </c>
      <c r="B86" s="3459"/>
      <c r="C86" s="1067" t="s">
        <v>1553</v>
      </c>
      <c r="D86" s="1067" t="s">
        <v>1554</v>
      </c>
      <c r="E86" s="1138">
        <v>0.2</v>
      </c>
      <c r="F86" s="1153">
        <v>30</v>
      </c>
    </row>
    <row r="87" spans="1:6" s="1104" customFormat="1" ht="36">
      <c r="A87" s="1153">
        <v>27</v>
      </c>
      <c r="B87" s="3459"/>
      <c r="C87" s="1067" t="s">
        <v>1555</v>
      </c>
      <c r="D87" s="1067" t="s">
        <v>1556</v>
      </c>
      <c r="E87" s="1138">
        <v>0.2</v>
      </c>
      <c r="F87" s="1153">
        <v>30</v>
      </c>
    </row>
    <row r="88" spans="1:6" s="1104" customFormat="1" ht="36">
      <c r="A88" s="1153">
        <v>28</v>
      </c>
      <c r="B88" s="3459"/>
      <c r="C88" s="1067" t="s">
        <v>1557</v>
      </c>
      <c r="D88" s="1067" t="s">
        <v>1558</v>
      </c>
      <c r="E88" s="1138">
        <v>0.2</v>
      </c>
      <c r="F88" s="1153">
        <v>30</v>
      </c>
    </row>
    <row r="89" spans="1:6" s="1104" customFormat="1" ht="24">
      <c r="A89" s="1153">
        <v>29</v>
      </c>
      <c r="B89" s="3459"/>
      <c r="C89" s="1067" t="s">
        <v>1559</v>
      </c>
      <c r="D89" s="1067" t="s">
        <v>1560</v>
      </c>
      <c r="E89" s="1138">
        <v>0.2</v>
      </c>
      <c r="F89" s="1153">
        <v>30</v>
      </c>
    </row>
    <row r="90" spans="1:6" s="1104" customFormat="1" ht="24">
      <c r="A90" s="1153">
        <v>30</v>
      </c>
      <c r="B90" s="3459"/>
      <c r="C90" s="1067" t="s">
        <v>1561</v>
      </c>
      <c r="D90" s="1067" t="s">
        <v>1562</v>
      </c>
      <c r="E90" s="1138">
        <v>0.2</v>
      </c>
      <c r="F90" s="1153">
        <v>30</v>
      </c>
    </row>
    <row r="91" spans="1:6" s="1104" customFormat="1" ht="36">
      <c r="A91" s="1153">
        <v>31</v>
      </c>
      <c r="B91" s="3459"/>
      <c r="C91" s="1067" t="s">
        <v>1563</v>
      </c>
      <c r="D91" s="1067" t="s">
        <v>1564</v>
      </c>
      <c r="E91" s="1138">
        <v>0.2</v>
      </c>
      <c r="F91" s="1153">
        <v>30</v>
      </c>
    </row>
    <row r="92" spans="1:6" s="1104" customFormat="1" ht="24">
      <c r="A92" s="1153">
        <v>32</v>
      </c>
      <c r="B92" s="3459" t="s">
        <v>1565</v>
      </c>
      <c r="C92" s="1153" t="s">
        <v>1566</v>
      </c>
      <c r="D92" s="1067" t="s">
        <v>1567</v>
      </c>
      <c r="E92" s="1138">
        <v>0.2</v>
      </c>
      <c r="F92" s="1153">
        <v>30</v>
      </c>
    </row>
    <row r="93" spans="1:6" s="1104" customFormat="1" ht="36">
      <c r="A93" s="1153">
        <v>33</v>
      </c>
      <c r="B93" s="3459"/>
      <c r="C93" s="1153" t="s">
        <v>1568</v>
      </c>
      <c r="D93" s="1067" t="s">
        <v>1569</v>
      </c>
      <c r="E93" s="1138">
        <v>0.2</v>
      </c>
      <c r="F93" s="1153">
        <v>30</v>
      </c>
    </row>
    <row r="94" spans="1:6" s="1104" customFormat="1" ht="48">
      <c r="A94" s="1153">
        <v>34</v>
      </c>
      <c r="B94" s="3459"/>
      <c r="C94" s="1153" t="s">
        <v>1570</v>
      </c>
      <c r="D94" s="1067" t="s">
        <v>1571</v>
      </c>
      <c r="E94" s="1138">
        <v>0.2</v>
      </c>
      <c r="F94" s="1153">
        <v>30</v>
      </c>
    </row>
    <row r="95" spans="1:6" s="1104" customFormat="1" ht="36">
      <c r="A95" s="1153">
        <v>35</v>
      </c>
      <c r="B95" s="3459"/>
      <c r="C95" s="1153" t="s">
        <v>1572</v>
      </c>
      <c r="D95" s="1067" t="s">
        <v>1573</v>
      </c>
      <c r="E95" s="1138">
        <v>0.2</v>
      </c>
      <c r="F95" s="1153">
        <v>30</v>
      </c>
    </row>
    <row r="96" spans="1:6" s="1104" customFormat="1" ht="48">
      <c r="A96" s="1153">
        <v>36</v>
      </c>
      <c r="B96" s="3459"/>
      <c r="C96" s="1067" t="s">
        <v>1574</v>
      </c>
      <c r="D96" s="1067" t="s">
        <v>1575</v>
      </c>
      <c r="E96" s="1138">
        <v>0.2</v>
      </c>
      <c r="F96" s="1153">
        <v>30</v>
      </c>
    </row>
    <row r="97" spans="1:6" s="1104" customFormat="1" ht="36">
      <c r="A97" s="1153">
        <v>37</v>
      </c>
      <c r="B97" s="3459"/>
      <c r="C97" s="1153" t="s">
        <v>1576</v>
      </c>
      <c r="D97" s="1067" t="s">
        <v>1577</v>
      </c>
      <c r="E97" s="1138">
        <v>0.2</v>
      </c>
      <c r="F97" s="1153">
        <v>30</v>
      </c>
    </row>
    <row r="98" spans="1:6" s="1104" customFormat="1" ht="36">
      <c r="A98" s="1153">
        <v>38</v>
      </c>
      <c r="B98" s="3459"/>
      <c r="C98" s="1153" t="s">
        <v>1578</v>
      </c>
      <c r="D98" s="1067" t="s">
        <v>1579</v>
      </c>
      <c r="E98" s="1138">
        <v>0.2</v>
      </c>
      <c r="F98" s="1153">
        <v>30</v>
      </c>
    </row>
    <row r="99" spans="1:6" s="1104" customFormat="1" ht="36">
      <c r="A99" s="1153">
        <v>39</v>
      </c>
      <c r="B99" s="3459" t="s">
        <v>1580</v>
      </c>
      <c r="C99" s="1153" t="s">
        <v>1581</v>
      </c>
      <c r="D99" s="1067" t="s">
        <v>1582</v>
      </c>
      <c r="E99" s="1138">
        <v>0.3</v>
      </c>
      <c r="F99" s="1153">
        <v>50</v>
      </c>
    </row>
    <row r="100" spans="1:6" s="1104" customFormat="1" ht="24">
      <c r="A100" s="1153">
        <v>40</v>
      </c>
      <c r="B100" s="3459"/>
      <c r="C100" s="1153" t="s">
        <v>1583</v>
      </c>
      <c r="D100" s="1067" t="s">
        <v>1584</v>
      </c>
      <c r="E100" s="1138">
        <v>0.2</v>
      </c>
      <c r="F100" s="1153">
        <v>30</v>
      </c>
    </row>
    <row r="101" spans="1:6" s="1104" customFormat="1" ht="36">
      <c r="A101" s="1153">
        <v>41</v>
      </c>
      <c r="B101" s="3459"/>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59" t="s">
        <v>1595</v>
      </c>
      <c r="C105" s="1153" t="s">
        <v>1596</v>
      </c>
      <c r="D105" s="1067" t="s">
        <v>1597</v>
      </c>
      <c r="E105" s="1138">
        <v>0.2</v>
      </c>
      <c r="F105" s="1153">
        <v>30</v>
      </c>
    </row>
    <row r="106" spans="1:6" s="1104" customFormat="1" ht="36">
      <c r="A106" s="1153">
        <v>46</v>
      </c>
      <c r="B106" s="3459"/>
      <c r="C106" s="1153" t="s">
        <v>1598</v>
      </c>
      <c r="D106" s="1067" t="s">
        <v>1599</v>
      </c>
      <c r="E106" s="1138">
        <v>0.2</v>
      </c>
      <c r="F106" s="1153">
        <v>30</v>
      </c>
    </row>
    <row r="107" spans="1:6" s="1104" customFormat="1" ht="36">
      <c r="A107" s="1153">
        <v>47</v>
      </c>
      <c r="B107" s="3459" t="s">
        <v>1600</v>
      </c>
      <c r="C107" s="1153" t="s">
        <v>1601</v>
      </c>
      <c r="D107" s="1067" t="s">
        <v>1602</v>
      </c>
      <c r="E107" s="1138">
        <v>0.3</v>
      </c>
      <c r="F107" s="1153">
        <v>50</v>
      </c>
    </row>
    <row r="108" spans="1:6" s="1104" customFormat="1" ht="36">
      <c r="A108" s="1153">
        <v>48</v>
      </c>
      <c r="B108" s="3459"/>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59" t="s">
        <v>1611</v>
      </c>
      <c r="C111" s="1153" t="s">
        <v>1612</v>
      </c>
      <c r="D111" s="1067" t="s">
        <v>1613</v>
      </c>
      <c r="E111" s="1138">
        <v>0.2</v>
      </c>
      <c r="F111" s="1153">
        <v>30</v>
      </c>
    </row>
    <row r="112" spans="1:6" s="1104" customFormat="1" ht="24">
      <c r="A112" s="1153">
        <v>52</v>
      </c>
      <c r="B112" s="3459"/>
      <c r="C112" s="1153" t="s">
        <v>1614</v>
      </c>
      <c r="D112" s="1067" t="s">
        <v>1615</v>
      </c>
      <c r="E112" s="1138">
        <v>0.2</v>
      </c>
      <c r="F112" s="1153">
        <v>30</v>
      </c>
    </row>
    <row r="113" spans="1:14" s="1104" customFormat="1" ht="24">
      <c r="A113" s="1153">
        <v>53</v>
      </c>
      <c r="B113" s="3459"/>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59" t="s">
        <v>1624</v>
      </c>
      <c r="C116" s="1153" t="s">
        <v>1625</v>
      </c>
      <c r="D116" s="1067" t="s">
        <v>1626</v>
      </c>
      <c r="E116" s="1138">
        <v>0.2</v>
      </c>
      <c r="F116" s="1153">
        <v>30</v>
      </c>
    </row>
    <row r="117" spans="1:14" ht="36">
      <c r="A117" s="1153">
        <v>57</v>
      </c>
      <c r="B117" s="3459"/>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60" t="s">
        <v>1633</v>
      </c>
      <c r="B121" s="3460"/>
      <c r="C121" s="3460"/>
      <c r="D121" s="3460"/>
      <c r="E121" s="3460"/>
      <c r="F121" s="3460"/>
      <c r="G121" s="3460"/>
      <c r="H121" s="3460"/>
      <c r="I121" s="3460"/>
      <c r="J121" s="3460"/>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1" t="s">
        <v>1039</v>
      </c>
      <c r="B1" s="3461"/>
      <c r="C1" s="3461"/>
      <c r="D1" s="3461"/>
      <c r="E1" s="3461"/>
      <c r="F1" s="3461"/>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62" t="s">
        <v>1052</v>
      </c>
      <c r="B2" s="3462"/>
      <c r="C2" s="3462"/>
      <c r="D2" s="3462"/>
      <c r="E2" s="3462"/>
      <c r="F2" s="3462"/>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63"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64"/>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SUMPRODUCT((B5:B9='基准地价-住宅'!I2)*(C3:F3='基准地价-住宅'!E2)*(C5:F9))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SUMPRODUCT((B10:B28='基准地价-住宅'!I2)*(C3:F3='基准地价-住宅'!E2)*(C10:F28))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SUMPRODUCT((B29:B48='基准地价-住宅'!I2)*(C3:F3='基准地价-住宅'!E2)*(C29:F48))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SUMPRODUCT((B49:B75='基准地价-住宅'!I2)*(C3:F3='基准地价-住宅'!E2)*(C49:F75))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SUMPRODUCT((B76:B109='基准地价-住宅'!I2)*(C3:F3='基准地价-住宅'!E2)*(C76:F109))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SUMPRODUCT((B110:B157='基准地价-住宅'!I2)*(C3:F3='基准地价-住宅'!E2)*(C110:F157))</f>
        <v>10350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SUMPRODUCT((B158:B205='基准地价-住宅'!I2)*(C3:F3='基准地价-住宅'!E2)*(C158:F205))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SUMPRODUCT((B206:B244='基准地价-住宅'!I2)*(C3:F3='基准地价-住宅'!E2)*(C206:F244))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SUMPRODUCT((B245:B289='基准地价-住宅'!I2)*(C3:F3='基准地价-住宅'!E2)*(C245:F289))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SUMPRODUCT((B290:B316='基准地价-住宅'!I2)*(C3:F3='基准地价-住宅'!E2)*(C290:F316))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SUMPRODUCT((B317:B337='基准地价-住宅'!I2)*(C3:F3='基准地价-住宅'!E2)*(C317:F337))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SUMPRODUCT((B338:B344='基准地价-住宅'!I2)*(C3:F3='基准地价-住宅'!E2)*(C338:F344))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SUMPRODUCT((A105:A204=ROUNDDOWN('基准地价-住宅'!G3,1))*(B104:M104='基准地价-住宅'!G2)*(B105:M204))</f>
        <v>1.1861999999999999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65" t="s">
        <v>2079</v>
      </c>
      <c r="B1" s="3465"/>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1096</v>
      </c>
      <c r="B6" s="1858" t="s">
        <v>2088</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2089</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2090</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2091</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2092</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2093</v>
      </c>
      <c r="C72" s="1868"/>
      <c r="D72" s="1868"/>
      <c r="E72" s="1868"/>
      <c r="F72" s="1860">
        <v>0.05</v>
      </c>
    </row>
    <row r="73" spans="1:6" ht="14.25" thickBot="1">
      <c r="A73" s="1854" t="s">
        <v>924</v>
      </c>
      <c r="B73" s="1858" t="s">
        <v>2094</v>
      </c>
      <c r="C73" s="1868"/>
      <c r="D73" s="1868"/>
      <c r="E73" s="1868"/>
      <c r="F73" s="1860">
        <v>0.05</v>
      </c>
    </row>
    <row r="74" spans="1:6" ht="14.25" thickBot="1">
      <c r="A74" s="1854" t="s">
        <v>924</v>
      </c>
      <c r="B74" s="1858" t="s">
        <v>2095</v>
      </c>
      <c r="C74" s="1868"/>
      <c r="D74" s="1868"/>
      <c r="E74" s="1868"/>
      <c r="F74" s="1860">
        <v>0.05</v>
      </c>
    </row>
    <row r="75" spans="1:6" ht="14.25" thickBot="1">
      <c r="A75" s="1862" t="s">
        <v>924</v>
      </c>
      <c r="B75" s="1869" t="s">
        <v>2096</v>
      </c>
      <c r="C75" s="1865"/>
      <c r="D75" s="1865"/>
      <c r="E75" s="1865"/>
      <c r="F75" s="1870">
        <v>0.05</v>
      </c>
    </row>
    <row r="76" spans="1:6" ht="14.25" thickBot="1">
      <c r="A76" s="1854" t="s">
        <v>1407</v>
      </c>
      <c r="B76" s="1855" t="s">
        <v>2097</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2098</v>
      </c>
      <c r="C102" s="1868"/>
      <c r="D102" s="1868"/>
      <c r="E102" s="1868"/>
      <c r="F102" s="1860">
        <v>0.05</v>
      </c>
    </row>
    <row r="103" spans="1:6" ht="24.75" thickBot="1">
      <c r="A103" s="1854" t="s">
        <v>1407</v>
      </c>
      <c r="B103" s="1858" t="s">
        <v>2099</v>
      </c>
      <c r="C103" s="1868"/>
      <c r="D103" s="1868"/>
      <c r="E103" s="1868"/>
      <c r="F103" s="1860">
        <v>0.05</v>
      </c>
    </row>
    <row r="104" spans="1:6" ht="14.25" thickBot="1">
      <c r="A104" s="1854" t="s">
        <v>1407</v>
      </c>
      <c r="B104" s="1858" t="s">
        <v>2100</v>
      </c>
      <c r="C104" s="1868"/>
      <c r="D104" s="1868"/>
      <c r="E104" s="1868"/>
      <c r="F104" s="1860">
        <v>0.05</v>
      </c>
    </row>
    <row r="105" spans="1:6" ht="14.25" thickBot="1">
      <c r="A105" s="1854" t="s">
        <v>1407</v>
      </c>
      <c r="B105" s="1858" t="s">
        <v>2101</v>
      </c>
      <c r="C105" s="1868"/>
      <c r="D105" s="1868"/>
      <c r="E105" s="1868"/>
      <c r="F105" s="1860">
        <v>0.05</v>
      </c>
    </row>
    <row r="106" spans="1:6" ht="14.25" thickBot="1">
      <c r="A106" s="1854" t="s">
        <v>1407</v>
      </c>
      <c r="B106" s="1858" t="s">
        <v>2102</v>
      </c>
      <c r="C106" s="1868"/>
      <c r="D106" s="1868"/>
      <c r="E106" s="1868"/>
      <c r="F106" s="1860">
        <v>0.05</v>
      </c>
    </row>
    <row r="107" spans="1:6" ht="24.75" thickBot="1">
      <c r="A107" s="1854" t="s">
        <v>1407</v>
      </c>
      <c r="B107" s="1858" t="s">
        <v>2103</v>
      </c>
      <c r="C107" s="1868"/>
      <c r="D107" s="1868"/>
      <c r="E107" s="1868"/>
      <c r="F107" s="1860">
        <v>0.05</v>
      </c>
    </row>
    <row r="108" spans="1:6" ht="24.75" thickBot="1">
      <c r="A108" s="1854" t="s">
        <v>1407</v>
      </c>
      <c r="B108" s="1858" t="s">
        <v>2104</v>
      </c>
      <c r="C108" s="1868"/>
      <c r="D108" s="1868"/>
      <c r="E108" s="1868"/>
      <c r="F108" s="1860">
        <v>0.05</v>
      </c>
    </row>
    <row r="109" spans="1:6" ht="24.75" thickBot="1">
      <c r="A109" s="1862" t="s">
        <v>1407</v>
      </c>
      <c r="B109" s="1869" t="s">
        <v>2105</v>
      </c>
      <c r="C109" s="1865"/>
      <c r="D109" s="1865"/>
      <c r="E109" s="1865"/>
      <c r="F109" s="1870">
        <v>0.05</v>
      </c>
    </row>
    <row r="110" spans="1:6" ht="14.25" thickBot="1">
      <c r="A110" s="1854" t="s">
        <v>1409</v>
      </c>
      <c r="B110" s="1855" t="s">
        <v>2106</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2107</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2108</v>
      </c>
      <c r="C138" s="1859">
        <v>0.105</v>
      </c>
      <c r="D138" s="1859">
        <v>0.125</v>
      </c>
      <c r="E138" s="1859">
        <v>0.112</v>
      </c>
      <c r="F138" s="1867"/>
    </row>
    <row r="139" spans="1:6" ht="14.25" thickBot="1">
      <c r="A139" s="1854" t="s">
        <v>1409</v>
      </c>
      <c r="B139" s="1858" t="s">
        <v>2109</v>
      </c>
      <c r="C139" s="1859">
        <v>0.127</v>
      </c>
      <c r="D139" s="1859">
        <v>0.127</v>
      </c>
      <c r="E139" s="1859">
        <v>0.122</v>
      </c>
      <c r="F139" s="1860">
        <v>0.13</v>
      </c>
    </row>
    <row r="140" spans="1:6" ht="14.25" thickBot="1">
      <c r="A140" s="1854" t="s">
        <v>1409</v>
      </c>
      <c r="B140" s="1858" t="s">
        <v>2110</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2111</v>
      </c>
      <c r="C144" s="1872">
        <v>0.126</v>
      </c>
      <c r="D144" s="1872">
        <v>0.126</v>
      </c>
      <c r="E144" s="1872">
        <v>0.121</v>
      </c>
      <c r="F144" s="1867"/>
    </row>
    <row r="145" spans="1:6" ht="14.25" thickBot="1">
      <c r="A145" s="1862" t="s">
        <v>1409</v>
      </c>
      <c r="B145" s="1873" t="s">
        <v>2112</v>
      </c>
      <c r="C145" s="1874"/>
      <c r="D145" s="1874"/>
      <c r="E145" s="1874"/>
      <c r="F145" s="1875">
        <v>0.05</v>
      </c>
    </row>
    <row r="146" spans="1:6" ht="24.75" thickBot="1">
      <c r="A146" s="1876" t="s">
        <v>1409</v>
      </c>
      <c r="B146" s="1861" t="s">
        <v>2113</v>
      </c>
      <c r="C146" s="1868"/>
      <c r="D146" s="1868"/>
      <c r="E146" s="1868"/>
      <c r="F146" s="1877">
        <v>0.05</v>
      </c>
    </row>
    <row r="147" spans="1:6" ht="24.75" thickBot="1">
      <c r="A147" s="1854" t="s">
        <v>1409</v>
      </c>
      <c r="B147" s="1858" t="s">
        <v>2114</v>
      </c>
      <c r="C147" s="1868"/>
      <c r="D147" s="1868"/>
      <c r="E147" s="1868"/>
      <c r="F147" s="1860">
        <v>0.05</v>
      </c>
    </row>
    <row r="148" spans="1:6" ht="24.75" thickBot="1">
      <c r="A148" s="1854" t="s">
        <v>1409</v>
      </c>
      <c r="B148" s="1858" t="s">
        <v>2115</v>
      </c>
      <c r="C148" s="1868"/>
      <c r="D148" s="1868"/>
      <c r="E148" s="1868"/>
      <c r="F148" s="1860">
        <v>0.05</v>
      </c>
    </row>
    <row r="149" spans="1:6" ht="24.75" thickBot="1">
      <c r="A149" s="1854" t="s">
        <v>1409</v>
      </c>
      <c r="B149" s="1858" t="s">
        <v>2116</v>
      </c>
      <c r="C149" s="1868"/>
      <c r="D149" s="1868"/>
      <c r="E149" s="1868"/>
      <c r="F149" s="1860">
        <v>0.05</v>
      </c>
    </row>
    <row r="150" spans="1:6" ht="24.75" thickBot="1">
      <c r="A150" s="1854" t="s">
        <v>1409</v>
      </c>
      <c r="B150" s="1858" t="s">
        <v>2117</v>
      </c>
      <c r="C150" s="1868"/>
      <c r="D150" s="1868"/>
      <c r="E150" s="1868"/>
      <c r="F150" s="1860">
        <v>0.05</v>
      </c>
    </row>
    <row r="151" spans="1:6" ht="24.75" thickBot="1">
      <c r="A151" s="1854" t="s">
        <v>1409</v>
      </c>
      <c r="B151" s="1858" t="s">
        <v>2118</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2119</v>
      </c>
      <c r="C153" s="1868"/>
      <c r="D153" s="1868"/>
      <c r="E153" s="1868"/>
      <c r="F153" s="1860">
        <v>0.05</v>
      </c>
    </row>
    <row r="154" spans="1:6" ht="14.25" thickBot="1">
      <c r="A154" s="1854" t="s">
        <v>1409</v>
      </c>
      <c r="B154" s="1858" t="s">
        <v>2120</v>
      </c>
      <c r="C154" s="1868"/>
      <c r="D154" s="1868"/>
      <c r="E154" s="1868"/>
      <c r="F154" s="1860">
        <v>0.05</v>
      </c>
    </row>
    <row r="155" spans="1:6" ht="24.75" thickBot="1">
      <c r="A155" s="1854" t="s">
        <v>1409</v>
      </c>
      <c r="B155" s="1858" t="s">
        <v>2121</v>
      </c>
      <c r="C155" s="1868"/>
      <c r="D155" s="1868"/>
      <c r="E155" s="1868"/>
      <c r="F155" s="1860">
        <v>0.05</v>
      </c>
    </row>
    <row r="156" spans="1:6" ht="24.75" thickBot="1">
      <c r="A156" s="1854" t="s">
        <v>1409</v>
      </c>
      <c r="B156" s="1858" t="s">
        <v>2122</v>
      </c>
      <c r="C156" s="1868"/>
      <c r="D156" s="1868"/>
      <c r="E156" s="1868"/>
      <c r="F156" s="1860">
        <v>0.05</v>
      </c>
    </row>
    <row r="157" spans="1:6" ht="14.25" thickBot="1">
      <c r="A157" s="1862" t="s">
        <v>1409</v>
      </c>
      <c r="B157" s="1869" t="s">
        <v>2123</v>
      </c>
      <c r="C157" s="1865"/>
      <c r="D157" s="1865"/>
      <c r="E157" s="1865"/>
      <c r="F157" s="1870">
        <v>0.05</v>
      </c>
    </row>
    <row r="158" spans="1:6" ht="14.25" thickBot="1">
      <c r="A158" s="1854" t="s">
        <v>1411</v>
      </c>
      <c r="B158" s="1855" t="s">
        <v>2124</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2125</v>
      </c>
      <c r="C171" s="1859">
        <v>0.127</v>
      </c>
      <c r="D171" s="1859">
        <v>0.126</v>
      </c>
      <c r="E171" s="1859">
        <v>0.126</v>
      </c>
      <c r="F171" s="1860">
        <v>0.11799999999999999</v>
      </c>
    </row>
    <row r="172" spans="1:6" ht="14.25" thickBot="1">
      <c r="A172" s="1854" t="s">
        <v>1411</v>
      </c>
      <c r="B172" s="1858" t="s">
        <v>2126</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2127</v>
      </c>
      <c r="C174" s="1859">
        <v>0.13</v>
      </c>
      <c r="D174" s="1859">
        <v>0.13</v>
      </c>
      <c r="E174" s="1859">
        <v>0.13</v>
      </c>
      <c r="F174" s="1860">
        <v>0.13</v>
      </c>
    </row>
    <row r="175" spans="1:6" ht="14.25" thickBot="1">
      <c r="A175" s="1854" t="s">
        <v>1411</v>
      </c>
      <c r="B175" s="1858" t="s">
        <v>2128</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2129</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2130</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2131</v>
      </c>
      <c r="C185" s="1859">
        <v>0.127</v>
      </c>
      <c r="D185" s="1859">
        <v>0.127</v>
      </c>
      <c r="E185" s="1859">
        <v>0.128</v>
      </c>
      <c r="F185" s="1860">
        <v>0.13</v>
      </c>
    </row>
    <row r="186" spans="1:6" ht="24.75" thickBot="1">
      <c r="A186" s="1854" t="s">
        <v>1411</v>
      </c>
      <c r="B186" s="1858" t="s">
        <v>2132</v>
      </c>
      <c r="C186" s="1868"/>
      <c r="D186" s="1868"/>
      <c r="E186" s="1868"/>
      <c r="F186" s="1860">
        <v>0.05</v>
      </c>
    </row>
    <row r="187" spans="1:6" ht="14.25" thickBot="1">
      <c r="A187" s="1854" t="s">
        <v>1411</v>
      </c>
      <c r="B187" s="1858" t="s">
        <v>2133</v>
      </c>
      <c r="C187" s="1868"/>
      <c r="D187" s="1868"/>
      <c r="E187" s="1868"/>
      <c r="F187" s="1860">
        <v>0.05</v>
      </c>
    </row>
    <row r="188" spans="1:6" ht="14.25" thickBot="1">
      <c r="A188" s="1854" t="s">
        <v>1411</v>
      </c>
      <c r="B188" s="1858" t="s">
        <v>2134</v>
      </c>
      <c r="C188" s="1868"/>
      <c r="D188" s="1868"/>
      <c r="E188" s="1868"/>
      <c r="F188" s="1860">
        <v>0.05</v>
      </c>
    </row>
    <row r="189" spans="1:6" ht="24.75" thickBot="1">
      <c r="A189" s="1854" t="s">
        <v>1411</v>
      </c>
      <c r="B189" s="1858" t="s">
        <v>2135</v>
      </c>
      <c r="C189" s="1868"/>
      <c r="D189" s="1868"/>
      <c r="E189" s="1868"/>
      <c r="F189" s="1860">
        <v>0.05</v>
      </c>
    </row>
    <row r="190" spans="1:6" ht="24.75" thickBot="1">
      <c r="A190" s="1854" t="s">
        <v>1411</v>
      </c>
      <c r="B190" s="1858" t="s">
        <v>2136</v>
      </c>
      <c r="C190" s="1868"/>
      <c r="D190" s="1868"/>
      <c r="E190" s="1868"/>
      <c r="F190" s="1860">
        <v>0.05</v>
      </c>
    </row>
    <row r="191" spans="1:6" ht="24.75" thickBot="1">
      <c r="A191" s="1854" t="s">
        <v>1411</v>
      </c>
      <c r="B191" s="1858" t="s">
        <v>2137</v>
      </c>
      <c r="C191" s="1868"/>
      <c r="D191" s="1868"/>
      <c r="E191" s="1868"/>
      <c r="F191" s="1860">
        <v>0.05</v>
      </c>
    </row>
    <row r="192" spans="1:6" ht="24.75" thickBot="1">
      <c r="A192" s="1854" t="s">
        <v>1411</v>
      </c>
      <c r="B192" s="1858" t="s">
        <v>2138</v>
      </c>
      <c r="C192" s="1868"/>
      <c r="D192" s="1868"/>
      <c r="E192" s="1868"/>
      <c r="F192" s="1860">
        <v>0.05</v>
      </c>
    </row>
    <row r="193" spans="1:6" ht="24.75" thickBot="1">
      <c r="A193" s="1854" t="s">
        <v>1411</v>
      </c>
      <c r="B193" s="1858" t="s">
        <v>2139</v>
      </c>
      <c r="C193" s="1868"/>
      <c r="D193" s="1868"/>
      <c r="E193" s="1868"/>
      <c r="F193" s="1860">
        <v>0.05</v>
      </c>
    </row>
    <row r="194" spans="1:6" ht="24.75" thickBot="1">
      <c r="A194" s="1854" t="s">
        <v>1411</v>
      </c>
      <c r="B194" s="1858" t="s">
        <v>2140</v>
      </c>
      <c r="C194" s="1868"/>
      <c r="D194" s="1868"/>
      <c r="E194" s="1868"/>
      <c r="F194" s="1860">
        <v>0.05</v>
      </c>
    </row>
    <row r="195" spans="1:6" ht="14.25" thickBot="1">
      <c r="A195" s="1854" t="s">
        <v>1411</v>
      </c>
      <c r="B195" s="1858" t="s">
        <v>2141</v>
      </c>
      <c r="C195" s="1868"/>
      <c r="D195" s="1868"/>
      <c r="E195" s="1868"/>
      <c r="F195" s="1860">
        <v>0.05</v>
      </c>
    </row>
    <row r="196" spans="1:6" ht="24.75" thickBot="1">
      <c r="A196" s="1854" t="s">
        <v>1411</v>
      </c>
      <c r="B196" s="1858" t="s">
        <v>2142</v>
      </c>
      <c r="C196" s="1868"/>
      <c r="D196" s="1868"/>
      <c r="E196" s="1868"/>
      <c r="F196" s="1860">
        <v>0.05</v>
      </c>
    </row>
    <row r="197" spans="1:6" ht="24.75" thickBot="1">
      <c r="A197" s="1854" t="s">
        <v>1411</v>
      </c>
      <c r="B197" s="1858" t="s">
        <v>2143</v>
      </c>
      <c r="C197" s="1868"/>
      <c r="D197" s="1868"/>
      <c r="E197" s="1868"/>
      <c r="F197" s="1860">
        <v>0.05</v>
      </c>
    </row>
    <row r="198" spans="1:6" ht="24.75" thickBot="1">
      <c r="A198" s="1854" t="s">
        <v>1411</v>
      </c>
      <c r="B198" s="1858" t="s">
        <v>2144</v>
      </c>
      <c r="C198" s="1868"/>
      <c r="D198" s="1868"/>
      <c r="E198" s="1868"/>
      <c r="F198" s="1860">
        <v>0.05</v>
      </c>
    </row>
    <row r="199" spans="1:6" ht="24.75" thickBot="1">
      <c r="A199" s="1854" t="s">
        <v>1411</v>
      </c>
      <c r="B199" s="1858" t="s">
        <v>2145</v>
      </c>
      <c r="C199" s="1868"/>
      <c r="D199" s="1868"/>
      <c r="E199" s="1868"/>
      <c r="F199" s="1860">
        <v>0.05</v>
      </c>
    </row>
    <row r="200" spans="1:6" ht="24.75" thickBot="1">
      <c r="A200" s="1854" t="s">
        <v>1411</v>
      </c>
      <c r="B200" s="1858" t="s">
        <v>2146</v>
      </c>
      <c r="C200" s="1868"/>
      <c r="D200" s="1868"/>
      <c r="E200" s="1868"/>
      <c r="F200" s="1860">
        <v>0.05</v>
      </c>
    </row>
    <row r="201" spans="1:6" ht="24.75" thickBot="1">
      <c r="A201" s="1854" t="s">
        <v>1411</v>
      </c>
      <c r="B201" s="1858" t="s">
        <v>2147</v>
      </c>
      <c r="C201" s="1868"/>
      <c r="D201" s="1868"/>
      <c r="E201" s="1868"/>
      <c r="F201" s="1860">
        <v>0.05</v>
      </c>
    </row>
    <row r="202" spans="1:6" ht="24.75" thickBot="1">
      <c r="A202" s="1854" t="s">
        <v>1411</v>
      </c>
      <c r="B202" s="1858" t="s">
        <v>2148</v>
      </c>
      <c r="C202" s="1868"/>
      <c r="D202" s="1868"/>
      <c r="E202" s="1868"/>
      <c r="F202" s="1860">
        <v>0.05</v>
      </c>
    </row>
    <row r="203" spans="1:6" ht="24.75" thickBot="1">
      <c r="A203" s="1854" t="s">
        <v>1411</v>
      </c>
      <c r="B203" s="1858" t="s">
        <v>2149</v>
      </c>
      <c r="C203" s="1868"/>
      <c r="D203" s="1868"/>
      <c r="E203" s="1868"/>
      <c r="F203" s="1860">
        <v>0.05</v>
      </c>
    </row>
    <row r="204" spans="1:6" ht="14.25" thickBot="1">
      <c r="A204" s="1854" t="s">
        <v>1411</v>
      </c>
      <c r="B204" s="1858" t="s">
        <v>2150</v>
      </c>
      <c r="C204" s="1868"/>
      <c r="D204" s="1868"/>
      <c r="E204" s="1868"/>
      <c r="F204" s="1860">
        <v>0.05</v>
      </c>
    </row>
    <row r="205" spans="1:6" ht="14.25" thickBot="1">
      <c r="A205" s="1862" t="s">
        <v>1411</v>
      </c>
      <c r="B205" s="1869" t="s">
        <v>2151</v>
      </c>
      <c r="C205" s="1865"/>
      <c r="D205" s="1865"/>
      <c r="E205" s="1865"/>
      <c r="F205" s="1870">
        <v>0.05</v>
      </c>
    </row>
    <row r="206" spans="1:6" ht="14.25" thickBot="1">
      <c r="A206" s="1854" t="s">
        <v>1413</v>
      </c>
      <c r="B206" s="1855" t="s">
        <v>2152</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2153</v>
      </c>
      <c r="C210" s="1859">
        <v>0.15</v>
      </c>
      <c r="D210" s="1859">
        <v>0.15</v>
      </c>
      <c r="E210" s="1859">
        <v>0.15</v>
      </c>
      <c r="F210" s="1860">
        <v>0.13800000000000001</v>
      </c>
    </row>
    <row r="211" spans="1:6" ht="14.25" thickBot="1">
      <c r="A211" s="1854" t="s">
        <v>1413</v>
      </c>
      <c r="B211" s="1858" t="s">
        <v>2154</v>
      </c>
      <c r="C211" s="1859">
        <v>0.13700000000000001</v>
      </c>
      <c r="D211" s="1859">
        <v>0.13500000000000001</v>
      </c>
      <c r="E211" s="1859">
        <v>0.13600000000000001</v>
      </c>
      <c r="F211" s="1860">
        <v>0.1</v>
      </c>
    </row>
    <row r="212" spans="1:6" ht="14.25" thickBot="1">
      <c r="A212" s="1854" t="s">
        <v>1413</v>
      </c>
      <c r="B212" s="1858" t="s">
        <v>2155</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2156</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2157</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2158</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2159</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2160</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2161</v>
      </c>
      <c r="C231" s="1859">
        <v>0.128</v>
      </c>
      <c r="D231" s="1859">
        <v>0.125</v>
      </c>
      <c r="E231" s="1859">
        <v>0.13200000000000001</v>
      </c>
      <c r="F231" s="1867"/>
    </row>
    <row r="232" spans="1:6" ht="14.25" thickBot="1">
      <c r="A232" s="1854" t="s">
        <v>1413</v>
      </c>
      <c r="B232" s="1858" t="s">
        <v>2162</v>
      </c>
      <c r="C232" s="1859">
        <v>0.14499999999999999</v>
      </c>
      <c r="D232" s="1859">
        <v>0.14399999999999999</v>
      </c>
      <c r="E232" s="1859">
        <v>0.14599999999999999</v>
      </c>
      <c r="F232" s="1860">
        <v>0.13800000000000001</v>
      </c>
    </row>
    <row r="233" spans="1:6" ht="14.25" thickBot="1">
      <c r="A233" s="1854" t="s">
        <v>1413</v>
      </c>
      <c r="B233" s="1858" t="s">
        <v>2163</v>
      </c>
      <c r="C233" s="1859">
        <v>0.14499999999999999</v>
      </c>
      <c r="D233" s="1859">
        <v>0.14299999999999999</v>
      </c>
      <c r="E233" s="1859">
        <v>0.14199999999999999</v>
      </c>
      <c r="F233" s="1867"/>
    </row>
    <row r="234" spans="1:6" ht="14.25" thickBot="1">
      <c r="A234" s="1854" t="s">
        <v>1413</v>
      </c>
      <c r="B234" s="1858" t="s">
        <v>2164</v>
      </c>
      <c r="C234" s="1859">
        <v>0.14000000000000001</v>
      </c>
      <c r="D234" s="1859">
        <v>0.14000000000000001</v>
      </c>
      <c r="E234" s="1859">
        <v>0.14399999999999999</v>
      </c>
      <c r="F234" s="1867"/>
    </row>
    <row r="235" spans="1:6" ht="14.25" thickBot="1">
      <c r="A235" s="1854" t="s">
        <v>1413</v>
      </c>
      <c r="B235" s="1858" t="s">
        <v>2165</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2166</v>
      </c>
      <c r="C237" s="1868"/>
      <c r="D237" s="1868"/>
      <c r="E237" s="1868"/>
      <c r="F237" s="1860">
        <v>0.05</v>
      </c>
    </row>
    <row r="238" spans="1:6" ht="24.75" thickBot="1">
      <c r="A238" s="1854" t="s">
        <v>1413</v>
      </c>
      <c r="B238" s="1858" t="s">
        <v>2167</v>
      </c>
      <c r="C238" s="1868"/>
      <c r="D238" s="1868"/>
      <c r="E238" s="1868"/>
      <c r="F238" s="1860">
        <v>0.05</v>
      </c>
    </row>
    <row r="239" spans="1:6" ht="24.75" thickBot="1">
      <c r="A239" s="1854" t="s">
        <v>1413</v>
      </c>
      <c r="B239" s="1858" t="s">
        <v>2168</v>
      </c>
      <c r="C239" s="1868"/>
      <c r="D239" s="1868"/>
      <c r="E239" s="1868"/>
      <c r="F239" s="1860">
        <v>0.05</v>
      </c>
    </row>
    <row r="240" spans="1:6" ht="24.75" thickBot="1">
      <c r="A240" s="1854" t="s">
        <v>1413</v>
      </c>
      <c r="B240" s="1858" t="s">
        <v>2169</v>
      </c>
      <c r="C240" s="1868"/>
      <c r="D240" s="1868"/>
      <c r="E240" s="1868"/>
      <c r="F240" s="1860">
        <v>0.05</v>
      </c>
    </row>
    <row r="241" spans="1:6" ht="24.75" thickBot="1">
      <c r="A241" s="1854" t="s">
        <v>1413</v>
      </c>
      <c r="B241" s="1858" t="s">
        <v>2170</v>
      </c>
      <c r="C241" s="1868"/>
      <c r="D241" s="1868"/>
      <c r="E241" s="1868"/>
      <c r="F241" s="1860">
        <v>0.05</v>
      </c>
    </row>
    <row r="242" spans="1:6" ht="24.75" thickBot="1">
      <c r="A242" s="1854" t="s">
        <v>1413</v>
      </c>
      <c r="B242" s="1858" t="s">
        <v>2171</v>
      </c>
      <c r="C242" s="1868"/>
      <c r="D242" s="1868"/>
      <c r="E242" s="1868"/>
      <c r="F242" s="1860">
        <v>0.05</v>
      </c>
    </row>
    <row r="243" spans="1:6" ht="24.75" thickBot="1">
      <c r="A243" s="1854" t="s">
        <v>1413</v>
      </c>
      <c r="B243" s="1858" t="s">
        <v>2172</v>
      </c>
      <c r="C243" s="1868"/>
      <c r="D243" s="1868"/>
      <c r="E243" s="1868"/>
      <c r="F243" s="1860">
        <v>0.05</v>
      </c>
    </row>
    <row r="244" spans="1:6" ht="24.75" thickBot="1">
      <c r="A244" s="1862" t="s">
        <v>1413</v>
      </c>
      <c r="B244" s="1869" t="s">
        <v>2173</v>
      </c>
      <c r="C244" s="1865"/>
      <c r="D244" s="1865"/>
      <c r="E244" s="1865"/>
      <c r="F244" s="1870">
        <v>0.05</v>
      </c>
    </row>
    <row r="245" spans="1:6" ht="14.25" thickBot="1">
      <c r="A245" s="1854" t="s">
        <v>1415</v>
      </c>
      <c r="B245" s="1855" t="s">
        <v>2174</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2175</v>
      </c>
      <c r="C247" s="1859">
        <v>0.15</v>
      </c>
      <c r="D247" s="1859">
        <v>0.15</v>
      </c>
      <c r="E247" s="1859">
        <v>0.15</v>
      </c>
      <c r="F247" s="1860">
        <v>0.15</v>
      </c>
    </row>
    <row r="248" spans="1:6" ht="14.25" thickBot="1">
      <c r="A248" s="1854" t="s">
        <v>1415</v>
      </c>
      <c r="B248" s="1858" t="s">
        <v>2176</v>
      </c>
      <c r="C248" s="1859">
        <v>0.15</v>
      </c>
      <c r="D248" s="1859">
        <v>0.15</v>
      </c>
      <c r="E248" s="1859">
        <v>0.15</v>
      </c>
      <c r="F248" s="1860">
        <v>0.14000000000000001</v>
      </c>
    </row>
    <row r="249" spans="1:6" ht="14.25" thickBot="1">
      <c r="A249" s="1854" t="s">
        <v>1415</v>
      </c>
      <c r="B249" s="1858" t="s">
        <v>2177</v>
      </c>
      <c r="C249" s="1859">
        <v>0.15</v>
      </c>
      <c r="D249" s="1859">
        <v>0.14899999999999999</v>
      </c>
      <c r="E249" s="1859">
        <v>0.15</v>
      </c>
      <c r="F249" s="1860">
        <v>0.1</v>
      </c>
    </row>
    <row r="250" spans="1:6" ht="14.25" thickBot="1">
      <c r="A250" s="1854" t="s">
        <v>1415</v>
      </c>
      <c r="B250" s="1858" t="s">
        <v>2178</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2179</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2180</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2181</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2182</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2183</v>
      </c>
      <c r="C273" s="1859">
        <v>0.14199999999999999</v>
      </c>
      <c r="D273" s="1859">
        <v>0.14299999999999999</v>
      </c>
      <c r="E273" s="1859">
        <v>0.15</v>
      </c>
      <c r="F273" s="1860">
        <v>0.1</v>
      </c>
    </row>
    <row r="274" spans="1:6" ht="14.25" thickBot="1">
      <c r="A274" s="1854" t="s">
        <v>1415</v>
      </c>
      <c r="B274" s="1858" t="s">
        <v>2184</v>
      </c>
      <c r="C274" s="1859">
        <v>0.14799999999999999</v>
      </c>
      <c r="D274" s="1859">
        <v>0.14799999999999999</v>
      </c>
      <c r="E274" s="1859">
        <v>0.15</v>
      </c>
      <c r="F274" s="1860">
        <v>6.7000000000000004E-2</v>
      </c>
    </row>
    <row r="275" spans="1:6" ht="14.25" thickBot="1">
      <c r="A275" s="1854" t="s">
        <v>1415</v>
      </c>
      <c r="B275" s="1858" t="s">
        <v>2185</v>
      </c>
      <c r="C275" s="1859">
        <v>0.15</v>
      </c>
      <c r="D275" s="1859">
        <v>0.15</v>
      </c>
      <c r="E275" s="1859">
        <v>0.15</v>
      </c>
      <c r="F275" s="1860">
        <v>0.15</v>
      </c>
    </row>
    <row r="276" spans="1:6" ht="14.25" thickBot="1">
      <c r="A276" s="1854" t="s">
        <v>1415</v>
      </c>
      <c r="B276" s="1858" t="s">
        <v>2186</v>
      </c>
      <c r="C276" s="1859">
        <v>0.14499999999999999</v>
      </c>
      <c r="D276" s="1859">
        <v>0.14299999999999999</v>
      </c>
      <c r="E276" s="1859">
        <v>0.15</v>
      </c>
      <c r="F276" s="1860">
        <v>5.8999999999999997E-2</v>
      </c>
    </row>
    <row r="277" spans="1:6" ht="14.25" thickBot="1">
      <c r="A277" s="1854" t="s">
        <v>1415</v>
      </c>
      <c r="B277" s="1858" t="s">
        <v>2187</v>
      </c>
      <c r="C277" s="1859">
        <v>0.15</v>
      </c>
      <c r="D277" s="1859">
        <v>0.15</v>
      </c>
      <c r="E277" s="1859">
        <v>0.15</v>
      </c>
      <c r="F277" s="1860">
        <v>0.121</v>
      </c>
    </row>
    <row r="278" spans="1:6" ht="14.25" thickBot="1">
      <c r="A278" s="1854" t="s">
        <v>1415</v>
      </c>
      <c r="B278" s="1858" t="s">
        <v>2188</v>
      </c>
      <c r="C278" s="1859">
        <v>0.15</v>
      </c>
      <c r="D278" s="1859">
        <v>0.15</v>
      </c>
      <c r="E278" s="1859">
        <v>0.15</v>
      </c>
      <c r="F278" s="1860">
        <v>0.13800000000000001</v>
      </c>
    </row>
    <row r="279" spans="1:6" ht="24.75" thickBot="1">
      <c r="A279" s="1854" t="s">
        <v>1415</v>
      </c>
      <c r="B279" s="1858" t="s">
        <v>2189</v>
      </c>
      <c r="C279" s="1868"/>
      <c r="D279" s="1868"/>
      <c r="E279" s="1868"/>
      <c r="F279" s="1860">
        <v>0.05</v>
      </c>
    </row>
    <row r="280" spans="1:6" ht="24.75" thickBot="1">
      <c r="A280" s="1854" t="s">
        <v>1415</v>
      </c>
      <c r="B280" s="1858" t="s">
        <v>2190</v>
      </c>
      <c r="C280" s="1868"/>
      <c r="D280" s="1868"/>
      <c r="E280" s="1868"/>
      <c r="F280" s="1860">
        <v>0.05</v>
      </c>
    </row>
    <row r="281" spans="1:6" ht="24.75" thickBot="1">
      <c r="A281" s="1854" t="s">
        <v>1415</v>
      </c>
      <c r="B281" s="1858" t="s">
        <v>2191</v>
      </c>
      <c r="C281" s="1868"/>
      <c r="D281" s="1868"/>
      <c r="E281" s="1868"/>
      <c r="F281" s="1860">
        <v>0.05</v>
      </c>
    </row>
    <row r="282" spans="1:6" ht="24.75" thickBot="1">
      <c r="A282" s="1854" t="s">
        <v>1415</v>
      </c>
      <c r="B282" s="1858" t="s">
        <v>2192</v>
      </c>
      <c r="C282" s="1868"/>
      <c r="D282" s="1868"/>
      <c r="E282" s="1868"/>
      <c r="F282" s="1860">
        <v>0.05</v>
      </c>
    </row>
    <row r="283" spans="1:6" ht="24.75" thickBot="1">
      <c r="A283" s="1854" t="s">
        <v>1415</v>
      </c>
      <c r="B283" s="1858" t="s">
        <v>2193</v>
      </c>
      <c r="C283" s="1868"/>
      <c r="D283" s="1868"/>
      <c r="E283" s="1868"/>
      <c r="F283" s="1860">
        <v>0.05</v>
      </c>
    </row>
    <row r="284" spans="1:6" ht="24.75" thickBot="1">
      <c r="A284" s="1854" t="s">
        <v>1415</v>
      </c>
      <c r="B284" s="1858" t="s">
        <v>2194</v>
      </c>
      <c r="C284" s="1868"/>
      <c r="D284" s="1868"/>
      <c r="E284" s="1868"/>
      <c r="F284" s="1860">
        <v>0.05</v>
      </c>
    </row>
    <row r="285" spans="1:6" ht="24.75" thickBot="1">
      <c r="A285" s="1854" t="s">
        <v>1415</v>
      </c>
      <c r="B285" s="1858" t="s">
        <v>2195</v>
      </c>
      <c r="C285" s="1868"/>
      <c r="D285" s="1868"/>
      <c r="E285" s="1868"/>
      <c r="F285" s="1860">
        <v>0.05</v>
      </c>
    </row>
    <row r="286" spans="1:6" ht="24.75" thickBot="1">
      <c r="A286" s="1854" t="s">
        <v>1415</v>
      </c>
      <c r="B286" s="1858" t="s">
        <v>2196</v>
      </c>
      <c r="C286" s="1868"/>
      <c r="D286" s="1868"/>
      <c r="E286" s="1868"/>
      <c r="F286" s="1860">
        <v>0.05</v>
      </c>
    </row>
    <row r="287" spans="1:6" ht="24.75" thickBot="1">
      <c r="A287" s="1854" t="s">
        <v>1415</v>
      </c>
      <c r="B287" s="1858" t="s">
        <v>2197</v>
      </c>
      <c r="C287" s="1868"/>
      <c r="D287" s="1868"/>
      <c r="E287" s="1868"/>
      <c r="F287" s="1860">
        <v>0.05</v>
      </c>
    </row>
    <row r="288" spans="1:6" ht="24.75" thickBot="1">
      <c r="A288" s="1854" t="s">
        <v>1415</v>
      </c>
      <c r="B288" s="1858" t="s">
        <v>2198</v>
      </c>
      <c r="C288" s="1868"/>
      <c r="D288" s="1868"/>
      <c r="E288" s="1868"/>
      <c r="F288" s="1860">
        <v>0.05</v>
      </c>
    </row>
    <row r="289" spans="1:6" ht="24.75" thickBot="1">
      <c r="A289" s="1862" t="s">
        <v>1415</v>
      </c>
      <c r="B289" s="1869" t="s">
        <v>2199</v>
      </c>
      <c r="C289" s="1865"/>
      <c r="D289" s="1865"/>
      <c r="E289" s="1865"/>
      <c r="F289" s="1870">
        <v>0.05</v>
      </c>
    </row>
    <row r="290" spans="1:6" ht="14.25" thickBot="1">
      <c r="A290" s="1854" t="s">
        <v>1419</v>
      </c>
      <c r="B290" s="1855" t="s">
        <v>2200</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2201</v>
      </c>
      <c r="C292" s="1859">
        <v>0.15</v>
      </c>
      <c r="D292" s="1859">
        <v>0.15</v>
      </c>
      <c r="E292" s="1859">
        <v>0.15</v>
      </c>
      <c r="F292" s="1860">
        <v>0.14699999999999999</v>
      </c>
    </row>
    <row r="293" spans="1:6" ht="14.25" thickBot="1">
      <c r="A293" s="1854" t="s">
        <v>1419</v>
      </c>
      <c r="B293" s="1858" t="s">
        <v>2202</v>
      </c>
      <c r="C293" s="1868"/>
      <c r="D293" s="1868"/>
      <c r="E293" s="1868"/>
      <c r="F293" s="1860">
        <v>0.1</v>
      </c>
    </row>
    <row r="294" spans="1:6" ht="14.25" thickBot="1">
      <c r="A294" s="1854" t="s">
        <v>1419</v>
      </c>
      <c r="B294" s="1858" t="s">
        <v>2203</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2204</v>
      </c>
      <c r="C296" s="1859">
        <v>0.15</v>
      </c>
      <c r="D296" s="1859">
        <v>0.15</v>
      </c>
      <c r="E296" s="1859">
        <v>0.15</v>
      </c>
      <c r="F296" s="1860">
        <v>0.15</v>
      </c>
    </row>
    <row r="297" spans="1:6" ht="14.25" thickBot="1">
      <c r="A297" s="1854" t="s">
        <v>1419</v>
      </c>
      <c r="B297" s="1858" t="s">
        <v>2205</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2206</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2207</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2208</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2209</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2210</v>
      </c>
      <c r="C310" s="1859">
        <v>0.15</v>
      </c>
      <c r="D310" s="1859">
        <v>0.15</v>
      </c>
      <c r="E310" s="1859">
        <v>0.15</v>
      </c>
      <c r="F310" s="1860">
        <v>0.13700000000000001</v>
      </c>
    </row>
    <row r="311" spans="1:6" ht="14.25" thickBot="1">
      <c r="A311" s="1854" t="s">
        <v>1419</v>
      </c>
      <c r="B311" s="1858" t="s">
        <v>2211</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2212</v>
      </c>
      <c r="C313" s="1859">
        <v>0.15</v>
      </c>
      <c r="D313" s="1859">
        <v>0.15</v>
      </c>
      <c r="E313" s="1859">
        <v>0.15</v>
      </c>
      <c r="F313" s="1860">
        <v>0.15</v>
      </c>
    </row>
    <row r="314" spans="1:6" ht="24.75" thickBot="1">
      <c r="A314" s="1854" t="s">
        <v>1419</v>
      </c>
      <c r="B314" s="1858" t="s">
        <v>2213</v>
      </c>
      <c r="C314" s="1868"/>
      <c r="D314" s="1868"/>
      <c r="E314" s="1868"/>
      <c r="F314" s="1860">
        <v>0.05</v>
      </c>
    </row>
    <row r="315" spans="1:6" ht="24.75" thickBot="1">
      <c r="A315" s="1854" t="s">
        <v>1419</v>
      </c>
      <c r="B315" s="1858" t="s">
        <v>2214</v>
      </c>
      <c r="C315" s="1868"/>
      <c r="D315" s="1868"/>
      <c r="E315" s="1868"/>
      <c r="F315" s="1860">
        <v>0.05</v>
      </c>
    </row>
    <row r="316" spans="1:6" ht="24.75" thickBot="1">
      <c r="A316" s="1862" t="s">
        <v>1419</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1107</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1176</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1196</v>
      </c>
      <c r="C328" s="1859">
        <v>0.15</v>
      </c>
      <c r="D328" s="1859">
        <v>0.15</v>
      </c>
      <c r="E328" s="1859">
        <v>0.15</v>
      </c>
      <c r="F328" s="1860">
        <v>0.14099999999999999</v>
      </c>
    </row>
    <row r="329" spans="1:6" ht="14.25" thickBot="1">
      <c r="A329" s="1854" t="s">
        <v>2216</v>
      </c>
      <c r="B329" s="1858" t="s">
        <v>1206</v>
      </c>
      <c r="C329" s="1859">
        <v>0.15</v>
      </c>
      <c r="D329" s="1859">
        <v>0.15</v>
      </c>
      <c r="E329" s="1859">
        <v>0.15</v>
      </c>
      <c r="F329" s="1860">
        <v>0.15</v>
      </c>
    </row>
    <row r="330" spans="1:6" ht="14.25" thickBot="1">
      <c r="A330" s="1854" t="s">
        <v>2216</v>
      </c>
      <c r="B330" s="1858" t="s">
        <v>1216</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1236</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1256</v>
      </c>
      <c r="C334" s="1859">
        <v>0.15</v>
      </c>
      <c r="D334" s="1859">
        <v>0.15</v>
      </c>
      <c r="E334" s="1859">
        <v>0.15</v>
      </c>
      <c r="F334" s="1860">
        <v>0.15</v>
      </c>
    </row>
    <row r="335" spans="1:6" ht="14.25" thickBot="1">
      <c r="A335" s="1854" t="s">
        <v>2216</v>
      </c>
      <c r="B335" s="1858" t="s">
        <v>1266</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1284</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2945</v>
      </c>
      <c r="B1" s="3079"/>
      <c r="C1" s="3079"/>
      <c r="D1" s="3079"/>
      <c r="E1" s="3079"/>
      <c r="F1" s="3079"/>
    </row>
    <row r="2" spans="1:6" ht="14.25">
      <c r="A2" s="3080" t="s">
        <v>2940</v>
      </c>
      <c r="B2" s="3081">
        <f ca="1">SUMIF(B7:B14,"&lt;&gt;#ref!",B7:B14)</f>
        <v>0</v>
      </c>
      <c r="C2" s="3080" t="s">
        <v>2941</v>
      </c>
      <c r="D2" s="3079"/>
      <c r="E2" s="3079"/>
      <c r="F2" s="3079"/>
    </row>
    <row r="3" spans="1:6" ht="14.25">
      <c r="A3" s="3080" t="s">
        <v>2973</v>
      </c>
      <c r="B3" s="3081" t="e">
        <f ca="1">ROUND(B2*10000/E3,0)</f>
        <v>#DIV/0!</v>
      </c>
      <c r="C3" s="3080" t="s">
        <v>2078</v>
      </c>
      <c r="D3" s="3080" t="s">
        <v>2942</v>
      </c>
      <c r="E3" s="3081">
        <f ca="1">SUMIF(E7:E14,"&lt;&gt;#ref!",E7:E14)</f>
        <v>0</v>
      </c>
      <c r="F3" s="3079"/>
    </row>
    <row r="4" spans="1:6" ht="14.25">
      <c r="A4" s="3080" t="s">
        <v>2949</v>
      </c>
      <c r="B4" s="3081" t="e">
        <f ca="1">ROUND(B2*10000/E4,0)</f>
        <v>#DIV/0!</v>
      </c>
      <c r="C4" s="3080" t="s">
        <v>2078</v>
      </c>
      <c r="D4" s="3080" t="s">
        <v>2950</v>
      </c>
      <c r="E4" s="3081">
        <f ca="1">SUMIF(F7:F14,"&lt;&gt;#ref!",F7:F14)</f>
        <v>0</v>
      </c>
      <c r="F4" s="3079"/>
    </row>
    <row r="5" spans="1:6" ht="14.25">
      <c r="A5" s="3082"/>
      <c r="B5" s="1880"/>
      <c r="C5" s="1880"/>
      <c r="D5" s="1880"/>
      <c r="E5" s="1880"/>
      <c r="F5" s="3079"/>
    </row>
    <row r="6" spans="1:6" ht="28.5">
      <c r="A6" s="3083" t="s">
        <v>2946</v>
      </c>
      <c r="B6" s="3080" t="s">
        <v>2943</v>
      </c>
      <c r="C6" s="3081"/>
      <c r="D6" s="1880"/>
      <c r="E6" s="3080" t="s">
        <v>2944</v>
      </c>
      <c r="F6" s="3080" t="s">
        <v>2948</v>
      </c>
    </row>
    <row r="7" spans="1:6" ht="14.25">
      <c r="A7" s="260" t="s">
        <v>2947</v>
      </c>
      <c r="B7" s="3084" t="e">
        <f ca="1">SUMIF(INDIRECT("'"&amp;A7&amp;"'"&amp;"!A:A"),"总价",INDIRECT("'"&amp;A7&amp;"'"&amp;"!B:B"))</f>
        <v>#REF!</v>
      </c>
      <c r="C7" s="3080" t="s">
        <v>2941</v>
      </c>
      <c r="D7" s="1880"/>
      <c r="E7" s="3085" t="e">
        <f ca="1">SUMIF(INDIRECT("'"&amp;A7&amp;"'"&amp;"!C:C"),"建筑面积",INDIRECT("'"&amp;A7&amp;"'"&amp;"!D:D"))</f>
        <v>#REF!</v>
      </c>
      <c r="F7" s="3085" t="e">
        <f ca="1">SUMIF(INDIRECT("'"&amp;A7&amp;"'"&amp;"!E:E"),"土地面积",INDIRECT("'"&amp;A7&amp;"'"&amp;"!F:F"))</f>
        <v>#REF!</v>
      </c>
    </row>
    <row r="8" spans="1:6" ht="14.25">
      <c r="A8" s="260"/>
      <c r="B8" s="3084" t="e">
        <f t="shared" ref="B8:B14" ca="1" si="0">SUMIF(INDIRECT("'"&amp;A8&amp;"'"&amp;"!A:A"),"总价",INDIRECT("'"&amp;A8&amp;"'"&amp;"!B:B"))</f>
        <v>#REF!</v>
      </c>
      <c r="C8" s="3080" t="s">
        <v>2941</v>
      </c>
      <c r="D8" s="1880"/>
      <c r="E8" s="3085" t="e">
        <f t="shared" ref="E8:E14" ca="1" si="1">SUMIF(INDIRECT("'"&amp;A8&amp;"'"&amp;"!C:C"),"建筑面积",INDIRECT("'"&amp;A8&amp;"'"&amp;"!D:D"))</f>
        <v>#REF!</v>
      </c>
      <c r="F8" s="3085" t="e">
        <f t="shared" ref="F8:F14" ca="1" si="2">SUMIF(INDIRECT("'"&amp;A8&amp;"'"&amp;"!E:E"),"土地面积",INDIRECT("'"&amp;A8&amp;"'"&amp;"!F:F"))</f>
        <v>#REF!</v>
      </c>
    </row>
    <row r="9" spans="1:6" ht="14.25">
      <c r="A9" s="260"/>
      <c r="B9" s="3084" t="e">
        <f t="shared" ca="1" si="0"/>
        <v>#REF!</v>
      </c>
      <c r="C9" s="3080" t="s">
        <v>2941</v>
      </c>
      <c r="D9" s="1880"/>
      <c r="E9" s="3085" t="e">
        <f t="shared" ca="1" si="1"/>
        <v>#REF!</v>
      </c>
      <c r="F9" s="3085" t="e">
        <f t="shared" ca="1" si="2"/>
        <v>#REF!</v>
      </c>
    </row>
    <row r="10" spans="1:6" ht="14.25">
      <c r="A10" s="260"/>
      <c r="B10" s="3084" t="e">
        <f t="shared" ca="1" si="0"/>
        <v>#REF!</v>
      </c>
      <c r="C10" s="3080" t="s">
        <v>2941</v>
      </c>
      <c r="D10" s="1880"/>
      <c r="E10" s="3085" t="e">
        <f t="shared" ca="1" si="1"/>
        <v>#REF!</v>
      </c>
      <c r="F10" s="3085" t="e">
        <f t="shared" ca="1" si="2"/>
        <v>#REF!</v>
      </c>
    </row>
    <row r="11" spans="1:6" ht="14.25">
      <c r="A11" s="260"/>
      <c r="B11" s="3084" t="e">
        <f t="shared" ca="1" si="0"/>
        <v>#REF!</v>
      </c>
      <c r="C11" s="3080" t="s">
        <v>2941</v>
      </c>
      <c r="D11" s="1880"/>
      <c r="E11" s="3085" t="e">
        <f t="shared" ca="1" si="1"/>
        <v>#REF!</v>
      </c>
      <c r="F11" s="3085" t="e">
        <f t="shared" ca="1" si="2"/>
        <v>#REF!</v>
      </c>
    </row>
    <row r="12" spans="1:6" ht="14.25">
      <c r="A12" s="260"/>
      <c r="B12" s="3084" t="e">
        <f t="shared" ca="1" si="0"/>
        <v>#REF!</v>
      </c>
      <c r="C12" s="3080" t="s">
        <v>2941</v>
      </c>
      <c r="D12" s="1880"/>
      <c r="E12" s="3085" t="e">
        <f t="shared" ca="1" si="1"/>
        <v>#REF!</v>
      </c>
      <c r="F12" s="3085" t="e">
        <f t="shared" ca="1" si="2"/>
        <v>#REF!</v>
      </c>
    </row>
    <row r="13" spans="1:6" ht="14.25">
      <c r="A13" s="260"/>
      <c r="B13" s="3084" t="e">
        <f t="shared" ca="1" si="0"/>
        <v>#REF!</v>
      </c>
      <c r="C13" s="3080" t="s">
        <v>2941</v>
      </c>
      <c r="D13" s="1880"/>
      <c r="E13" s="3085" t="e">
        <f t="shared" ca="1" si="1"/>
        <v>#REF!</v>
      </c>
      <c r="F13" s="3085" t="e">
        <f t="shared" ca="1" si="2"/>
        <v>#REF!</v>
      </c>
    </row>
    <row r="14" spans="1:6" ht="14.25">
      <c r="A14" s="3078"/>
      <c r="B14" s="3084" t="e">
        <f t="shared" ca="1" si="0"/>
        <v>#REF!</v>
      </c>
      <c r="C14" s="3080" t="s">
        <v>2941</v>
      </c>
      <c r="D14" s="1880"/>
      <c r="E14" s="3085" t="e">
        <f t="shared" ca="1" si="1"/>
        <v>#REF!</v>
      </c>
      <c r="F14" s="3085"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627</v>
      </c>
      <c r="B1" s="738"/>
      <c r="C1" s="773"/>
      <c r="D1" s="2049"/>
      <c r="E1" s="2365" t="s">
        <v>2374</v>
      </c>
      <c r="F1" s="2366">
        <f ca="1">J54</f>
        <v>-1.5</v>
      </c>
      <c r="G1" s="774">
        <f>MATCH(C1,'数据-取费表'!A6:A16,0)+5</f>
        <v>10</v>
      </c>
      <c r="H1" s="1349"/>
      <c r="I1" s="2050"/>
      <c r="J1" s="2050"/>
      <c r="K1" s="2051"/>
      <c r="L1" s="2050"/>
      <c r="M1" s="2050"/>
      <c r="N1" s="2052"/>
      <c r="O1" s="2052"/>
      <c r="P1" s="2052"/>
      <c r="Q1" s="2052"/>
      <c r="R1" s="2052"/>
      <c r="S1" s="2052"/>
      <c r="T1" s="2052"/>
      <c r="U1" s="2052"/>
      <c r="V1" s="2052"/>
      <c r="W1" s="2052"/>
      <c r="X1" s="2052"/>
      <c r="Y1" s="2052"/>
    </row>
    <row r="2" spans="1:25" ht="18" customHeight="1">
      <c r="A2" s="1643" t="s">
        <v>628</v>
      </c>
      <c r="B2" s="775">
        <f ca="1">IF(ISERROR(C45+J31),0,C45+J31)</f>
        <v>0</v>
      </c>
      <c r="C2" s="1350"/>
      <c r="D2" s="2054"/>
      <c r="E2" s="2055"/>
      <c r="F2" s="2055"/>
      <c r="G2" s="1589"/>
      <c r="H2" s="1362"/>
      <c r="I2" s="2056"/>
      <c r="J2" s="2056"/>
      <c r="K2" s="2057"/>
      <c r="L2" s="2056"/>
      <c r="M2" s="2056"/>
    </row>
    <row r="3" spans="1:25" ht="18" customHeight="1">
      <c r="A3" s="1644" t="s">
        <v>1686</v>
      </c>
      <c r="B3" s="1390">
        <f ca="1">ROUND(B2*10000/'数据-汇总表'!E3,0)</f>
        <v>0</v>
      </c>
      <c r="C3" s="1350"/>
      <c r="D3" s="2054"/>
      <c r="E3" s="2055"/>
      <c r="F3" s="2055"/>
      <c r="G3" s="1589"/>
      <c r="H3" s="776" t="s">
        <v>694</v>
      </c>
      <c r="I3" s="2056"/>
      <c r="J3" s="2056"/>
      <c r="K3" s="2057"/>
      <c r="L3" s="2056"/>
      <c r="M3" s="2056"/>
    </row>
    <row r="4" spans="1:25" ht="18" customHeight="1">
      <c r="A4" s="1645" t="s">
        <v>695</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696</v>
      </c>
      <c r="D5" s="2054"/>
      <c r="E5" s="2055"/>
      <c r="F5" s="2055"/>
      <c r="G5" s="1589"/>
      <c r="H5" s="776"/>
      <c r="I5" s="2056"/>
      <c r="J5" s="2056"/>
      <c r="K5" s="2057"/>
      <c r="L5" s="2056"/>
      <c r="M5" s="2056"/>
    </row>
    <row r="6" spans="1:25" ht="18" customHeight="1">
      <c r="A6" s="1827" t="s">
        <v>697</v>
      </c>
      <c r="B6" s="1819" t="s">
        <v>698</v>
      </c>
      <c r="C6" s="1819" t="s">
        <v>631</v>
      </c>
      <c r="D6" s="1819" t="s">
        <v>632</v>
      </c>
      <c r="E6" s="779" t="s">
        <v>633</v>
      </c>
      <c r="F6" s="780"/>
      <c r="G6" s="1591"/>
      <c r="H6" s="1827" t="s">
        <v>629</v>
      </c>
      <c r="I6" s="1819" t="s">
        <v>630</v>
      </c>
      <c r="J6" s="1819" t="s">
        <v>631</v>
      </c>
      <c r="K6" s="1819" t="s">
        <v>632</v>
      </c>
      <c r="L6" s="779" t="s">
        <v>633</v>
      </c>
      <c r="M6" s="780"/>
    </row>
    <row r="7" spans="1:25" ht="18" customHeight="1">
      <c r="A7" s="781">
        <v>1</v>
      </c>
      <c r="B7" s="782" t="s">
        <v>2458</v>
      </c>
      <c r="C7" s="53">
        <f ca="1">C8+C12+C14</f>
        <v>0</v>
      </c>
      <c r="D7" s="2474" t="s">
        <v>2461</v>
      </c>
      <c r="E7" s="2468"/>
      <c r="F7" s="2469"/>
      <c r="G7" s="1591"/>
      <c r="H7" s="781">
        <v>1</v>
      </c>
      <c r="I7" s="782" t="s">
        <v>2458</v>
      </c>
      <c r="J7" s="53">
        <f ca="1">J8+J12+J14</f>
        <v>0</v>
      </c>
      <c r="K7" s="2474" t="s">
        <v>2461</v>
      </c>
      <c r="L7" s="2468"/>
      <c r="M7" s="2469"/>
    </row>
    <row r="8" spans="1:25" ht="18" customHeight="1">
      <c r="A8" s="1829" t="s">
        <v>1824</v>
      </c>
      <c r="B8" s="3467" t="s">
        <v>2463</v>
      </c>
      <c r="C8" s="1824">
        <f ca="1">ROUND(F8*F10*F9*(1-F11)/10000,0)</f>
        <v>0</v>
      </c>
      <c r="D8" s="1821" t="s">
        <v>2534</v>
      </c>
      <c r="E8" s="61" t="s">
        <v>636</v>
      </c>
      <c r="F8" s="785">
        <f ca="1">INDIRECT("'数据-取费表'!u"&amp;$G$1)</f>
        <v>0</v>
      </c>
      <c r="G8" s="1591"/>
      <c r="H8" s="2482" t="s">
        <v>1824</v>
      </c>
      <c r="I8" s="3467" t="s">
        <v>2463</v>
      </c>
      <c r="J8" s="783">
        <f ca="1">ROUND(M8*M10*M9*(1-M11)/10000,0)</f>
        <v>0</v>
      </c>
      <c r="K8" s="341" t="s">
        <v>2534</v>
      </c>
      <c r="L8" s="784" t="s">
        <v>1738</v>
      </c>
      <c r="M8" s="785">
        <f ca="1">INDIRECT("'数据-取费表'!z"&amp;$G$1)</f>
        <v>0</v>
      </c>
    </row>
    <row r="9" spans="1:25" ht="18" customHeight="1">
      <c r="A9" s="2478"/>
      <c r="B9" s="3468"/>
      <c r="C9" s="1825"/>
      <c r="D9" s="1822"/>
      <c r="E9" s="61" t="s">
        <v>637</v>
      </c>
      <c r="F9" s="785">
        <f ca="1">IF(INDIRECT("'数据-取费表'!ah"&amp;$G$1)="",INDIRECT("'数据-取费表'!k"&amp;$G$1),INDIRECT("'数据-取费表'!ah"&amp;$G$1))</f>
        <v>0</v>
      </c>
      <c r="G9" s="1591"/>
      <c r="H9" s="2467"/>
      <c r="I9" s="3468"/>
      <c r="J9" s="788"/>
      <c r="K9" s="789"/>
      <c r="L9" s="784" t="s">
        <v>1739</v>
      </c>
      <c r="M9" s="785">
        <f ca="1">F9</f>
        <v>0</v>
      </c>
    </row>
    <row r="10" spans="1:25" ht="18" customHeight="1">
      <c r="A10" s="2471"/>
      <c r="B10" s="3469"/>
      <c r="C10" s="1825"/>
      <c r="D10" s="1822"/>
      <c r="E10" s="61" t="s">
        <v>638</v>
      </c>
      <c r="F10" s="785">
        <f ca="1">INDIRECT("'数据-取费表'!ai"&amp;$G$1)</f>
        <v>0</v>
      </c>
      <c r="G10" s="1591"/>
      <c r="H10" s="2467"/>
      <c r="I10" s="3469"/>
      <c r="J10" s="788"/>
      <c r="K10" s="789"/>
      <c r="L10" s="784" t="s">
        <v>1740</v>
      </c>
      <c r="M10" s="785">
        <f ca="1">INDIRECT("'数据-取费表'!ai"&amp;$G$1)</f>
        <v>0</v>
      </c>
    </row>
    <row r="11" spans="1:25" ht="18" customHeight="1">
      <c r="A11" s="786"/>
      <c r="B11" s="3470"/>
      <c r="C11" s="1825"/>
      <c r="D11" s="1822"/>
      <c r="E11" s="61" t="s">
        <v>639</v>
      </c>
      <c r="F11" s="794">
        <f ca="1">INDIRECT("'数据-取费表'!w"&amp;$G$1)</f>
        <v>0</v>
      </c>
      <c r="G11" s="1591"/>
      <c r="H11" s="2483"/>
      <c r="I11" s="3469"/>
      <c r="J11" s="788"/>
      <c r="K11" s="789"/>
      <c r="L11" s="795" t="s">
        <v>1741</v>
      </c>
      <c r="M11" s="796">
        <f ca="1">INDIRECT("'数据-取费表'!ab"&amp;$G$1)</f>
        <v>0</v>
      </c>
    </row>
    <row r="12" spans="1:25" ht="18" customHeight="1">
      <c r="A12" s="1829" t="s">
        <v>1825</v>
      </c>
      <c r="B12" s="2472" t="s">
        <v>2459</v>
      </c>
      <c r="C12" s="799">
        <f ca="1">ROUND(IF(F12="押一",C8/12*F13,IF(F12="押二",C8/12*2*F13,IF(F12="押三",C8/12*3*F13,C13*F13))),0)</f>
        <v>0</v>
      </c>
      <c r="D12" s="2479" t="s">
        <v>2970</v>
      </c>
      <c r="E12" s="2476" t="s">
        <v>2464</v>
      </c>
      <c r="F12" s="2599"/>
      <c r="G12" s="1591"/>
      <c r="H12" s="2539" t="s">
        <v>1825</v>
      </c>
      <c r="I12" s="2544" t="s">
        <v>2459</v>
      </c>
      <c r="J12" s="783">
        <f ca="1">ROUND(IF(M12="押一",J8/12*M13,IF(M12="押二",J8/12*2*M13,IF(M12="押三",J8/12*3*M13,J13*M13))),0)</f>
        <v>0</v>
      </c>
      <c r="K12" s="2479" t="s">
        <v>2970</v>
      </c>
      <c r="L12" s="2476" t="s">
        <v>2464</v>
      </c>
      <c r="M12" s="2599"/>
    </row>
    <row r="13" spans="1:25" ht="18" customHeight="1">
      <c r="A13" s="790"/>
      <c r="B13" s="2473" t="s">
        <v>2573</v>
      </c>
      <c r="C13" s="2477"/>
      <c r="D13" s="789"/>
      <c r="E13" s="2476" t="s">
        <v>2456</v>
      </c>
      <c r="F13" s="796">
        <f ca="1">'数据-取费表'!B39</f>
        <v>1.4999999999999999E-2</v>
      </c>
      <c r="G13" s="1591"/>
      <c r="H13" s="2540"/>
      <c r="I13" s="2473" t="s">
        <v>2573</v>
      </c>
      <c r="J13" s="2477"/>
      <c r="K13" s="2541"/>
      <c r="L13" s="2476" t="s">
        <v>2456</v>
      </c>
      <c r="M13" s="2470">
        <f ca="1">'数据-取费表'!B39</f>
        <v>1.4999999999999999E-2</v>
      </c>
    </row>
    <row r="14" spans="1:25" ht="18" customHeight="1" thickBot="1">
      <c r="A14" s="2515" t="s">
        <v>2467</v>
      </c>
      <c r="B14" s="2516" t="s">
        <v>2460</v>
      </c>
      <c r="C14" s="2517"/>
      <c r="D14" s="2518"/>
      <c r="E14" s="2519"/>
      <c r="F14" s="2520"/>
      <c r="G14" s="1591"/>
      <c r="H14" s="2529" t="s">
        <v>2467</v>
      </c>
      <c r="I14" s="2542" t="s">
        <v>2460</v>
      </c>
      <c r="J14" s="2543"/>
      <c r="K14" s="2518"/>
      <c r="L14" s="2519"/>
      <c r="M14" s="2532"/>
    </row>
    <row r="15" spans="1:25" ht="18" customHeight="1" thickTop="1">
      <c r="A15" s="1828" t="s">
        <v>1874</v>
      </c>
      <c r="B15" s="1826" t="s">
        <v>640</v>
      </c>
      <c r="C15" s="792">
        <f ca="1">ROUND(C31*F15,0)</f>
        <v>0</v>
      </c>
      <c r="D15" s="1833" t="s">
        <v>641</v>
      </c>
      <c r="E15" s="795" t="s">
        <v>642</v>
      </c>
      <c r="F15" s="800">
        <f ca="1">INDIRECT("'数据-取费表'!y"&amp;$G$1)</f>
        <v>0</v>
      </c>
      <c r="G15" s="1591"/>
      <c r="H15" s="1828" t="s">
        <v>1826</v>
      </c>
      <c r="I15" s="1826" t="s">
        <v>643</v>
      </c>
      <c r="J15" s="1818">
        <f ca="1">ROUND(J16*J17,0)</f>
        <v>0</v>
      </c>
      <c r="K15" s="1820" t="s">
        <v>641</v>
      </c>
      <c r="L15" s="801"/>
      <c r="M15" s="802"/>
    </row>
    <row r="16" spans="1:25" ht="18" customHeight="1">
      <c r="A16" s="803" t="s">
        <v>1875</v>
      </c>
      <c r="B16" s="784" t="s">
        <v>644</v>
      </c>
      <c r="C16" s="804">
        <f ca="1">INDIRECT("'数据-取费表'!m"&amp;$G$1)+INDIRECT("'数据-取费表'!t"&amp;$G$1)</f>
        <v>0</v>
      </c>
      <c r="D16" s="1978" t="s">
        <v>645</v>
      </c>
      <c r="E16" s="1979"/>
      <c r="F16" s="805"/>
      <c r="G16" s="1591"/>
      <c r="H16" s="803" t="s">
        <v>2069</v>
      </c>
      <c r="I16" s="2230" t="s">
        <v>2824</v>
      </c>
      <c r="J16" s="53">
        <f ca="1">C31</f>
        <v>0</v>
      </c>
      <c r="K16" s="26"/>
      <c r="L16" s="801"/>
      <c r="M16" s="802"/>
    </row>
    <row r="17" spans="1:25" s="2063" customFormat="1" ht="18" customHeight="1">
      <c r="A17" s="803" t="s">
        <v>1849</v>
      </c>
      <c r="B17" s="784" t="s">
        <v>646</v>
      </c>
      <c r="C17" s="53">
        <f ca="1">ROUND(C16*F17,0)</f>
        <v>0</v>
      </c>
      <c r="D17" s="806" t="s">
        <v>647</v>
      </c>
      <c r="E17" s="806" t="s">
        <v>648</v>
      </c>
      <c r="F17" s="807">
        <f>'数据-取费表'!B33</f>
        <v>0.03</v>
      </c>
      <c r="G17" s="1592"/>
      <c r="H17" s="803" t="s">
        <v>2070</v>
      </c>
      <c r="I17" s="784" t="s">
        <v>642</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1"/>
      <c r="M18" s="56"/>
    </row>
    <row r="19" spans="1:25" s="2063"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2069</v>
      </c>
      <c r="I19" s="784" t="s">
        <v>655</v>
      </c>
      <c r="J19" s="53">
        <f ca="1">ROUND(IF(项目基本情况!B11="自然人",J7*M19,J20+J21+J22),0)</f>
        <v>0</v>
      </c>
      <c r="K19" s="1978" t="s">
        <v>656</v>
      </c>
      <c r="L19" s="1976" t="s">
        <v>657</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6" t="s">
        <v>660</v>
      </c>
      <c r="L20" s="784" t="s">
        <v>648</v>
      </c>
      <c r="M20" s="809">
        <f>'数据-取费表'!B41</f>
        <v>5.6000000000000001E-2</v>
      </c>
      <c r="N20" s="2062"/>
      <c r="O20" s="2062"/>
      <c r="P20" s="2062"/>
      <c r="Q20" s="2062"/>
      <c r="R20" s="2062"/>
      <c r="S20" s="2062"/>
      <c r="T20" s="2062"/>
      <c r="U20" s="2062"/>
      <c r="V20" s="2062"/>
      <c r="W20" s="2062"/>
      <c r="X20" s="2062"/>
      <c r="Y20" s="2062"/>
    </row>
    <row r="21" spans="1:25" ht="18" customHeight="1">
      <c r="A21" s="803" t="s">
        <v>1876</v>
      </c>
      <c r="B21" s="784" t="s">
        <v>661</v>
      </c>
      <c r="C21" s="53">
        <f ca="1">SUM(C16:C20)</f>
        <v>0</v>
      </c>
      <c r="D21" s="261" t="s">
        <v>662</v>
      </c>
      <c r="E21" s="1981"/>
      <c r="F21" s="56"/>
      <c r="G21" s="1591"/>
      <c r="H21" s="1829" t="s">
        <v>1849</v>
      </c>
      <c r="I21" s="784" t="s">
        <v>663</v>
      </c>
      <c r="J21" s="53">
        <f ca="1">IF(K21="按租金收入计税",ROUND(J7*M21,1),ROUND(C31*F35*0.7,1))</f>
        <v>0</v>
      </c>
      <c r="K21" s="811" t="s">
        <v>664</v>
      </c>
      <c r="L21" s="784" t="s">
        <v>648</v>
      </c>
      <c r="M21" s="809">
        <f>IF(K21="按租金收入计税",'数据-取费表'!B51,'数据-取费表'!B50)</f>
        <v>1.2E-2</v>
      </c>
    </row>
    <row r="22" spans="1:25" s="2063" customFormat="1" ht="18" customHeight="1">
      <c r="A22" s="803" t="s">
        <v>1877</v>
      </c>
      <c r="B22" s="784" t="s">
        <v>665</v>
      </c>
      <c r="C22" s="53">
        <f ca="1">ROUND(C21*F22,0)</f>
        <v>0</v>
      </c>
      <c r="D22" s="812" t="s">
        <v>666</v>
      </c>
      <c r="E22" s="784" t="s">
        <v>648</v>
      </c>
      <c r="F22" s="809">
        <f>'数据-取费表'!B37</f>
        <v>0.02</v>
      </c>
      <c r="G22" s="1592"/>
      <c r="H22" s="1831" t="s">
        <v>1850</v>
      </c>
      <c r="I22" s="1821" t="s">
        <v>667</v>
      </c>
      <c r="J22" s="54">
        <f ca="1">ROUND(M22*M23/10000,0)</f>
        <v>0</v>
      </c>
      <c r="K22" s="814" t="s">
        <v>668</v>
      </c>
      <c r="L22" s="784" t="s">
        <v>669</v>
      </c>
      <c r="M22" s="640">
        <f>'数据-取费表'!B52</f>
        <v>1.5</v>
      </c>
      <c r="N22" s="2062"/>
      <c r="O22" s="2062"/>
      <c r="P22" s="2062"/>
      <c r="Q22" s="2062"/>
      <c r="R22" s="2062"/>
      <c r="S22" s="2062"/>
      <c r="T22" s="2062"/>
      <c r="U22" s="2062"/>
      <c r="V22" s="2062"/>
      <c r="W22" s="2062"/>
      <c r="X22" s="2062"/>
      <c r="Y22" s="2062"/>
    </row>
    <row r="23" spans="1:25" s="2063" customFormat="1" ht="18" customHeight="1">
      <c r="A23" s="803" t="s">
        <v>1878</v>
      </c>
      <c r="B23" s="784" t="s">
        <v>670</v>
      </c>
      <c r="C23" s="53" t="s">
        <v>1</v>
      </c>
      <c r="D23" s="812" t="s">
        <v>671</v>
      </c>
      <c r="E23" s="784" t="s">
        <v>672</v>
      </c>
      <c r="F23" s="809">
        <f>'数据-取费表'!B38</f>
        <v>0.02</v>
      </c>
      <c r="G23" s="1592"/>
      <c r="H23" s="1832"/>
      <c r="I23" s="1823"/>
      <c r="J23" s="69"/>
      <c r="K23" s="816"/>
      <c r="L23" s="784" t="s">
        <v>673</v>
      </c>
      <c r="M23" s="785">
        <f ca="1">INDIRECT("'数据-取费表'!r"&amp;$G$1)</f>
        <v>0</v>
      </c>
      <c r="N23" s="2062"/>
      <c r="O23" s="2062"/>
      <c r="P23" s="2062"/>
      <c r="Q23" s="2062"/>
      <c r="R23" s="2062"/>
      <c r="S23" s="2062"/>
      <c r="T23" s="2062"/>
      <c r="U23" s="2062"/>
      <c r="V23" s="2062"/>
      <c r="W23" s="2062"/>
      <c r="X23" s="2062"/>
      <c r="Y23" s="2062"/>
    </row>
    <row r="24" spans="1:25" ht="18" customHeight="1">
      <c r="A24" s="803" t="s">
        <v>1879</v>
      </c>
      <c r="B24" s="784" t="s">
        <v>674</v>
      </c>
      <c r="C24" s="53"/>
      <c r="D24" s="2550" t="str">
        <f>IF(F25&lt;=1,"单利计息。","复利计息。")&amp;"建造成本、管理费用、销售费用产生的利息。"</f>
        <v>复利计息。建造成本、管理费用、销售费用产生的利息。</v>
      </c>
      <c r="E24" s="1981"/>
      <c r="F24" s="56"/>
      <c r="G24" s="1591"/>
      <c r="H24" s="1830" t="s">
        <v>2070</v>
      </c>
      <c r="I24" s="784" t="s">
        <v>675</v>
      </c>
      <c r="J24" s="53">
        <f ca="1">ROUND(J16*M24,0)</f>
        <v>0</v>
      </c>
      <c r="K24" s="1976" t="s">
        <v>676</v>
      </c>
      <c r="L24" s="784" t="s">
        <v>648</v>
      </c>
      <c r="M24" s="817">
        <f ca="1">INDIRECT("'数据-取费表'!Ak"&amp;$G$1)</f>
        <v>0</v>
      </c>
    </row>
    <row r="25" spans="1:25" s="2063" customFormat="1" ht="18" customHeight="1">
      <c r="A25" s="803" t="s">
        <v>1875</v>
      </c>
      <c r="B25" s="784" t="s">
        <v>2437</v>
      </c>
      <c r="C25" s="53">
        <f ca="1">ROUND(IF('数据-取费表'!B22&lt;=1,(C21+C22)*F26*F25/2,(C21+C22)*(POWER((1+F26),F25/2)-1)),0)</f>
        <v>0</v>
      </c>
      <c r="D25" s="2549" t="str">
        <f>IF(F25&lt;=1,"(建造成本+管理费用)×利率×(建设周期÷2)","(建造成本+管理费用)×((1+利率)^(建设周期÷2)-1)")</f>
        <v>(建造成本+管理费用)×((1+利率)^(建设周期÷2)-1)</v>
      </c>
      <c r="E25" s="784" t="s">
        <v>677</v>
      </c>
      <c r="F25" s="640">
        <f>'数据-取费表'!B20</f>
        <v>1.5</v>
      </c>
      <c r="G25" s="1592"/>
      <c r="H25" s="803" t="s">
        <v>1878</v>
      </c>
      <c r="I25" s="784" t="s">
        <v>678</v>
      </c>
      <c r="J25" s="53">
        <f ca="1">ROUND(J15*M25,0)</f>
        <v>0</v>
      </c>
      <c r="K25" s="1976" t="s">
        <v>679</v>
      </c>
      <c r="L25" s="784" t="s">
        <v>648</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1849</v>
      </c>
      <c r="B26" s="784" t="s">
        <v>680</v>
      </c>
      <c r="C26" s="53">
        <f ca="1">ROUND(IF('数据-取费表'!B22&lt;=1,F23*F26*F25/2,F23*(POWER((1+F26),F25/2)-1)),4)</f>
        <v>6.9999999999999999E-4</v>
      </c>
      <c r="D26" s="2549"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6" t="s">
        <v>682</v>
      </c>
      <c r="L26" s="784" t="s">
        <v>648</v>
      </c>
      <c r="M26" s="794">
        <f ca="1">INDIRECT("'数据-取费表'!Am"&amp;$G$1)</f>
        <v>0</v>
      </c>
      <c r="N26" s="2062"/>
      <c r="O26" s="2062"/>
      <c r="P26" s="2062"/>
      <c r="Q26" s="2062"/>
      <c r="R26" s="2062"/>
      <c r="S26" s="2062"/>
      <c r="T26" s="2062"/>
      <c r="U26" s="2062"/>
      <c r="V26" s="2062"/>
      <c r="W26" s="2062"/>
      <c r="X26" s="2062"/>
      <c r="Y26" s="2062"/>
    </row>
    <row r="27" spans="1:25" ht="18" customHeight="1">
      <c r="A27" s="803" t="s">
        <v>1881</v>
      </c>
      <c r="B27" s="784" t="s">
        <v>683</v>
      </c>
      <c r="C27" s="53"/>
      <c r="D27" s="261" t="s">
        <v>684</v>
      </c>
      <c r="E27" s="1981"/>
      <c r="F27" s="56"/>
      <c r="G27" s="1591"/>
      <c r="H27" s="797" t="s">
        <v>1828</v>
      </c>
      <c r="I27" s="2985" t="s">
        <v>2821</v>
      </c>
      <c r="J27" s="799">
        <f ca="1">J7-J18</f>
        <v>0</v>
      </c>
      <c r="K27" s="1978" t="s">
        <v>699</v>
      </c>
      <c r="L27" s="1980"/>
      <c r="M27" s="820"/>
    </row>
    <row r="28" spans="1:25" ht="18" customHeight="1">
      <c r="A28" s="803" t="s">
        <v>1875</v>
      </c>
      <c r="B28" s="784" t="s">
        <v>2438</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3" customFormat="1" ht="18" customHeight="1">
      <c r="A30" s="803" t="s">
        <v>1882</v>
      </c>
      <c r="B30" s="784" t="s">
        <v>686</v>
      </c>
      <c r="C30" s="53">
        <f>ROUND(F30/(1+'数据-取费表'!C42),4)</f>
        <v>5.33E-2</v>
      </c>
      <c r="D30" s="812" t="s">
        <v>708</v>
      </c>
      <c r="E30" s="784" t="s">
        <v>648</v>
      </c>
      <c r="F30" s="809">
        <f>'数据-取费表'!B41</f>
        <v>5.6000000000000001E-2</v>
      </c>
      <c r="G30" s="1592"/>
      <c r="H30" s="790"/>
      <c r="I30" s="791"/>
      <c r="J30" s="792"/>
      <c r="K30" s="816"/>
      <c r="L30" s="784" t="s">
        <v>709</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1883</v>
      </c>
      <c r="B31" s="2519" t="s">
        <v>2822</v>
      </c>
      <c r="C31" s="2522">
        <f ca="1">ROUND((C21+C22+C25+C28)/(1-F23-C26-C29-C30),0)</f>
        <v>0</v>
      </c>
      <c r="D31" s="2523"/>
      <c r="E31" s="2524"/>
      <c r="F31" s="2525"/>
      <c r="G31" s="1592"/>
      <c r="H31" s="823" t="s">
        <v>1872</v>
      </c>
      <c r="I31" s="2986" t="s">
        <v>2823</v>
      </c>
      <c r="J31" s="825">
        <f ca="1">ROUND(J28/(1+F45)^F46,0)</f>
        <v>0</v>
      </c>
      <c r="K31" s="826" t="s">
        <v>687</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688</v>
      </c>
      <c r="C32" s="792">
        <f ca="1">ROUND(C33+C38+C39+C40,0)</f>
        <v>0</v>
      </c>
      <c r="D32" s="1820" t="s">
        <v>651</v>
      </c>
      <c r="E32" s="2465"/>
      <c r="F32" s="2469"/>
      <c r="G32" s="2061"/>
      <c r="H32" s="2064"/>
      <c r="I32" s="2065"/>
      <c r="J32" s="2066"/>
      <c r="K32" s="2067"/>
      <c r="L32" s="2068"/>
      <c r="M32" s="2069"/>
    </row>
    <row r="33" spans="1:18" ht="18" customHeight="1">
      <c r="A33" s="803" t="s">
        <v>1876</v>
      </c>
      <c r="B33" s="784" t="s">
        <v>655</v>
      </c>
      <c r="C33" s="53">
        <f ca="1">ROUND(IF(项目基本情况!B11="自然人",C7*F33,C34+C35+C36),1)</f>
        <v>0</v>
      </c>
      <c r="D33" s="1978" t="s">
        <v>656</v>
      </c>
      <c r="E33" s="1976" t="s">
        <v>689</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1875</v>
      </c>
      <c r="B34" s="784" t="s">
        <v>659</v>
      </c>
      <c r="C34" s="53">
        <f ca="1">ROUND(C7*F34/1.05,1)</f>
        <v>0</v>
      </c>
      <c r="D34" s="1976" t="s">
        <v>660</v>
      </c>
      <c r="E34" s="784" t="s">
        <v>648</v>
      </c>
      <c r="F34" s="809">
        <f>'数据-取费表'!B41</f>
        <v>5.6000000000000001E-2</v>
      </c>
      <c r="G34" s="2061"/>
      <c r="H34" s="2070"/>
      <c r="I34" s="2071"/>
      <c r="J34" s="2072"/>
      <c r="K34" s="2073"/>
      <c r="L34" s="2074"/>
      <c r="M34" s="2075"/>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1"/>
      <c r="H35" s="2076"/>
      <c r="I35" s="2076"/>
      <c r="J35" s="2076"/>
      <c r="K35" s="2077"/>
      <c r="L35" s="2076"/>
      <c r="M35" s="2076"/>
    </row>
    <row r="36" spans="1:18" ht="18" customHeight="1">
      <c r="A36" s="813" t="s">
        <v>1880</v>
      </c>
      <c r="B36" s="341" t="s">
        <v>667</v>
      </c>
      <c r="C36" s="54">
        <f ca="1">ROUND(F36*F37/10000,1)</f>
        <v>0</v>
      </c>
      <c r="D36" s="814" t="s">
        <v>668</v>
      </c>
      <c r="E36" s="784" t="s">
        <v>669</v>
      </c>
      <c r="F36" s="640">
        <f>'数据-取费表'!B52</f>
        <v>1.5</v>
      </c>
      <c r="G36" s="2061"/>
      <c r="H36" s="2064"/>
      <c r="I36" s="3466"/>
      <c r="J36" s="2078"/>
      <c r="K36" s="2079"/>
      <c r="L36" s="2078"/>
      <c r="M36" s="2078"/>
    </row>
    <row r="37" spans="1:18" ht="18" customHeight="1">
      <c r="A37" s="815"/>
      <c r="B37" s="793"/>
      <c r="C37" s="69"/>
      <c r="D37" s="816"/>
      <c r="E37" s="784" t="s">
        <v>673</v>
      </c>
      <c r="F37" s="785">
        <f ca="1">INDIRECT("'数据-取费表'!r"&amp;$G$1)</f>
        <v>0</v>
      </c>
      <c r="G37" s="2061"/>
      <c r="H37" s="2064"/>
      <c r="I37" s="3466"/>
      <c r="J37" s="2076"/>
      <c r="K37" s="2077"/>
      <c r="L37" s="2076"/>
      <c r="M37" s="2076"/>
    </row>
    <row r="38" spans="1:18" ht="18" customHeight="1">
      <c r="A38" s="803" t="s">
        <v>1877</v>
      </c>
      <c r="B38" s="784" t="s">
        <v>675</v>
      </c>
      <c r="C38" s="53">
        <f ca="1">ROUND(C31*F38,1)</f>
        <v>0</v>
      </c>
      <c r="D38" s="1976" t="s">
        <v>690</v>
      </c>
      <c r="E38" s="784" t="s">
        <v>648</v>
      </c>
      <c r="F38" s="817">
        <f ca="1">INDIRECT("'数据-取费表'!Ak"&amp;$G$1)</f>
        <v>0</v>
      </c>
      <c r="G38" s="2061"/>
      <c r="H38" s="2076"/>
      <c r="I38" s="2080"/>
      <c r="J38" s="1987"/>
      <c r="K38" s="2081"/>
      <c r="L38" s="2076"/>
      <c r="M38" s="2076"/>
    </row>
    <row r="39" spans="1:18" ht="18" customHeight="1">
      <c r="A39" s="803" t="s">
        <v>1878</v>
      </c>
      <c r="B39" s="784" t="s">
        <v>678</v>
      </c>
      <c r="C39" s="53">
        <f ca="1">ROUND(C15*F39,1)</f>
        <v>0</v>
      </c>
      <c r="D39" s="1976" t="s">
        <v>679</v>
      </c>
      <c r="E39" s="784" t="s">
        <v>648</v>
      </c>
      <c r="F39" s="818">
        <f ca="1">INDIRECT("'数据-取费表'!Al"&amp;$G$1)</f>
        <v>0</v>
      </c>
      <c r="G39" s="2061"/>
      <c r="H39" s="2076"/>
      <c r="I39" s="2080"/>
      <c r="J39" s="1987"/>
      <c r="K39" s="2081"/>
      <c r="L39" s="2076"/>
      <c r="M39" s="2076"/>
    </row>
    <row r="40" spans="1:18" ht="18" customHeight="1" thickBot="1">
      <c r="A40" s="2538" t="s">
        <v>1879</v>
      </c>
      <c r="B40" s="2524" t="s">
        <v>665</v>
      </c>
      <c r="C40" s="2522">
        <f ca="1">ROUND(C7*F40,1)</f>
        <v>0</v>
      </c>
      <c r="D40" s="2523" t="s">
        <v>682</v>
      </c>
      <c r="E40" s="2524" t="s">
        <v>648</v>
      </c>
      <c r="F40" s="2520">
        <f ca="1">INDIRECT("'数据-取费表'!Am"&amp;$G$1)</f>
        <v>0</v>
      </c>
      <c r="G40" s="2061"/>
      <c r="H40" s="2076"/>
      <c r="I40" s="2080"/>
      <c r="J40" s="1987"/>
      <c r="K40" s="2082"/>
      <c r="L40" s="2076"/>
      <c r="M40" s="2076"/>
    </row>
    <row r="41" spans="1:18" ht="18" customHeight="1" thickTop="1">
      <c r="A41" s="1828">
        <v>4</v>
      </c>
      <c r="B41" s="1826" t="s">
        <v>691</v>
      </c>
      <c r="C41" s="1352"/>
      <c r="D41" s="1353"/>
      <c r="E41" s="1353"/>
      <c r="F41" s="1354"/>
      <c r="G41" s="2061"/>
      <c r="H41" s="2061"/>
      <c r="I41" s="2061"/>
      <c r="J41" s="2061"/>
      <c r="K41" s="2082"/>
      <c r="L41" s="2061"/>
      <c r="M41" s="2061"/>
    </row>
    <row r="42" spans="1:18" ht="18" customHeight="1">
      <c r="A42" s="803" t="s">
        <v>1876</v>
      </c>
      <c r="B42" s="835" t="s">
        <v>692</v>
      </c>
      <c r="C42" s="829">
        <f ca="1">C7-C32</f>
        <v>0</v>
      </c>
      <c r="D42" s="1978" t="s">
        <v>693</v>
      </c>
      <c r="E42" s="1980"/>
      <c r="F42" s="820"/>
      <c r="G42" s="2061"/>
      <c r="H42" s="2061"/>
      <c r="I42" s="2061"/>
      <c r="J42" s="2061"/>
      <c r="K42" s="2082"/>
      <c r="L42" s="2061"/>
      <c r="M42" s="2061"/>
    </row>
    <row r="43" spans="1:18" ht="18" customHeight="1">
      <c r="A43" s="803" t="s">
        <v>1877</v>
      </c>
      <c r="B43" s="835" t="s">
        <v>710</v>
      </c>
      <c r="C43" s="836">
        <f ca="1">ROUND(C15*F43,0)</f>
        <v>0</v>
      </c>
      <c r="D43" s="1355" t="s">
        <v>711</v>
      </c>
      <c r="E43" s="3096" t="s">
        <v>2958</v>
      </c>
      <c r="F43" s="3097">
        <f ca="1">INDIRECT("'数据-取费表'!j"&amp;$G$1)</f>
        <v>0</v>
      </c>
      <c r="G43" s="2061"/>
      <c r="H43" s="2061"/>
      <c r="I43" s="2061"/>
      <c r="J43" s="2061"/>
      <c r="K43" s="2082"/>
      <c r="L43" s="2061"/>
      <c r="M43" s="2061"/>
    </row>
    <row r="44" spans="1:18" ht="18" customHeight="1">
      <c r="A44" s="803" t="s">
        <v>1878</v>
      </c>
      <c r="B44" s="835" t="s">
        <v>712</v>
      </c>
      <c r="C44" s="1356">
        <f ca="1">C42-C43</f>
        <v>0</v>
      </c>
      <c r="D44" s="463" t="s">
        <v>713</v>
      </c>
      <c r="E44" s="464"/>
      <c r="F44" s="465"/>
      <c r="G44" s="2061"/>
      <c r="H44" s="2061"/>
      <c r="I44" s="2061"/>
      <c r="J44" s="2061"/>
      <c r="K44" s="2082"/>
      <c r="L44" s="2061"/>
      <c r="M44" s="2061"/>
    </row>
    <row r="45" spans="1:18" ht="18" customHeight="1">
      <c r="A45" s="803" t="s">
        <v>1879</v>
      </c>
      <c r="B45" s="1355" t="s">
        <v>714</v>
      </c>
      <c r="C45" s="3012">
        <f ca="1">ROUND(-PV(F45,F46,C44,0),0)</f>
        <v>0</v>
      </c>
      <c r="D45" s="1357" t="s">
        <v>715</v>
      </c>
      <c r="E45" s="806" t="s">
        <v>716</v>
      </c>
      <c r="F45" s="830">
        <f ca="1">INDIRECT("'数据-取费表'!h"&amp;$G$1)</f>
        <v>0</v>
      </c>
      <c r="G45" s="2061"/>
      <c r="H45" s="2061"/>
      <c r="I45" s="2061"/>
      <c r="J45" s="2061"/>
      <c r="K45" s="2082"/>
      <c r="L45" s="2061"/>
      <c r="M45" s="2061"/>
    </row>
    <row r="46" spans="1:18" ht="18" customHeight="1" thickBot="1">
      <c r="A46" s="831"/>
      <c r="B46" s="1358"/>
      <c r="C46" s="1359"/>
      <c r="D46" s="1360"/>
      <c r="E46" s="3098" t="s">
        <v>2961</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2343</v>
      </c>
      <c r="J47" s="2357"/>
      <c r="K47" s="2358"/>
      <c r="L47" s="3131" t="str">
        <f ca="1">IF(M48="住宅",0,IF(L49&gt;J52,L61,J61))</f>
        <v>0</v>
      </c>
      <c r="O47" s="2372" t="s">
        <v>2410</v>
      </c>
      <c r="P47" s="1591"/>
      <c r="Q47" s="1603"/>
      <c r="R47" s="1591"/>
    </row>
    <row r="48" spans="1:18" s="2058" customFormat="1" ht="18" customHeight="1" thickBot="1">
      <c r="A48" s="2083"/>
      <c r="C48" s="2086"/>
      <c r="D48" s="2087"/>
      <c r="E48" s="2087"/>
      <c r="F48" s="2088"/>
      <c r="G48" s="2089"/>
      <c r="I48" s="3121" t="s">
        <v>2344</v>
      </c>
      <c r="J48" s="2359"/>
      <c r="K48" s="3128" t="s">
        <v>2349</v>
      </c>
      <c r="L48" s="3132">
        <f ca="1">INDIRECT("'数据-取费表'!d"&amp;$G$1)</f>
        <v>0</v>
      </c>
      <c r="M48" s="3095" t="str">
        <f>IF(ISNUMBER(FIND("住宅",C1)),"住宅","非住宅")</f>
        <v>非住宅</v>
      </c>
      <c r="O48" s="2373" t="s">
        <v>2375</v>
      </c>
      <c r="P48" s="2374" t="s">
        <v>2376</v>
      </c>
      <c r="Q48" s="2375" t="s">
        <v>2377</v>
      </c>
      <c r="R48" s="2374" t="s">
        <v>2378</v>
      </c>
    </row>
    <row r="49" spans="1:18" s="2058" customFormat="1" ht="18" customHeight="1" thickBot="1">
      <c r="A49" s="2083"/>
      <c r="D49" s="2090"/>
      <c r="E49" s="2091"/>
      <c r="F49" s="2088"/>
      <c r="G49" s="2089"/>
      <c r="H49" s="2092"/>
      <c r="I49" s="3100" t="s">
        <v>2345</v>
      </c>
      <c r="J49" s="2360"/>
      <c r="K49" s="3129" t="s">
        <v>2351</v>
      </c>
      <c r="L49" s="1907">
        <f ca="1">INDIRECT("'数据-取费表'!f"&amp;$G$1)</f>
        <v>0</v>
      </c>
      <c r="O49" s="2376" t="s">
        <v>2379</v>
      </c>
      <c r="P49" s="2377" t="s">
        <v>2405</v>
      </c>
      <c r="Q49" s="2378">
        <f ca="1">C41+J31</f>
        <v>0</v>
      </c>
      <c r="R49" s="2377" t="s">
        <v>2380</v>
      </c>
    </row>
    <row r="50" spans="1:18" s="2058" customFormat="1" ht="18" customHeight="1" thickBot="1">
      <c r="A50" s="2083"/>
      <c r="D50" s="2093"/>
      <c r="E50" s="2093"/>
      <c r="F50" s="2087"/>
      <c r="G50" s="2094"/>
      <c r="H50" s="2092"/>
      <c r="I50" s="3100" t="s">
        <v>2346</v>
      </c>
      <c r="J50" s="2361"/>
      <c r="K50" s="3130" t="s">
        <v>2352</v>
      </c>
      <c r="L50" s="2362"/>
      <c r="O50" s="2376" t="s">
        <v>2381</v>
      </c>
      <c r="P50" s="2377" t="s">
        <v>2406</v>
      </c>
      <c r="Q50" s="2378" t="str">
        <f ca="1">J61</f>
        <v>0</v>
      </c>
      <c r="R50" s="2377" t="s">
        <v>2382</v>
      </c>
    </row>
    <row r="51" spans="1:18" s="2058" customFormat="1" ht="18" customHeight="1" thickBot="1">
      <c r="A51" s="2095"/>
      <c r="D51" s="2093"/>
      <c r="E51" s="2093"/>
      <c r="F51" s="2084"/>
      <c r="H51" s="2092"/>
      <c r="I51" s="3100" t="s">
        <v>2347</v>
      </c>
      <c r="J51" s="3125">
        <f>SUMPRODUCT((I64:I66=J48)*(J63:L63=J49)*(J64:L66))</f>
        <v>0</v>
      </c>
      <c r="K51" s="3130" t="s">
        <v>2353</v>
      </c>
      <c r="L51" s="2362"/>
      <c r="O51" s="2379" t="s">
        <v>2383</v>
      </c>
      <c r="P51" s="2377" t="s">
        <v>2407</v>
      </c>
      <c r="Q51" s="2378">
        <f ca="1">C31</f>
        <v>0</v>
      </c>
      <c r="R51" s="2377" t="s">
        <v>2380</v>
      </c>
    </row>
    <row r="52" spans="1:18" s="2058" customFormat="1" ht="18" customHeight="1" thickBot="1">
      <c r="A52" s="2095"/>
      <c r="F52" s="2084"/>
      <c r="I52" s="3122" t="s">
        <v>2348</v>
      </c>
      <c r="J52" s="3126">
        <f>IF(J50="",J51,J50+J51-YEAR('数据-取费表'!B3))</f>
        <v>0</v>
      </c>
      <c r="K52" s="3100" t="s">
        <v>2354</v>
      </c>
      <c r="L52" s="3133">
        <f ca="1">ROUND(-PV(INDIRECT("'数据-取费表'!h"&amp;$G$1),L49,(C40-C14*J36),0),0)</f>
        <v>0</v>
      </c>
      <c r="O52" s="2379" t="s">
        <v>2384</v>
      </c>
      <c r="P52" s="2377" t="s">
        <v>2385</v>
      </c>
      <c r="Q52" s="2380" t="e">
        <f ca="1">J59</f>
        <v>#VALUE!</v>
      </c>
      <c r="R52" s="2381"/>
    </row>
    <row r="53" spans="1:18" s="2058" customFormat="1" ht="18" customHeight="1" thickBot="1">
      <c r="A53" s="2095"/>
      <c r="F53" s="2084"/>
      <c r="I53" s="3123" t="s">
        <v>2421</v>
      </c>
      <c r="J53" s="2363"/>
      <c r="K53" s="3123" t="s">
        <v>2420</v>
      </c>
      <c r="L53" s="2363"/>
      <c r="O53" s="2379" t="s">
        <v>2386</v>
      </c>
      <c r="P53" s="2377" t="s">
        <v>2387</v>
      </c>
      <c r="Q53" s="2380">
        <f>J53</f>
        <v>0</v>
      </c>
      <c r="R53" s="2381"/>
    </row>
    <row r="54" spans="1:18" s="2058" customFormat="1" ht="29.25" thickBot="1">
      <c r="A54" s="2095"/>
      <c r="I54" s="3124" t="s">
        <v>2974</v>
      </c>
      <c r="J54" s="3127">
        <f ca="1">IF(M48="住宅",MAX(J52,L49-'数据-取费表'!B20),MIN(J52,L49-'数据-取费表'!B20))</f>
        <v>-1.5</v>
      </c>
      <c r="K54" s="3471"/>
      <c r="L54" s="3472"/>
      <c r="O54" s="2379" t="s">
        <v>2388</v>
      </c>
      <c r="P54" s="2377" t="s">
        <v>2389</v>
      </c>
      <c r="Q54" s="2378">
        <f ca="1">J54</f>
        <v>-1.5</v>
      </c>
      <c r="R54" s="2377" t="s">
        <v>2390</v>
      </c>
    </row>
    <row r="55" spans="1:18" s="2058" customFormat="1" ht="18" customHeight="1" thickBot="1">
      <c r="A55" s="2095"/>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6" t="s">
        <v>2391</v>
      </c>
      <c r="P55" s="2377" t="s">
        <v>2408</v>
      </c>
      <c r="Q55" s="2378">
        <f ca="1">Q49+Q50</f>
        <v>0</v>
      </c>
      <c r="R55" s="2381" t="s">
        <v>2392</v>
      </c>
    </row>
    <row r="56" spans="1:18" s="2058" customFormat="1" ht="16.5" thickBot="1">
      <c r="A56" s="2095"/>
      <c r="B56" s="2096"/>
      <c r="C56" s="2096"/>
      <c r="I56" s="3136" t="s">
        <v>2355</v>
      </c>
      <c r="J56" s="3075" t="e">
        <f ca="1">ROUND(IF(J48="钢混",J58/J51,1-(1-2%)*(J51-J58)/J51),3)</f>
        <v>#VALUE!</v>
      </c>
      <c r="K56" s="3137" t="s">
        <v>2356</v>
      </c>
      <c r="L56" s="2364"/>
      <c r="O56" s="2382" t="s">
        <v>2411</v>
      </c>
      <c r="P56" s="1591"/>
      <c r="Q56" s="1603"/>
      <c r="R56" s="1591"/>
    </row>
    <row r="57" spans="1:18" s="2058" customFormat="1" ht="43.5" thickBot="1">
      <c r="A57" s="2095"/>
      <c r="B57" s="2096"/>
      <c r="C57" s="2096"/>
      <c r="I57" s="3138" t="s">
        <v>2357</v>
      </c>
      <c r="J57" s="3148" t="s">
        <v>1678</v>
      </c>
      <c r="K57" s="3100" t="s">
        <v>2362</v>
      </c>
      <c r="L57" s="1907">
        <f ca="1">IF(L49&lt;J52,"——",L49-J52)</f>
        <v>0</v>
      </c>
      <c r="O57" s="2373" t="s">
        <v>2375</v>
      </c>
      <c r="P57" s="2374" t="s">
        <v>2376</v>
      </c>
      <c r="Q57" s="2375" t="s">
        <v>2377</v>
      </c>
      <c r="R57" s="2374" t="s">
        <v>2378</v>
      </c>
    </row>
    <row r="58" spans="1:18" s="2058" customFormat="1" ht="29.25" thickBot="1">
      <c r="A58" s="2095"/>
      <c r="B58" s="2096"/>
      <c r="C58" s="2096"/>
      <c r="I58" s="3139" t="s">
        <v>2358</v>
      </c>
      <c r="J58" s="3140" t="str">
        <f ca="1">IF(OR(M48="住宅",J52&lt;L49,J57="是"),"——",J52-L49)</f>
        <v>——</v>
      </c>
      <c r="K58" s="3100" t="s">
        <v>2363</v>
      </c>
      <c r="L58" s="1907">
        <f ca="1">IF(L49&lt;J52,"——",IF(L56="比较法",L50,IF(L56="基准地价",L51,L52)))</f>
        <v>0</v>
      </c>
      <c r="O58" s="2376" t="s">
        <v>2379</v>
      </c>
      <c r="P58" s="2377" t="s">
        <v>2405</v>
      </c>
      <c r="Q58" s="2378">
        <f ca="1">C41+J31</f>
        <v>0</v>
      </c>
      <c r="R58" s="2377" t="s">
        <v>2380</v>
      </c>
    </row>
    <row r="59" spans="1:18" s="2058" customFormat="1" ht="29.25" thickBot="1">
      <c r="A59" s="2095"/>
      <c r="B59" s="2096"/>
      <c r="C59" s="2096"/>
      <c r="I59" s="3139" t="s">
        <v>2359</v>
      </c>
      <c r="J59" s="3076" t="e">
        <f ca="1">IF(J56&lt;0.4,0.4,J56)</f>
        <v>#VALUE!</v>
      </c>
      <c r="K59" s="3100" t="s">
        <v>2364</v>
      </c>
      <c r="L59" s="1907">
        <f ca="1">IF(ISERROR(POWER(1+L53,L48-L49)*(POWER(1+L53,L49)-1)/(POWER(1+L53,L48)-1)),0,POWER(1+L53,L48-L49)*(POWER(1+L53,L49)-1)/(POWER(1+L53,L48)-1))</f>
        <v>0</v>
      </c>
      <c r="O59" s="2376" t="s">
        <v>2381</v>
      </c>
      <c r="P59" s="2377" t="s">
        <v>2412</v>
      </c>
      <c r="Q59" s="2378" t="e">
        <f ca="1">L61</f>
        <v>#DIV/0!</v>
      </c>
      <c r="R59" s="2381" t="s">
        <v>2414</v>
      </c>
    </row>
    <row r="60" spans="1:18" s="2058" customFormat="1" ht="29.25" thickBot="1">
      <c r="A60" s="2095"/>
      <c r="B60" s="2096"/>
      <c r="C60" s="2096"/>
      <c r="I60" s="3139" t="s">
        <v>2360</v>
      </c>
      <c r="J60" s="3140" t="str">
        <f ca="1">IF(OR(M48="住宅",J52&lt;L49,J57="是"),"——",ROUND(C30*J59,0))</f>
        <v>——</v>
      </c>
      <c r="K60" s="3100" t="s">
        <v>2365</v>
      </c>
      <c r="L60" s="1907">
        <f ca="1">IF(ISERROR(POWER(1+L53,L48-J52)*(POWER(1+L53,J52)-1)/(POWER(1+L53,L48)-1)),0,POWER(1+L53,L48-J52)*(POWER(1+L53,J52)-1)/(POWER(1+L53,L48)-1))</f>
        <v>0</v>
      </c>
      <c r="O60" s="2379" t="s">
        <v>2383</v>
      </c>
      <c r="P60" s="2377" t="s">
        <v>2413</v>
      </c>
      <c r="Q60" s="2378">
        <f>IF(L56="比较法",L50,IF(L56="基准地价",L51,0))</f>
        <v>0</v>
      </c>
      <c r="R60" s="2377" t="s">
        <v>2380</v>
      </c>
    </row>
    <row r="61" spans="1:18" s="2058" customFormat="1" ht="15.75" thickBot="1">
      <c r="A61" s="2095"/>
      <c r="B61" s="2096"/>
      <c r="C61" s="2096"/>
      <c r="I61" s="3141" t="s">
        <v>2361</v>
      </c>
      <c r="J61" s="3142" t="str">
        <f ca="1">IF(OR(M48="住宅",J52&lt;L49,J57="是"),"0",ROUND(J60/(1+J53)^J54,0))</f>
        <v>0</v>
      </c>
      <c r="K61" s="3143" t="s">
        <v>2366</v>
      </c>
      <c r="L61" s="3142" t="e">
        <f ca="1">IF(OR(M48="住宅",L49&lt;J52),0,ROUND(L58*(L59/L60-1),0))</f>
        <v>#DIV/0!</v>
      </c>
      <c r="O61" s="2379" t="s">
        <v>2384</v>
      </c>
      <c r="P61" s="2377" t="s">
        <v>2393</v>
      </c>
      <c r="Q61" s="2380">
        <f>L53</f>
        <v>0</v>
      </c>
      <c r="R61" s="2381"/>
    </row>
    <row r="62" spans="1:18" s="2058" customFormat="1" ht="20.25" thickBot="1">
      <c r="A62" s="2095"/>
      <c r="B62" s="2096"/>
      <c r="C62" s="2096"/>
      <c r="K62" s="2085"/>
      <c r="O62" s="2379" t="s">
        <v>2386</v>
      </c>
      <c r="P62" s="2377" t="s">
        <v>2394</v>
      </c>
      <c r="Q62" s="2378">
        <f ca="1">L59</f>
        <v>0</v>
      </c>
      <c r="R62" s="2381" t="s">
        <v>2395</v>
      </c>
    </row>
    <row r="63" spans="1:18" s="2058" customFormat="1" ht="20.25" thickBot="1">
      <c r="A63" s="2095"/>
      <c r="B63" s="2096"/>
      <c r="C63" s="2096"/>
      <c r="I63" s="3144" t="s">
        <v>2367</v>
      </c>
      <c r="J63" s="3145" t="s">
        <v>2368</v>
      </c>
      <c r="K63" s="3145" t="s">
        <v>2369</v>
      </c>
      <c r="L63" s="3145" t="s">
        <v>2350</v>
      </c>
      <c r="M63" s="3146" t="s">
        <v>2938</v>
      </c>
      <c r="O63" s="2379" t="s">
        <v>2388</v>
      </c>
      <c r="P63" s="2377" t="s">
        <v>2396</v>
      </c>
      <c r="Q63" s="2378">
        <f ca="1">L60</f>
        <v>0</v>
      </c>
      <c r="R63" s="2381" t="s">
        <v>2397</v>
      </c>
    </row>
    <row r="64" spans="1:18" s="2058" customFormat="1" ht="15.75" thickBot="1">
      <c r="A64" s="2095"/>
      <c r="B64" s="2096"/>
      <c r="C64" s="2096"/>
      <c r="I64" s="3144" t="s">
        <v>2370</v>
      </c>
      <c r="J64" s="3145">
        <v>70</v>
      </c>
      <c r="K64" s="3145">
        <v>50</v>
      </c>
      <c r="L64" s="3145">
        <v>80</v>
      </c>
      <c r="M64" s="3147">
        <v>0.02</v>
      </c>
      <c r="O64" s="2376" t="s">
        <v>2391</v>
      </c>
      <c r="P64" s="2377" t="s">
        <v>2408</v>
      </c>
      <c r="Q64" s="2378" t="e">
        <f ca="1">Q58+Q59</f>
        <v>#DIV/0!</v>
      </c>
      <c r="R64" s="2381" t="s">
        <v>2392</v>
      </c>
    </row>
    <row r="65" spans="1:18" s="2058" customFormat="1" ht="16.5" thickBot="1">
      <c r="A65" s="2095"/>
      <c r="B65" s="2096"/>
      <c r="C65" s="2096"/>
      <c r="I65" s="3144" t="s">
        <v>2371</v>
      </c>
      <c r="J65" s="3145">
        <v>50</v>
      </c>
      <c r="K65" s="3145">
        <v>35</v>
      </c>
      <c r="L65" s="3145">
        <v>60</v>
      </c>
      <c r="M65" s="846">
        <v>0</v>
      </c>
      <c r="O65" s="2382" t="s">
        <v>2415</v>
      </c>
      <c r="P65" s="1591"/>
      <c r="Q65" s="1603"/>
      <c r="R65" s="1591"/>
    </row>
    <row r="66" spans="1:18" s="2058" customFormat="1" ht="15.75" thickBot="1">
      <c r="A66" s="2095"/>
      <c r="B66" s="2096"/>
      <c r="C66" s="2096"/>
      <c r="I66" s="3144" t="s">
        <v>2372</v>
      </c>
      <c r="J66" s="3145">
        <v>40</v>
      </c>
      <c r="K66" s="3145">
        <v>30</v>
      </c>
      <c r="L66" s="3145">
        <v>50</v>
      </c>
      <c r="M66" s="3147">
        <v>0.02</v>
      </c>
      <c r="O66" s="2373" t="s">
        <v>2375</v>
      </c>
      <c r="P66" s="2374" t="s">
        <v>2376</v>
      </c>
      <c r="Q66" s="2375" t="s">
        <v>2377</v>
      </c>
      <c r="R66" s="2374" t="s">
        <v>2378</v>
      </c>
    </row>
    <row r="67" spans="1:18" s="2058" customFormat="1" ht="15.75" thickBot="1">
      <c r="A67" s="2095"/>
      <c r="B67" s="2096"/>
      <c r="C67" s="2096"/>
      <c r="K67" s="2085"/>
      <c r="O67" s="2376" t="s">
        <v>2379</v>
      </c>
      <c r="P67" s="2377" t="s">
        <v>2405</v>
      </c>
      <c r="Q67" s="2378">
        <f ca="1">C41+J31</f>
        <v>0</v>
      </c>
      <c r="R67" s="2377" t="s">
        <v>2380</v>
      </c>
    </row>
    <row r="68" spans="1:18" s="2058" customFormat="1" ht="20.25" thickBot="1">
      <c r="A68" s="2095"/>
      <c r="B68" s="2096"/>
      <c r="C68" s="2096"/>
      <c r="K68" s="2085"/>
      <c r="O68" s="2376" t="s">
        <v>2381</v>
      </c>
      <c r="P68" s="2377" t="s">
        <v>2412</v>
      </c>
      <c r="Q68" s="2378" t="e">
        <f ca="1">L61</f>
        <v>#DIV/0!</v>
      </c>
      <c r="R68" s="2381" t="s">
        <v>2414</v>
      </c>
    </row>
    <row r="69" spans="1:18" s="2058" customFormat="1" ht="21.75" thickBot="1">
      <c r="A69" s="2095"/>
      <c r="B69" s="2096"/>
      <c r="C69" s="2096"/>
      <c r="K69" s="2085"/>
      <c r="O69" s="2379" t="s">
        <v>2383</v>
      </c>
      <c r="P69" s="2377" t="s">
        <v>2413</v>
      </c>
      <c r="Q69" s="2383">
        <f ca="1">L52</f>
        <v>0</v>
      </c>
      <c r="R69" s="2384" t="s">
        <v>2416</v>
      </c>
    </row>
    <row r="70" spans="1:18" s="2058" customFormat="1" ht="20.25" thickBot="1">
      <c r="A70" s="2095"/>
      <c r="B70" s="2096"/>
      <c r="C70" s="2096"/>
      <c r="K70" s="2085"/>
      <c r="O70" s="2379" t="s">
        <v>2384</v>
      </c>
      <c r="P70" s="2385" t="s">
        <v>2398</v>
      </c>
      <c r="Q70" s="2378">
        <f ca="1">ROUND(Q71-Q72*Q73,0)</f>
        <v>0</v>
      </c>
      <c r="R70" s="2381"/>
    </row>
    <row r="71" spans="1:18" s="2058" customFormat="1" ht="15.75" thickBot="1">
      <c r="A71" s="2095"/>
      <c r="B71" s="2096"/>
      <c r="C71" s="2096"/>
      <c r="K71" s="2085"/>
      <c r="O71" s="2379" t="s">
        <v>2399</v>
      </c>
      <c r="P71" s="2385" t="s">
        <v>2400</v>
      </c>
      <c r="Q71" s="2378">
        <f ca="1">C42</f>
        <v>0</v>
      </c>
      <c r="R71" s="2377" t="s">
        <v>2380</v>
      </c>
    </row>
    <row r="72" spans="1:18" s="2058" customFormat="1" ht="15.75" thickBot="1">
      <c r="A72" s="2095"/>
      <c r="B72" s="2096"/>
      <c r="C72" s="2096"/>
      <c r="K72" s="2085"/>
      <c r="O72" s="2379" t="s">
        <v>2401</v>
      </c>
      <c r="P72" s="2385" t="s">
        <v>2402</v>
      </c>
      <c r="Q72" s="2378">
        <f ca="1">C15</f>
        <v>0</v>
      </c>
      <c r="R72" s="2377" t="s">
        <v>2380</v>
      </c>
    </row>
    <row r="73" spans="1:18" s="2058" customFormat="1" ht="15.75" thickBot="1">
      <c r="A73" s="2095"/>
      <c r="B73" s="2096"/>
      <c r="C73" s="2096"/>
      <c r="K73" s="2085"/>
      <c r="O73" s="2379" t="s">
        <v>2403</v>
      </c>
      <c r="P73" s="2385" t="s">
        <v>2404</v>
      </c>
      <c r="Q73" s="2380">
        <f ca="1">F43</f>
        <v>0</v>
      </c>
      <c r="R73" s="2381"/>
    </row>
    <row r="74" spans="1:18" s="2058" customFormat="1" ht="15.75" thickBot="1">
      <c r="A74" s="2095"/>
      <c r="B74" s="2096"/>
      <c r="C74" s="2096"/>
      <c r="K74" s="2085"/>
      <c r="O74" s="2379" t="s">
        <v>2386</v>
      </c>
      <c r="P74" s="2377" t="s">
        <v>2393</v>
      </c>
      <c r="Q74" s="2380">
        <f>L53</f>
        <v>0</v>
      </c>
      <c r="R74" s="2381"/>
    </row>
    <row r="75" spans="1:18" s="2058" customFormat="1" ht="20.25" thickBot="1">
      <c r="A75" s="2095"/>
      <c r="B75" s="2096"/>
      <c r="C75" s="2096"/>
      <c r="K75" s="2085"/>
      <c r="O75" s="2379" t="s">
        <v>2388</v>
      </c>
      <c r="P75" s="2377" t="s">
        <v>2394</v>
      </c>
      <c r="Q75" s="2378">
        <f ca="1">L59</f>
        <v>0</v>
      </c>
      <c r="R75" s="2381" t="s">
        <v>2395</v>
      </c>
    </row>
    <row r="76" spans="1:18" s="2058" customFormat="1" ht="20.25" thickBot="1">
      <c r="A76" s="2095"/>
      <c r="B76" s="2096"/>
      <c r="C76" s="2096"/>
      <c r="K76" s="2085"/>
      <c r="O76" s="2379" t="s">
        <v>2417</v>
      </c>
      <c r="P76" s="2377" t="s">
        <v>2396</v>
      </c>
      <c r="Q76" s="2378">
        <f ca="1">L60</f>
        <v>0</v>
      </c>
      <c r="R76" s="2381" t="s">
        <v>2397</v>
      </c>
    </row>
    <row r="77" spans="1:18" s="2058" customFormat="1" ht="15.75" thickBot="1">
      <c r="A77" s="2095"/>
      <c r="B77" s="2096"/>
      <c r="C77" s="2096"/>
      <c r="K77" s="2085"/>
      <c r="O77" s="2376" t="s">
        <v>2391</v>
      </c>
      <c r="P77" s="2377" t="s">
        <v>2408</v>
      </c>
      <c r="Q77" s="2378" t="e">
        <f ca="1">Q67+Q68</f>
        <v>#DIV/0!</v>
      </c>
      <c r="R77" s="2381" t="s">
        <v>2392</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12" priority="6">
      <formula>$F$12="自定义"</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I56">
    <cfRule type="expression" dxfId="109" priority="4">
      <formula>$J$51&gt;$L$48</formula>
    </cfRule>
  </conditionalFormatting>
  <conditionalFormatting sqref="I61">
    <cfRule type="expression" dxfId="108" priority="2">
      <formula>$J$51&gt;$L$48</formula>
    </cfRule>
  </conditionalFormatting>
  <conditionalFormatting sqref="K61">
    <cfRule type="expression" dxfId="10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7.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6" sqref="I6:L6"/>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75" t="s">
        <v>2576</v>
      </c>
      <c r="C1" s="3475"/>
      <c r="D1" s="3475"/>
      <c r="E1" s="3475"/>
      <c r="F1" s="3475"/>
      <c r="G1" s="3474" t="s">
        <v>2577</v>
      </c>
      <c r="H1" s="3474"/>
      <c r="I1" s="3474"/>
      <c r="J1" s="3474"/>
      <c r="K1" s="3474"/>
      <c r="L1" s="3474"/>
      <c r="N1" s="3474" t="s">
        <v>2578</v>
      </c>
      <c r="O1" s="3474"/>
      <c r="P1" s="3474"/>
      <c r="Q1" s="3474"/>
      <c r="R1" s="2632"/>
      <c r="S1" s="3474" t="s">
        <v>2579</v>
      </c>
      <c r="T1" s="3474"/>
      <c r="U1" s="3474"/>
      <c r="V1" s="3474"/>
      <c r="X1" s="3473" t="s">
        <v>2639</v>
      </c>
      <c r="Y1" s="3474"/>
      <c r="Z1" s="3474"/>
      <c r="AA1" s="3474"/>
      <c r="AB1" s="3474"/>
      <c r="AD1" s="3473" t="s">
        <v>2643</v>
      </c>
      <c r="AE1" s="3474"/>
      <c r="AF1" s="3474"/>
      <c r="AG1" s="3474"/>
      <c r="AH1" s="3474"/>
    </row>
    <row r="2" spans="1:34" s="2733" customFormat="1" ht="14.25" thickBot="1">
      <c r="B2" s="2741" t="s">
        <v>2580</v>
      </c>
      <c r="C2" s="2741" t="s">
        <v>2641</v>
      </c>
      <c r="D2" s="2734" t="s">
        <v>1644</v>
      </c>
      <c r="E2" s="2734" t="s">
        <v>1949</v>
      </c>
      <c r="F2" s="2741" t="s">
        <v>2642</v>
      </c>
      <c r="G2" s="2737"/>
      <c r="H2" s="2736"/>
      <c r="I2" s="2741" t="s">
        <v>2952</v>
      </c>
      <c r="J2" s="2734" t="s">
        <v>2954</v>
      </c>
      <c r="K2" s="2734" t="s">
        <v>2955</v>
      </c>
      <c r="L2" s="2741" t="s">
        <v>2956</v>
      </c>
      <c r="N2" s="2741" t="s">
        <v>2580</v>
      </c>
      <c r="O2" s="2734" t="s">
        <v>2953</v>
      </c>
      <c r="P2" s="2734" t="s">
        <v>1949</v>
      </c>
      <c r="Q2" s="2741" t="s">
        <v>2642</v>
      </c>
      <c r="R2" s="2735"/>
      <c r="S2" s="2741" t="s">
        <v>2580</v>
      </c>
      <c r="T2" s="2734" t="s">
        <v>2953</v>
      </c>
      <c r="U2" s="2734" t="s">
        <v>1949</v>
      </c>
      <c r="V2" s="2741" t="s">
        <v>2642</v>
      </c>
      <c r="X2" s="2741" t="s">
        <v>2580</v>
      </c>
      <c r="Y2" s="2741" t="s">
        <v>2641</v>
      </c>
      <c r="Z2" s="2734" t="s">
        <v>1644</v>
      </c>
      <c r="AA2" s="2734" t="s">
        <v>1949</v>
      </c>
      <c r="AB2" s="2741" t="s">
        <v>2642</v>
      </c>
      <c r="AD2" s="2741" t="s">
        <v>2580</v>
      </c>
      <c r="AE2" s="2741" t="s">
        <v>2641</v>
      </c>
      <c r="AF2" s="2734" t="s">
        <v>1644</v>
      </c>
      <c r="AG2" s="2734" t="s">
        <v>1949</v>
      </c>
      <c r="AH2" s="2741" t="s">
        <v>2642</v>
      </c>
    </row>
    <row r="3" spans="1:34" s="3105" customFormat="1" ht="14.25">
      <c r="A3" s="3117" t="s">
        <v>2965</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6" customFormat="1" ht="14.25">
      <c r="B4" s="2727"/>
      <c r="C4" s="2727"/>
      <c r="D4" s="2728"/>
      <c r="E4" s="2728"/>
      <c r="F4" s="2727"/>
      <c r="G4" s="2732"/>
      <c r="H4" s="2729"/>
      <c r="I4" s="3101"/>
      <c r="J4" s="3101"/>
      <c r="K4" s="3101"/>
      <c r="L4" s="3101"/>
      <c r="N4" s="2732"/>
      <c r="O4" s="2730"/>
      <c r="P4" s="2730"/>
      <c r="Q4" s="2730"/>
      <c r="R4" s="2730"/>
      <c r="S4" s="2732"/>
      <c r="T4" s="2730"/>
      <c r="U4" s="2730"/>
      <c r="V4" s="2730"/>
      <c r="W4" s="3114"/>
      <c r="X4" s="2731"/>
      <c r="Y4" s="2731"/>
      <c r="Z4" s="2731"/>
      <c r="AA4" s="2731"/>
      <c r="AB4" s="2731"/>
      <c r="AD4" s="2651"/>
      <c r="AE4" s="2651"/>
      <c r="AF4" s="2651"/>
      <c r="AG4" s="2651"/>
      <c r="AH4" s="2651"/>
    </row>
    <row r="5" spans="1:34" s="3089" customFormat="1" ht="13.5" thickBot="1">
      <c r="A5" s="3087" t="s">
        <v>2985</v>
      </c>
      <c r="B5" s="2772">
        <f>B6*(1+N5)</f>
        <v>464.37293017158942</v>
      </c>
      <c r="C5" s="2772">
        <f t="shared" ref="C5" si="2">C6*(1+O5)</f>
        <v>344.73679941385956</v>
      </c>
      <c r="D5" s="2772">
        <f t="shared" ref="D5" si="3">C5</f>
        <v>344.73679941385956</v>
      </c>
      <c r="E5" s="2772">
        <f t="shared" ref="E5" si="4">E6*(1+P5)</f>
        <v>663.2377795103107</v>
      </c>
      <c r="F5" s="2772">
        <f t="shared" ref="F5" si="5">F6*(1+Q5)</f>
        <v>304.75936311478398</v>
      </c>
      <c r="G5" s="2732">
        <v>2019</v>
      </c>
      <c r="H5" s="3088">
        <v>1</v>
      </c>
      <c r="I5" s="3102">
        <v>0</v>
      </c>
      <c r="J5" s="3102">
        <v>0</v>
      </c>
      <c r="K5" s="3102">
        <v>0</v>
      </c>
      <c r="L5" s="3102">
        <v>0</v>
      </c>
      <c r="N5" s="2739">
        <f t="shared" ref="N5" si="6">I5/100</f>
        <v>0</v>
      </c>
      <c r="O5" s="2739">
        <f t="shared" ref="O5" si="7">J5/100</f>
        <v>0</v>
      </c>
      <c r="P5" s="2739">
        <f t="shared" ref="P5" si="8">K5/100</f>
        <v>0</v>
      </c>
      <c r="Q5" s="2739">
        <f t="shared" ref="Q5" si="9">L5/100</f>
        <v>0</v>
      </c>
      <c r="R5" s="3090"/>
      <c r="S5" s="3091"/>
      <c r="T5" s="3090"/>
      <c r="U5" s="3090"/>
      <c r="V5" s="3090"/>
      <c r="W5" s="3115" t="s">
        <v>2966</v>
      </c>
      <c r="X5" s="3092">
        <f>ROUND(IF(项目基本情况!B8="出让",SUMPRODUCT(PRODUCT(1+N5:N$25)),SUMPRODUCT(PRODUCT(1+N5:N$24))),4)</f>
        <v>1.5548</v>
      </c>
      <c r="Y5" s="3092">
        <f>ROUND(IF(项目基本情况!B8="出让",SUMPRODUCT(PRODUCT(1+O5:O$25)),SUMPRODUCT(PRODUCT(1+O5:O$24))),4)</f>
        <v>1.3686</v>
      </c>
      <c r="Z5" s="3092">
        <f t="shared" ref="Z5" si="10">Y5</f>
        <v>1.3686</v>
      </c>
      <c r="AA5" s="3092">
        <f>ROUND(IF(项目基本情况!B8="出让",SUMPRODUCT(PRODUCT(1+P5:P$25)),SUMPRODUCT(PRODUCT(1+P5:P$24))),4)</f>
        <v>1.6196999999999999</v>
      </c>
      <c r="AB5" s="3092">
        <f>ROUND(IF(项目基本情况!B8="出让",SUMPRODUCT(PRODUCT(1+Q5:Q$25)),SUMPRODUCT(PRODUCT(1+Q5:Q$24))),4)</f>
        <v>1.3435999999999999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38" customFormat="1">
      <c r="A6" s="2633" t="s">
        <v>2986</v>
      </c>
      <c r="B6" s="2646">
        <f>B7*(1+N6)</f>
        <v>464.37293017158942</v>
      </c>
      <c r="C6" s="2646">
        <f t="shared" ref="C6" si="12">C7*(1+O6)</f>
        <v>344.73679941385956</v>
      </c>
      <c r="D6" s="2646">
        <f t="shared" ref="D6" si="13">C6</f>
        <v>344.73679941385956</v>
      </c>
      <c r="E6" s="2646">
        <f t="shared" ref="E6" si="14">E7*(1+P6)</f>
        <v>663.2377795103107</v>
      </c>
      <c r="F6" s="2646">
        <f t="shared" ref="F6" si="15">F7*(1+Q6)</f>
        <v>304.75936311478398</v>
      </c>
      <c r="G6" s="3477">
        <v>2018</v>
      </c>
      <c r="H6" s="2636">
        <v>4</v>
      </c>
      <c r="I6" s="3174">
        <v>0.96</v>
      </c>
      <c r="J6" s="3174">
        <v>1.03</v>
      </c>
      <c r="K6" s="3174">
        <v>0.92</v>
      </c>
      <c r="L6" s="3175">
        <v>1.29</v>
      </c>
      <c r="M6" s="2640"/>
      <c r="N6" s="2641">
        <f t="shared" ref="N6" si="16">I6/100</f>
        <v>9.5999999999999992E-3</v>
      </c>
      <c r="O6" s="2642">
        <f t="shared" ref="O6" si="17">J6/100</f>
        <v>1.03E-2</v>
      </c>
      <c r="P6" s="2642">
        <f t="shared" ref="P6" si="18">K6/100</f>
        <v>9.1999999999999998E-3</v>
      </c>
      <c r="Q6" s="2642">
        <f t="shared" ref="Q6" si="19">L6/100</f>
        <v>1.29E-2</v>
      </c>
      <c r="R6" s="2643"/>
      <c r="S6" s="2644"/>
      <c r="T6" s="2645"/>
      <c r="U6" s="2645"/>
      <c r="V6" s="2645"/>
      <c r="W6" s="2640"/>
      <c r="X6" s="2731">
        <f>ROUND(SUMPRODUCT(PRODUCT(1+N6:N$24)),4)</f>
        <v>1.5099</v>
      </c>
      <c r="Y6" s="2731">
        <f>ROUND(SUMPRODUCT(PRODUCT(1+O6:O$24)),4)</f>
        <v>1.3372999999999999</v>
      </c>
      <c r="Z6" s="2731">
        <f t="shared" ref="Z6" si="20">Y6</f>
        <v>1.3372999999999999</v>
      </c>
      <c r="AA6" s="2731">
        <f>ROUND(SUMPRODUCT(PRODUCT(1+P6:P$24)),4)</f>
        <v>1.5683</v>
      </c>
      <c r="AB6" s="2731">
        <f>ROUND(SUMPRODUCT(PRODUCT(1+Q6:Q$24)),4)</f>
        <v>1.3255999999999999</v>
      </c>
      <c r="AC6" s="2640"/>
      <c r="AD6" s="2651">
        <f>ROUND(AVERAGE(I6:I$25)/100,4)</f>
        <v>2.24E-2</v>
      </c>
      <c r="AE6" s="2651">
        <f>ROUND(AVERAGE(J6:J$25)/100,4)</f>
        <v>1.5800000000000002E-2</v>
      </c>
      <c r="AF6" s="2651">
        <f t="shared" ref="AF6" si="21">AE6</f>
        <v>1.5800000000000002E-2</v>
      </c>
      <c r="AG6" s="2651">
        <f>ROUND(AVERAGE(K6:K$25)/100,4)</f>
        <v>2.4500000000000001E-2</v>
      </c>
      <c r="AH6" s="2651">
        <f>ROUND(AVERAGE(L6:L$25)/100,4)</f>
        <v>1.49E-2</v>
      </c>
    </row>
    <row r="7" spans="1:34" s="2738" customFormat="1" ht="14.45" customHeight="1">
      <c r="A7" s="2633" t="s">
        <v>2975</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77"/>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2976</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77"/>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2972</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83"/>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2963</v>
      </c>
      <c r="B10" s="3119">
        <v>439</v>
      </c>
      <c r="C10" s="3119">
        <v>327</v>
      </c>
      <c r="D10" s="3119">
        <f t="shared" si="43"/>
        <v>327</v>
      </c>
      <c r="E10" s="3119">
        <v>627</v>
      </c>
      <c r="F10" s="3120">
        <v>283</v>
      </c>
      <c r="G10" s="3482">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2967</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77"/>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2581</v>
      </c>
      <c r="B12" s="2646">
        <f t="shared" si="55"/>
        <v>419.31181600000002</v>
      </c>
      <c r="C12" s="2646">
        <f t="shared" si="55"/>
        <v>313.95436800000004</v>
      </c>
      <c r="D12" s="2646">
        <f t="shared" si="43"/>
        <v>313.95436800000004</v>
      </c>
      <c r="E12" s="2646">
        <f t="shared" si="56"/>
        <v>596.63028431999999</v>
      </c>
      <c r="F12" s="2646">
        <f t="shared" si="56"/>
        <v>274.74220703999998</v>
      </c>
      <c r="G12" s="3477"/>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2582</v>
      </c>
      <c r="B13" s="2646">
        <f t="shared" si="55"/>
        <v>405.524</v>
      </c>
      <c r="C13" s="2646">
        <f t="shared" si="55"/>
        <v>307.79840000000002</v>
      </c>
      <c r="D13" s="2646">
        <f t="shared" si="43"/>
        <v>307.79840000000002</v>
      </c>
      <c r="E13" s="2646">
        <f t="shared" si="56"/>
        <v>574.67759999999998</v>
      </c>
      <c r="F13" s="2646">
        <f t="shared" si="56"/>
        <v>270.20280000000002</v>
      </c>
      <c r="G13" s="3483"/>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970</v>
      </c>
      <c r="B14" s="2638">
        <v>392</v>
      </c>
      <c r="C14" s="2638">
        <v>302</v>
      </c>
      <c r="D14" s="2638">
        <f t="shared" si="43"/>
        <v>302</v>
      </c>
      <c r="E14" s="2638">
        <v>553</v>
      </c>
      <c r="F14" s="2639">
        <v>266</v>
      </c>
      <c r="G14" s="3482">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969</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77"/>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959</v>
      </c>
      <c r="B16" s="2646">
        <f t="shared" si="64"/>
        <v>360.06949782209392</v>
      </c>
      <c r="C16" s="2646">
        <f t="shared" si="64"/>
        <v>289.84672674747821</v>
      </c>
      <c r="D16" s="2646">
        <f t="shared" si="65"/>
        <v>289.84672674747821</v>
      </c>
      <c r="E16" s="2646">
        <f t="shared" si="66"/>
        <v>501.06543001181495</v>
      </c>
      <c r="F16" s="2646">
        <f t="shared" si="66"/>
        <v>256.82882500744967</v>
      </c>
      <c r="G16" s="3477"/>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968</v>
      </c>
      <c r="B17" s="2646">
        <f t="shared" si="64"/>
        <v>346.720748986128</v>
      </c>
      <c r="C17" s="2646">
        <f t="shared" si="64"/>
        <v>284.30282172386285</v>
      </c>
      <c r="D17" s="2646">
        <f t="shared" si="65"/>
        <v>284.30282172386285</v>
      </c>
      <c r="E17" s="2646">
        <f t="shared" si="66"/>
        <v>479.58023546306947</v>
      </c>
      <c r="F17" s="2646">
        <f t="shared" si="66"/>
        <v>253.25788877571213</v>
      </c>
      <c r="G17" s="3478"/>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967</v>
      </c>
      <c r="B18" s="2638">
        <v>333</v>
      </c>
      <c r="C18" s="2638">
        <v>277</v>
      </c>
      <c r="D18" s="2638">
        <f t="shared" si="65"/>
        <v>277</v>
      </c>
      <c r="E18" s="2638">
        <v>459</v>
      </c>
      <c r="F18" s="2639">
        <v>249</v>
      </c>
      <c r="G18" s="3476">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966</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77"/>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965</v>
      </c>
      <c r="B20" s="2646">
        <f t="shared" si="68"/>
        <v>322.34053690220776</v>
      </c>
      <c r="C20" s="2646">
        <f t="shared" si="68"/>
        <v>271.46160770422546</v>
      </c>
      <c r="D20" s="2646">
        <f t="shared" si="65"/>
        <v>271.46160770422546</v>
      </c>
      <c r="E20" s="2646">
        <f t="shared" si="69"/>
        <v>442.69434542172456</v>
      </c>
      <c r="F20" s="2646">
        <f t="shared" si="69"/>
        <v>241.34030753190925</v>
      </c>
      <c r="G20" s="3477"/>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964</v>
      </c>
      <c r="B21" s="2646">
        <f t="shared" si="68"/>
        <v>319.87748030386797</v>
      </c>
      <c r="C21" s="2646">
        <f t="shared" si="68"/>
        <v>269.60135833173649</v>
      </c>
      <c r="D21" s="2646">
        <f t="shared" si="65"/>
        <v>269.60135833173649</v>
      </c>
      <c r="E21" s="2646">
        <f t="shared" si="69"/>
        <v>439.18089823583784</v>
      </c>
      <c r="F21" s="2646">
        <f t="shared" si="69"/>
        <v>239.23503918706311</v>
      </c>
      <c r="G21" s="3478"/>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963</v>
      </c>
      <c r="B22" s="2660">
        <v>318</v>
      </c>
      <c r="C22" s="2660">
        <v>268</v>
      </c>
      <c r="D22" s="2660">
        <f t="shared" si="65"/>
        <v>268</v>
      </c>
      <c r="E22" s="2660">
        <v>437</v>
      </c>
      <c r="F22" s="2661">
        <v>237</v>
      </c>
      <c r="G22" s="3476">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962</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77"/>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961</v>
      </c>
      <c r="B24" s="2646">
        <f t="shared" si="70"/>
        <v>314.72141172386546</v>
      </c>
      <c r="C24" s="2646">
        <f t="shared" si="70"/>
        <v>263.03901319069001</v>
      </c>
      <c r="D24" s="2646">
        <f t="shared" si="65"/>
        <v>263.03901319069001</v>
      </c>
      <c r="E24" s="2646">
        <f t="shared" si="71"/>
        <v>433.65745506782821</v>
      </c>
      <c r="F24" s="2646">
        <f t="shared" si="71"/>
        <v>233.23005080045735</v>
      </c>
      <c r="G24" s="3477"/>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960</v>
      </c>
      <c r="B25" s="2665">
        <f t="shared" si="70"/>
        <v>307.34512863658733</v>
      </c>
      <c r="C25" s="2665">
        <f t="shared" si="70"/>
        <v>257.80556031626975</v>
      </c>
      <c r="D25" s="2665">
        <f t="shared" si="65"/>
        <v>257.80556031626975</v>
      </c>
      <c r="E25" s="2665">
        <f t="shared" si="71"/>
        <v>422.70928459677179</v>
      </c>
      <c r="F25" s="2665">
        <f t="shared" si="71"/>
        <v>229.73803270336617</v>
      </c>
      <c r="G25" s="3478"/>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2640</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2583</v>
      </c>
      <c r="B26" s="2638">
        <v>299</v>
      </c>
      <c r="C26" s="2638">
        <v>252</v>
      </c>
      <c r="D26" s="2638">
        <f t="shared" si="65"/>
        <v>252</v>
      </c>
      <c r="E26" s="2638">
        <v>409</v>
      </c>
      <c r="F26" s="2639">
        <v>227</v>
      </c>
      <c r="G26" s="3479">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2584</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80"/>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2585</v>
      </c>
      <c r="B28" s="2646">
        <f t="shared" si="74"/>
        <v>288.2649053828776</v>
      </c>
      <c r="C28" s="2646">
        <f t="shared" si="74"/>
        <v>243.64564425013293</v>
      </c>
      <c r="D28" s="2646">
        <f t="shared" si="65"/>
        <v>243.64564425013293</v>
      </c>
      <c r="E28" s="2646">
        <f t="shared" si="75"/>
        <v>393.31080825986544</v>
      </c>
      <c r="F28" s="2646">
        <f t="shared" si="75"/>
        <v>223.07903790551154</v>
      </c>
      <c r="G28" s="3480"/>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2586</v>
      </c>
      <c r="B29" s="2646">
        <f t="shared" si="74"/>
        <v>282.50186729015837</v>
      </c>
      <c r="C29" s="2646">
        <f t="shared" si="74"/>
        <v>238.09796174155468</v>
      </c>
      <c r="D29" s="2646">
        <f t="shared" si="65"/>
        <v>238.09796174155468</v>
      </c>
      <c r="E29" s="2646">
        <f t="shared" si="75"/>
        <v>385.33438646014054</v>
      </c>
      <c r="F29" s="2646">
        <f t="shared" si="75"/>
        <v>221.55034055567739</v>
      </c>
      <c r="G29" s="3481"/>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2587</v>
      </c>
      <c r="B30" s="2676">
        <v>278</v>
      </c>
      <c r="C30" s="2676">
        <v>234</v>
      </c>
      <c r="D30" s="2676">
        <f t="shared" si="65"/>
        <v>234</v>
      </c>
      <c r="E30" s="2676">
        <v>379</v>
      </c>
      <c r="F30" s="2677">
        <v>220</v>
      </c>
      <c r="G30" s="3476">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2588</v>
      </c>
      <c r="B31" s="2646">
        <f>B30/(1+N30)</f>
        <v>275.49301357645425</v>
      </c>
      <c r="C31" s="2646">
        <f>C30/(1+O30)</f>
        <v>232.41954707985698</v>
      </c>
      <c r="D31" s="2646">
        <f t="shared" si="65"/>
        <v>232.41954707985698</v>
      </c>
      <c r="E31" s="2646">
        <f t="shared" ref="E31:F33" si="76">E30/(1+P30)</f>
        <v>375.32184591008121</v>
      </c>
      <c r="F31" s="2646">
        <f t="shared" si="76"/>
        <v>218.03766105054513</v>
      </c>
      <c r="G31" s="3477"/>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2589</v>
      </c>
      <c r="B32" s="2646">
        <f>B31/(1+N31)</f>
        <v>275.24529281292263</v>
      </c>
      <c r="C32" s="2646">
        <f>C31/(1+O31)</f>
        <v>231.74747938962707</v>
      </c>
      <c r="D32" s="2646">
        <f t="shared" si="65"/>
        <v>231.74747938962707</v>
      </c>
      <c r="E32" s="2646">
        <f t="shared" si="76"/>
        <v>375.35938184826603</v>
      </c>
      <c r="F32" s="2646">
        <f t="shared" si="76"/>
        <v>216.78033510692495</v>
      </c>
      <c r="G32" s="3477"/>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2590</v>
      </c>
      <c r="B33" s="2646">
        <f>B32/(1+N32)</f>
        <v>275.19025476197027</v>
      </c>
      <c r="C33" s="2678">
        <v>232</v>
      </c>
      <c r="D33" s="2678">
        <f t="shared" si="65"/>
        <v>232</v>
      </c>
      <c r="E33" s="2646">
        <f t="shared" si="76"/>
        <v>375.65990977608692</v>
      </c>
      <c r="F33" s="2646">
        <f t="shared" si="76"/>
        <v>214.12518283971252</v>
      </c>
      <c r="G33" s="3478"/>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2591</v>
      </c>
      <c r="B34" s="2638">
        <v>275</v>
      </c>
      <c r="C34" s="2638">
        <v>232</v>
      </c>
      <c r="D34" s="2638">
        <f t="shared" si="65"/>
        <v>232</v>
      </c>
      <c r="E34" s="2638">
        <v>376</v>
      </c>
      <c r="F34" s="2639">
        <v>213</v>
      </c>
      <c r="G34" s="3476">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2592</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77">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2593</v>
      </c>
      <c r="B36" s="2646">
        <f t="shared" si="77"/>
        <v>275.19335084830601</v>
      </c>
      <c r="C36" s="2646">
        <f t="shared" si="77"/>
        <v>230.18088050139744</v>
      </c>
      <c r="D36" s="2646">
        <f t="shared" si="65"/>
        <v>230.18088050139744</v>
      </c>
      <c r="E36" s="2646">
        <f t="shared" si="78"/>
        <v>377.58482925212331</v>
      </c>
      <c r="F36" s="2646">
        <f t="shared" si="78"/>
        <v>210.90687997847917</v>
      </c>
      <c r="G36" s="3477">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2594</v>
      </c>
      <c r="B37" s="2646">
        <f t="shared" si="77"/>
        <v>276.29854502841971</v>
      </c>
      <c r="C37" s="2646">
        <f t="shared" si="77"/>
        <v>229.79023709833027</v>
      </c>
      <c r="D37" s="2646">
        <f t="shared" si="65"/>
        <v>229.79023709833027</v>
      </c>
      <c r="E37" s="2646">
        <f t="shared" si="78"/>
        <v>379.78759731655936</v>
      </c>
      <c r="F37" s="2646">
        <f t="shared" si="78"/>
        <v>211.32953905659235</v>
      </c>
      <c r="G37" s="3478">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2595</v>
      </c>
      <c r="B38" s="2638">
        <v>269</v>
      </c>
      <c r="C38" s="2638">
        <v>221</v>
      </c>
      <c r="D38" s="2638">
        <f t="shared" si="65"/>
        <v>221</v>
      </c>
      <c r="E38" s="2638">
        <v>373</v>
      </c>
      <c r="F38" s="2639">
        <v>196</v>
      </c>
      <c r="G38" s="3476">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2596</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77">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2597</v>
      </c>
      <c r="B40" s="2646">
        <f t="shared" si="79"/>
        <v>242.95398227588385</v>
      </c>
      <c r="C40" s="2646">
        <f t="shared" si="79"/>
        <v>199.59137053614126</v>
      </c>
      <c r="D40" s="2646">
        <f t="shared" si="65"/>
        <v>199.59137053614126</v>
      </c>
      <c r="E40" s="2646">
        <f t="shared" si="80"/>
        <v>335.92189522342125</v>
      </c>
      <c r="F40" s="2646">
        <f t="shared" si="80"/>
        <v>183.10139991109489</v>
      </c>
      <c r="G40" s="3477">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2598</v>
      </c>
      <c r="B41" s="2646">
        <f t="shared" si="79"/>
        <v>232.06990378821649</v>
      </c>
      <c r="C41" s="2646">
        <f t="shared" si="79"/>
        <v>192.74878854286936</v>
      </c>
      <c r="D41" s="2646">
        <f t="shared" si="65"/>
        <v>192.74878854286936</v>
      </c>
      <c r="E41" s="2646">
        <f t="shared" si="80"/>
        <v>319.71247284992984</v>
      </c>
      <c r="F41" s="2646">
        <f t="shared" si="80"/>
        <v>175.67053622862409</v>
      </c>
      <c r="G41" s="3478">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2599</v>
      </c>
      <c r="B42" s="2638">
        <v>220</v>
      </c>
      <c r="C42" s="2638">
        <v>187</v>
      </c>
      <c r="D42" s="2638">
        <f t="shared" si="65"/>
        <v>187</v>
      </c>
      <c r="E42" s="2638">
        <v>301</v>
      </c>
      <c r="F42" s="2639">
        <v>168</v>
      </c>
      <c r="G42" s="3476">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2600</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77">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2601</v>
      </c>
      <c r="B44" s="2646">
        <f t="shared" si="81"/>
        <v>210.630522469011</v>
      </c>
      <c r="C44" s="2646">
        <f t="shared" si="81"/>
        <v>181.69567812247232</v>
      </c>
      <c r="D44" s="2646">
        <f t="shared" si="65"/>
        <v>181.69567812247232</v>
      </c>
      <c r="E44" s="2646">
        <f t="shared" si="82"/>
        <v>286.13517466736738</v>
      </c>
      <c r="F44" s="2646">
        <f t="shared" si="82"/>
        <v>165.47535084591149</v>
      </c>
      <c r="G44" s="3477">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2602</v>
      </c>
      <c r="B45" s="2646">
        <f t="shared" si="81"/>
        <v>208.83454537875372</v>
      </c>
      <c r="C45" s="2646">
        <f t="shared" si="81"/>
        <v>183.77230517090351</v>
      </c>
      <c r="D45" s="2646">
        <f t="shared" si="65"/>
        <v>183.77230517090351</v>
      </c>
      <c r="E45" s="2646">
        <f t="shared" si="82"/>
        <v>281.10342338870947</v>
      </c>
      <c r="F45" s="2646">
        <f t="shared" si="82"/>
        <v>168.97309388942256</v>
      </c>
      <c r="G45" s="3478">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2603</v>
      </c>
      <c r="B46" s="2676">
        <v>214</v>
      </c>
      <c r="C46" s="2676">
        <v>188</v>
      </c>
      <c r="D46" s="2676">
        <f t="shared" si="65"/>
        <v>188</v>
      </c>
      <c r="E46" s="2676">
        <v>289</v>
      </c>
      <c r="F46" s="2677">
        <v>166</v>
      </c>
      <c r="G46" s="3476">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2604</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77">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2605</v>
      </c>
      <c r="B48" s="2646">
        <f t="shared" si="83"/>
        <v>206.31694671589116</v>
      </c>
      <c r="C48" s="2646">
        <f t="shared" si="83"/>
        <v>183.61041121036101</v>
      </c>
      <c r="D48" s="2646">
        <f t="shared" si="65"/>
        <v>183.61041121036101</v>
      </c>
      <c r="E48" s="2646">
        <f t="shared" si="84"/>
        <v>276.66850301795557</v>
      </c>
      <c r="F48" s="2646">
        <f t="shared" si="84"/>
        <v>165.1360938278614</v>
      </c>
      <c r="G48" s="3477">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2606</v>
      </c>
      <c r="B49" s="2679">
        <f t="shared" si="83"/>
        <v>196.62341248059772</v>
      </c>
      <c r="C49" s="2679">
        <f t="shared" si="83"/>
        <v>170.99125648199012</v>
      </c>
      <c r="D49" s="2679">
        <f t="shared" si="65"/>
        <v>170.99125648199012</v>
      </c>
      <c r="E49" s="2679">
        <f t="shared" si="84"/>
        <v>266.07857570490052</v>
      </c>
      <c r="F49" s="2679">
        <f t="shared" si="84"/>
        <v>154.53499328828505</v>
      </c>
      <c r="G49" s="3478">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2607</v>
      </c>
      <c r="B50" s="2638">
        <v>188</v>
      </c>
      <c r="C50" s="2638">
        <v>165</v>
      </c>
      <c r="D50" s="2638">
        <f t="shared" si="65"/>
        <v>165</v>
      </c>
      <c r="E50" s="2638">
        <v>254</v>
      </c>
      <c r="F50" s="2639">
        <v>148</v>
      </c>
      <c r="G50" s="3476">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2608</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77">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2609</v>
      </c>
      <c r="B52" s="2646">
        <f t="shared" si="87"/>
        <v>168.82017748715555</v>
      </c>
      <c r="C52" s="2646">
        <f t="shared" si="87"/>
        <v>148.06267029972753</v>
      </c>
      <c r="D52" s="2646">
        <f t="shared" si="65"/>
        <v>148.06267029972753</v>
      </c>
      <c r="E52" s="2646">
        <f t="shared" si="88"/>
        <v>216.46288379323747</v>
      </c>
      <c r="F52" s="2646">
        <f t="shared" si="88"/>
        <v>134.23529411764704</v>
      </c>
      <c r="G52" s="3477">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2610</v>
      </c>
      <c r="B53" s="2646">
        <f t="shared" si="87"/>
        <v>163.84913591779542</v>
      </c>
      <c r="C53" s="2646">
        <f t="shared" si="87"/>
        <v>145.0283378746594</v>
      </c>
      <c r="D53" s="2646">
        <f t="shared" si="65"/>
        <v>145.0283378746594</v>
      </c>
      <c r="E53" s="2646">
        <f t="shared" si="88"/>
        <v>204.95180722891567</v>
      </c>
      <c r="F53" s="2646">
        <f t="shared" si="88"/>
        <v>125.95920303605313</v>
      </c>
      <c r="G53" s="3478">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2611</v>
      </c>
      <c r="B54" s="2660">
        <v>159</v>
      </c>
      <c r="C54" s="2660">
        <v>141</v>
      </c>
      <c r="D54" s="2660">
        <f t="shared" si="65"/>
        <v>141</v>
      </c>
      <c r="E54" s="2660">
        <v>195</v>
      </c>
      <c r="F54" s="2661">
        <v>122</v>
      </c>
      <c r="G54" s="3476">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2612</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77">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2613</v>
      </c>
      <c r="B56" s="2646">
        <f t="shared" si="91"/>
        <v>146.57412060301507</v>
      </c>
      <c r="C56" s="2646">
        <f t="shared" si="91"/>
        <v>136.46831955922866</v>
      </c>
      <c r="D56" s="2646">
        <f t="shared" si="65"/>
        <v>136.46831955922866</v>
      </c>
      <c r="E56" s="2646">
        <f t="shared" si="92"/>
        <v>166.73864894795128</v>
      </c>
      <c r="F56" s="2646">
        <f t="shared" si="92"/>
        <v>115.05882352941177</v>
      </c>
      <c r="G56" s="3477">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2614</v>
      </c>
      <c r="B57" s="2646">
        <f t="shared" si="91"/>
        <v>144.04145728643215</v>
      </c>
      <c r="C57" s="2646">
        <f t="shared" si="91"/>
        <v>136.12396694214877</v>
      </c>
      <c r="D57" s="2646">
        <f t="shared" si="65"/>
        <v>136.12396694214877</v>
      </c>
      <c r="E57" s="2646">
        <f t="shared" si="92"/>
        <v>158.32225913621264</v>
      </c>
      <c r="F57" s="2646">
        <f t="shared" si="92"/>
        <v>114.04278074866311</v>
      </c>
      <c r="G57" s="3478">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2615</v>
      </c>
      <c r="B58" s="2660">
        <v>138</v>
      </c>
      <c r="C58" s="2660">
        <v>131</v>
      </c>
      <c r="D58" s="2660">
        <f t="shared" si="65"/>
        <v>131</v>
      </c>
      <c r="E58" s="2660">
        <v>155</v>
      </c>
      <c r="F58" s="2661">
        <v>114</v>
      </c>
      <c r="G58" s="3476">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2616</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77">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2617</v>
      </c>
      <c r="B60" s="2646">
        <f t="shared" si="95"/>
        <v>124.29032258064517</v>
      </c>
      <c r="C60" s="2646">
        <f t="shared" si="95"/>
        <v>123.8968609865471</v>
      </c>
      <c r="D60" s="2646">
        <f t="shared" si="65"/>
        <v>123.8968609865471</v>
      </c>
      <c r="E60" s="2646">
        <f t="shared" si="96"/>
        <v>138.00507614213197</v>
      </c>
      <c r="F60" s="2646">
        <f t="shared" si="96"/>
        <v>107.96106557377048</v>
      </c>
      <c r="G60" s="3477">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2618</v>
      </c>
      <c r="B61" s="2646">
        <f t="shared" si="95"/>
        <v>122.57204301075269</v>
      </c>
      <c r="C61" s="2646">
        <f t="shared" si="95"/>
        <v>123.4932735426009</v>
      </c>
      <c r="D61" s="2646">
        <f t="shared" si="65"/>
        <v>123.4932735426009</v>
      </c>
      <c r="E61" s="2646">
        <f t="shared" si="96"/>
        <v>129.82233502538071</v>
      </c>
      <c r="F61" s="2646">
        <f t="shared" si="96"/>
        <v>107.39446721311475</v>
      </c>
      <c r="G61" s="3478">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2619</v>
      </c>
      <c r="B62" s="2676">
        <v>121</v>
      </c>
      <c r="C62" s="2676">
        <v>122</v>
      </c>
      <c r="D62" s="2676">
        <f t="shared" si="65"/>
        <v>122</v>
      </c>
      <c r="E62" s="2676">
        <v>124</v>
      </c>
      <c r="F62" s="2677">
        <v>107</v>
      </c>
      <c r="G62" s="3476">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2620</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77">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2621</v>
      </c>
      <c r="B64" s="2646">
        <f t="shared" si="99"/>
        <v>116.99099099099099</v>
      </c>
      <c r="C64" s="2646">
        <f t="shared" si="99"/>
        <v>118.84848484848486</v>
      </c>
      <c r="D64" s="2646">
        <f t="shared" si="65"/>
        <v>118.84848484848486</v>
      </c>
      <c r="E64" s="2646">
        <f t="shared" si="100"/>
        <v>117.60960960960961</v>
      </c>
      <c r="F64" s="2646">
        <f t="shared" si="100"/>
        <v>104</v>
      </c>
      <c r="G64" s="3477">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2622</v>
      </c>
      <c r="B65" s="2679">
        <f t="shared" si="99"/>
        <v>112.48648648648648</v>
      </c>
      <c r="C65" s="2679">
        <f t="shared" si="99"/>
        <v>115.21212121212122</v>
      </c>
      <c r="D65" s="2679">
        <f t="shared" si="65"/>
        <v>115.21212121212122</v>
      </c>
      <c r="E65" s="2679">
        <f t="shared" si="100"/>
        <v>110.4024024024024</v>
      </c>
      <c r="F65" s="2679">
        <f t="shared" si="100"/>
        <v>104</v>
      </c>
      <c r="G65" s="3478">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2623</v>
      </c>
      <c r="B66" s="2697">
        <v>111</v>
      </c>
      <c r="C66" s="2697">
        <v>114</v>
      </c>
      <c r="D66" s="2697">
        <f t="shared" si="65"/>
        <v>114</v>
      </c>
      <c r="E66" s="2697">
        <v>108</v>
      </c>
      <c r="F66" s="2698">
        <v>104</v>
      </c>
      <c r="G66" s="3476">
        <v>2003</v>
      </c>
      <c r="H66" s="2687">
        <v>4</v>
      </c>
      <c r="I66" s="2699"/>
      <c r="J66" s="2699"/>
      <c r="K66" s="2699"/>
      <c r="L66" s="2699"/>
      <c r="N66" s="2700"/>
      <c r="O66" s="2699"/>
      <c r="P66" s="2699"/>
      <c r="Q66" s="2699"/>
      <c r="S66" s="2700"/>
      <c r="T66" s="2699"/>
      <c r="U66" s="2699"/>
      <c r="V66" s="2699"/>
      <c r="X66" s="2691"/>
      <c r="Y66" s="2691"/>
      <c r="Z66" s="2691"/>
    </row>
    <row r="67" spans="1:26">
      <c r="A67" s="2633" t="s">
        <v>2624</v>
      </c>
      <c r="B67" s="2701">
        <f t="shared" ref="B67:C69" si="101">B68+(B$66-B$70)/4</f>
        <v>109.75</v>
      </c>
      <c r="C67" s="2701">
        <f t="shared" si="101"/>
        <v>112.25</v>
      </c>
      <c r="D67" s="2701">
        <f t="shared" si="65"/>
        <v>112.25</v>
      </c>
      <c r="E67" s="2701">
        <f t="shared" ref="E67:F69" si="102">E68+(E$66-E$70)/4</f>
        <v>107.25</v>
      </c>
      <c r="F67" s="2701">
        <f t="shared" si="102"/>
        <v>103.5</v>
      </c>
      <c r="G67" s="3477">
        <v>2003</v>
      </c>
      <c r="H67" s="2657">
        <v>3</v>
      </c>
      <c r="I67" s="2699"/>
      <c r="J67" s="2699"/>
      <c r="K67" s="2699"/>
      <c r="L67" s="2699"/>
      <c r="X67" s="2691"/>
      <c r="Y67" s="2691"/>
      <c r="Z67" s="2691"/>
    </row>
    <row r="68" spans="1:26">
      <c r="A68" s="2633" t="s">
        <v>2625</v>
      </c>
      <c r="B68" s="2701">
        <f t="shared" si="101"/>
        <v>108.5</v>
      </c>
      <c r="C68" s="2701">
        <f t="shared" si="101"/>
        <v>110.5</v>
      </c>
      <c r="D68" s="2701">
        <f t="shared" si="65"/>
        <v>110.5</v>
      </c>
      <c r="E68" s="2701">
        <f t="shared" si="102"/>
        <v>106.5</v>
      </c>
      <c r="F68" s="2701">
        <f t="shared" si="102"/>
        <v>103</v>
      </c>
      <c r="G68" s="3477">
        <v>2003</v>
      </c>
      <c r="H68" s="2637">
        <v>2</v>
      </c>
      <c r="I68" s="2699"/>
      <c r="J68" s="2699"/>
      <c r="K68" s="2699"/>
      <c r="L68" s="2699"/>
      <c r="X68" s="2691"/>
      <c r="Y68" s="2691"/>
      <c r="Z68" s="2691"/>
    </row>
    <row r="69" spans="1:26" ht="13.5" thickBot="1">
      <c r="A69" s="2633" t="s">
        <v>2626</v>
      </c>
      <c r="B69" s="2701">
        <f t="shared" si="101"/>
        <v>107.25</v>
      </c>
      <c r="C69" s="2701">
        <f t="shared" si="101"/>
        <v>108.75</v>
      </c>
      <c r="D69" s="2701">
        <f t="shared" si="65"/>
        <v>108.75</v>
      </c>
      <c r="E69" s="2701">
        <f t="shared" si="102"/>
        <v>105.75</v>
      </c>
      <c r="F69" s="2701">
        <f t="shared" si="102"/>
        <v>102.5</v>
      </c>
      <c r="G69" s="3478">
        <v>2003</v>
      </c>
      <c r="H69" s="2702">
        <v>1</v>
      </c>
      <c r="I69" s="2699"/>
      <c r="J69" s="2699"/>
      <c r="K69" s="2699"/>
      <c r="L69" s="2699"/>
      <c r="S69" s="2641"/>
      <c r="T69" s="2642"/>
      <c r="U69" s="2642"/>
      <c r="X69" s="2691"/>
      <c r="Y69" s="2691"/>
      <c r="Z69" s="2691"/>
    </row>
    <row r="70" spans="1:26" ht="13.5" thickBot="1">
      <c r="A70" s="2633" t="s">
        <v>2627</v>
      </c>
      <c r="B70" s="2703">
        <v>106</v>
      </c>
      <c r="C70" s="2703">
        <v>107</v>
      </c>
      <c r="D70" s="2703">
        <f t="shared" si="65"/>
        <v>107</v>
      </c>
      <c r="E70" s="2703">
        <v>105</v>
      </c>
      <c r="F70" s="2704">
        <v>102</v>
      </c>
      <c r="G70" s="3476">
        <v>2002</v>
      </c>
      <c r="H70" s="2652">
        <v>4</v>
      </c>
      <c r="I70" s="2699"/>
      <c r="J70" s="2699"/>
      <c r="K70" s="2699"/>
      <c r="L70" s="2699"/>
      <c r="N70" s="2700"/>
      <c r="O70" s="2699"/>
      <c r="P70" s="2699"/>
      <c r="Q70" s="2699"/>
      <c r="S70" s="2700"/>
      <c r="T70" s="2699"/>
      <c r="U70" s="2699"/>
      <c r="V70" s="2699"/>
      <c r="X70" s="2691"/>
      <c r="Y70" s="2691"/>
      <c r="Z70" s="2691"/>
    </row>
    <row r="71" spans="1:26">
      <c r="A71" s="2633" t="s">
        <v>2628</v>
      </c>
      <c r="B71" s="2701">
        <f t="shared" ref="B71:C73" si="103">B72+(B$70-B$74)/4</f>
        <v>105</v>
      </c>
      <c r="C71" s="2701">
        <f t="shared" si="103"/>
        <v>106</v>
      </c>
      <c r="D71" s="2701">
        <f t="shared" si="65"/>
        <v>106</v>
      </c>
      <c r="E71" s="2701">
        <f t="shared" ref="E71:F73" si="104">E72+(E$70-E$74)/4</f>
        <v>104.5</v>
      </c>
      <c r="F71" s="2701">
        <f t="shared" si="104"/>
        <v>101.5</v>
      </c>
      <c r="G71" s="3477">
        <v>2002</v>
      </c>
      <c r="H71" s="2657">
        <v>3</v>
      </c>
      <c r="I71" s="2699"/>
      <c r="J71" s="2699"/>
      <c r="K71" s="2699"/>
      <c r="L71" s="2699"/>
      <c r="X71" s="2691"/>
      <c r="Y71" s="2691"/>
      <c r="Z71" s="2691"/>
    </row>
    <row r="72" spans="1:26">
      <c r="A72" s="2633" t="s">
        <v>2629</v>
      </c>
      <c r="B72" s="2701">
        <f t="shared" si="103"/>
        <v>104</v>
      </c>
      <c r="C72" s="2701">
        <f t="shared" si="103"/>
        <v>105</v>
      </c>
      <c r="D72" s="2701">
        <f t="shared" si="65"/>
        <v>105</v>
      </c>
      <c r="E72" s="2701">
        <f t="shared" si="104"/>
        <v>104</v>
      </c>
      <c r="F72" s="2701">
        <f t="shared" si="104"/>
        <v>101</v>
      </c>
      <c r="G72" s="3477">
        <v>2002</v>
      </c>
      <c r="H72" s="2637">
        <v>2</v>
      </c>
      <c r="I72" s="2699"/>
      <c r="J72" s="2699"/>
      <c r="K72" s="2699"/>
      <c r="L72" s="2699"/>
      <c r="X72" s="2691"/>
      <c r="Y72" s="2691"/>
      <c r="Z72" s="2691"/>
    </row>
    <row r="73" spans="1:26" s="2668" customFormat="1" ht="13.5" thickBot="1">
      <c r="A73" s="2664" t="s">
        <v>2630</v>
      </c>
      <c r="B73" s="2705">
        <f t="shared" si="103"/>
        <v>103</v>
      </c>
      <c r="C73" s="2705">
        <f t="shared" si="103"/>
        <v>104</v>
      </c>
      <c r="D73" s="2705">
        <f t="shared" si="65"/>
        <v>104</v>
      </c>
      <c r="E73" s="2705">
        <f t="shared" si="104"/>
        <v>103.5</v>
      </c>
      <c r="F73" s="2705">
        <f t="shared" si="104"/>
        <v>100.5</v>
      </c>
      <c r="G73" s="3478">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2631</v>
      </c>
      <c r="G76" s="2715"/>
      <c r="N76" s="2715"/>
      <c r="S76" s="2715"/>
    </row>
    <row r="77" spans="1:26" s="2714" customFormat="1">
      <c r="A77" s="2714" t="s">
        <v>2632</v>
      </c>
      <c r="G77" s="2715"/>
      <c r="N77" s="2715"/>
      <c r="S77" s="2715"/>
    </row>
    <row r="78" spans="1:26" s="2714" customFormat="1">
      <c r="A78" s="2714" t="s">
        <v>2633</v>
      </c>
      <c r="G78" s="2715"/>
      <c r="I78" s="2716"/>
      <c r="J78" s="2716"/>
      <c r="K78" s="2716"/>
      <c r="L78" s="2716"/>
      <c r="N78" s="2717"/>
      <c r="O78" s="2716"/>
      <c r="P78" s="2716"/>
      <c r="Q78" s="2716"/>
      <c r="S78" s="2717"/>
      <c r="T78" s="2716"/>
      <c r="U78" s="2716"/>
      <c r="V78" s="2716"/>
    </row>
    <row r="79" spans="1:26" s="2714" customFormat="1">
      <c r="A79" s="2714" t="s">
        <v>2634</v>
      </c>
      <c r="G79" s="2715"/>
      <c r="N79" s="2715"/>
      <c r="S79" s="2715"/>
    </row>
    <row r="86" spans="7:22" ht="13.5" thickBot="1"/>
    <row r="87" spans="7:22">
      <c r="G87" s="2640"/>
      <c r="S87" s="2718" t="s">
        <v>2635</v>
      </c>
      <c r="T87" s="2719" t="s">
        <v>2636</v>
      </c>
      <c r="U87" s="2719" t="s">
        <v>2637</v>
      </c>
      <c r="V87" s="2719" t="s">
        <v>2638</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9"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38" zoomScale="80" zoomScaleNormal="80" workbookViewId="0">
      <selection activeCell="J56" sqref="J56"/>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c r="D1" s="3099" t="s">
        <v>951</v>
      </c>
      <c r="E1" s="2365" t="s">
        <v>2374</v>
      </c>
      <c r="F1" s="2366">
        <f ca="1">J53</f>
        <v>0</v>
      </c>
      <c r="G1" s="774">
        <f>MATCH(C1,'数据-取费表'!A6:A16,0)+5</f>
        <v>10</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1726</v>
      </c>
      <c r="B2" s="775" t="e">
        <f ca="1">C40+J29+L46</f>
        <v>#DIV/0!</v>
      </c>
      <c r="C2" s="2056"/>
      <c r="D2" s="2054"/>
      <c r="E2" s="2055"/>
      <c r="F2" s="2055"/>
      <c r="G2" s="1589"/>
      <c r="H2" s="2056"/>
      <c r="I2" s="2056"/>
      <c r="J2" s="2056"/>
      <c r="K2" s="2057"/>
      <c r="L2" s="2056"/>
      <c r="M2" s="2056"/>
    </row>
    <row r="3" spans="1:33" ht="18" customHeight="1" thickBot="1">
      <c r="A3" s="833" t="s">
        <v>1727</v>
      </c>
      <c r="B3" s="834">
        <f ca="1">IF(ISERROR(B2*10000/F43),0,ROUND(B2*10000/F43,0))</f>
        <v>0</v>
      </c>
      <c r="C3" s="2056"/>
      <c r="D3" s="2054"/>
      <c r="E3" s="2055"/>
      <c r="F3" s="2055"/>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2458</v>
      </c>
      <c r="C5" s="55">
        <f ca="1">C6+C10+C12</f>
        <v>0</v>
      </c>
      <c r="D5" s="2474" t="s">
        <v>2461</v>
      </c>
      <c r="E5" s="2468"/>
      <c r="F5" s="2469"/>
      <c r="G5" s="1591"/>
      <c r="H5" s="781">
        <v>1</v>
      </c>
      <c r="I5" s="782" t="s">
        <v>2458</v>
      </c>
      <c r="J5" s="55">
        <f ca="1">J6+J10+J12</f>
        <v>0</v>
      </c>
      <c r="K5" s="2474" t="s">
        <v>2461</v>
      </c>
      <c r="L5" s="2468"/>
      <c r="M5" s="2469"/>
    </row>
    <row r="6" spans="1:33" ht="18" customHeight="1">
      <c r="A6" s="1829" t="s">
        <v>1824</v>
      </c>
      <c r="B6" s="3467" t="s">
        <v>2463</v>
      </c>
      <c r="C6" s="783">
        <f ca="1">ROUND(F6*F8*F7*(1-F9)/10000,0)</f>
        <v>0</v>
      </c>
      <c r="D6" s="2475" t="s">
        <v>2462</v>
      </c>
      <c r="E6" s="784" t="s">
        <v>1738</v>
      </c>
      <c r="F6" s="785">
        <f ca="1">INDIRECT("'数据-取费表'!u"&amp;$G$1)</f>
        <v>0</v>
      </c>
      <c r="G6" s="1591"/>
      <c r="H6" s="2482" t="s">
        <v>2468</v>
      </c>
      <c r="I6" s="3467" t="s">
        <v>2463</v>
      </c>
      <c r="J6" s="783">
        <f ca="1">ROUND(M6*M8*M7*(1-M9)/10000,0)</f>
        <v>0</v>
      </c>
      <c r="K6" s="341" t="s">
        <v>1737</v>
      </c>
      <c r="L6" s="784" t="s">
        <v>1738</v>
      </c>
      <c r="M6" s="785">
        <f ca="1">INDIRECT("'数据-取费表'!z"&amp;$G$1)</f>
        <v>0</v>
      </c>
    </row>
    <row r="7" spans="1:33" ht="18" customHeight="1">
      <c r="A7" s="2478"/>
      <c r="B7" s="3468"/>
      <c r="C7" s="788"/>
      <c r="D7" s="789"/>
      <c r="E7" s="784" t="s">
        <v>1739</v>
      </c>
      <c r="F7" s="785">
        <f ca="1">IF(INDIRECT("'数据-取费表'!ah"&amp;$G$1)="",INDIRECT("'数据-取费表'!k"&amp;$G$1),INDIRECT("'数据-取费表'!ah"&amp;$G$1))</f>
        <v>0</v>
      </c>
      <c r="G7" s="1591"/>
      <c r="H7" s="2467"/>
      <c r="I7" s="3468"/>
      <c r="J7" s="788"/>
      <c r="K7" s="789"/>
      <c r="L7" s="784" t="s">
        <v>1739</v>
      </c>
      <c r="M7" s="785">
        <f ca="1">F7</f>
        <v>0</v>
      </c>
    </row>
    <row r="8" spans="1:33" ht="18" customHeight="1">
      <c r="A8" s="2471"/>
      <c r="B8" s="3469"/>
      <c r="C8" s="788"/>
      <c r="D8" s="789"/>
      <c r="E8" s="784" t="s">
        <v>1740</v>
      </c>
      <c r="F8" s="785">
        <f ca="1">INDIRECT("'数据-取费表'!ai"&amp;$G$1)</f>
        <v>0</v>
      </c>
      <c r="G8" s="1591"/>
      <c r="H8" s="2467"/>
      <c r="I8" s="3469"/>
      <c r="J8" s="788"/>
      <c r="K8" s="789"/>
      <c r="L8" s="784" t="s">
        <v>1740</v>
      </c>
      <c r="M8" s="785">
        <f ca="1">INDIRECT("'数据-取费表'!ai"&amp;$G$1)</f>
        <v>0</v>
      </c>
    </row>
    <row r="9" spans="1:33" ht="18" customHeight="1">
      <c r="A9" s="786"/>
      <c r="B9" s="3470"/>
      <c r="C9" s="788"/>
      <c r="D9" s="789"/>
      <c r="E9" s="784" t="s">
        <v>1741</v>
      </c>
      <c r="F9" s="794">
        <f ca="1">INDIRECT("'数据-取费表'!w"&amp;$G$1)</f>
        <v>0</v>
      </c>
      <c r="G9" s="1591"/>
      <c r="H9" s="2483"/>
      <c r="I9" s="3469"/>
      <c r="J9" s="788"/>
      <c r="K9" s="789"/>
      <c r="L9" s="795" t="s">
        <v>1741</v>
      </c>
      <c r="M9" s="796">
        <f ca="1">INDIRECT("'数据-取费表'!ab"&amp;$G$1)</f>
        <v>0</v>
      </c>
    </row>
    <row r="10" spans="1:33" ht="18" customHeight="1">
      <c r="A10" s="1829" t="s">
        <v>2466</v>
      </c>
      <c r="B10" s="2472" t="s">
        <v>2459</v>
      </c>
      <c r="C10" s="799">
        <f ca="1">ROUND(IF(F10="押一",C6/12*F11,IF(F10="押二",C6/12*2*F11,IF(F10="押三",C6/12*3*F11,C11*F11))),0)</f>
        <v>0</v>
      </c>
      <c r="D10" s="2479" t="s">
        <v>2970</v>
      </c>
      <c r="E10" s="2476" t="s">
        <v>2464</v>
      </c>
      <c r="F10" s="2599"/>
      <c r="G10" s="1591"/>
      <c r="H10" s="2539" t="s">
        <v>2469</v>
      </c>
      <c r="I10" s="2544" t="s">
        <v>2459</v>
      </c>
      <c r="J10" s="783">
        <f ca="1">ROUND(IF(M10="押一",J6/12*M11,IF(M10="押二",J6/12*2*M11,IF(M10="押三",J6/12*3*M11,J11*M11))),0)</f>
        <v>0</v>
      </c>
      <c r="K10" s="2479" t="s">
        <v>2970</v>
      </c>
      <c r="L10" s="2476" t="s">
        <v>2464</v>
      </c>
      <c r="M10" s="2599"/>
    </row>
    <row r="11" spans="1:33" ht="18" customHeight="1">
      <c r="A11" s="790"/>
      <c r="B11" s="2473" t="s">
        <v>2573</v>
      </c>
      <c r="C11" s="2477"/>
      <c r="D11" s="789"/>
      <c r="E11" s="2476" t="s">
        <v>2465</v>
      </c>
      <c r="F11" s="796">
        <f ca="1">'数据-取费表'!B39</f>
        <v>1.4999999999999999E-2</v>
      </c>
      <c r="G11" s="1591"/>
      <c r="H11" s="2540"/>
      <c r="I11" s="2473" t="s">
        <v>2573</v>
      </c>
      <c r="J11" s="2477"/>
      <c r="K11" s="2541"/>
      <c r="L11" s="2476" t="s">
        <v>2465</v>
      </c>
      <c r="M11" s="2470">
        <f ca="1">'数据-取费表'!B39</f>
        <v>1.4999999999999999E-2</v>
      </c>
    </row>
    <row r="12" spans="1:33" ht="18" customHeight="1" thickBot="1">
      <c r="A12" s="2515" t="s">
        <v>2467</v>
      </c>
      <c r="B12" s="2516" t="s">
        <v>2460</v>
      </c>
      <c r="C12" s="2517"/>
      <c r="D12" s="2518"/>
      <c r="E12" s="2519"/>
      <c r="F12" s="2520"/>
      <c r="G12" s="1591"/>
      <c r="H12" s="2529" t="s">
        <v>2470</v>
      </c>
      <c r="I12" s="2542" t="s">
        <v>2460</v>
      </c>
      <c r="J12" s="2543"/>
      <c r="K12" s="2518"/>
      <c r="L12" s="2519"/>
      <c r="M12" s="2532"/>
    </row>
    <row r="13" spans="1:33" ht="18" customHeight="1" thickTop="1">
      <c r="A13" s="1828">
        <v>2</v>
      </c>
      <c r="B13" s="1826" t="s">
        <v>1742</v>
      </c>
      <c r="C13" s="792">
        <f ca="1">ROUND(C29*F13,0)</f>
        <v>0</v>
      </c>
      <c r="D13" s="1833" t="s">
        <v>2297</v>
      </c>
      <c r="E13" s="1833" t="s">
        <v>1744</v>
      </c>
      <c r="F13" s="2514">
        <f ca="1">INDIRECT("'数据-取费表'!y"&amp;$G$1)</f>
        <v>0</v>
      </c>
      <c r="G13" s="1591"/>
      <c r="H13" s="1828">
        <v>2</v>
      </c>
      <c r="I13" s="1826" t="s">
        <v>1742</v>
      </c>
      <c r="J13" s="1818">
        <f ca="1">ROUND(J14*J15,0)</f>
        <v>0</v>
      </c>
      <c r="K13" s="1820" t="s">
        <v>1743</v>
      </c>
      <c r="L13" s="2530"/>
      <c r="M13" s="2531"/>
    </row>
    <row r="14" spans="1:33" ht="18" customHeight="1">
      <c r="A14" s="1647" t="s">
        <v>1884</v>
      </c>
      <c r="B14" s="784" t="s">
        <v>644</v>
      </c>
      <c r="C14" s="804">
        <f ca="1">INDIRECT("'数据-取费表'!m"&amp;$G$1)+INDIRECT("'数据-取费表'!t"&amp;$G$1)</f>
        <v>0</v>
      </c>
      <c r="D14" s="1978" t="s">
        <v>1745</v>
      </c>
      <c r="E14" s="1979"/>
      <c r="F14" s="805"/>
      <c r="G14" s="1591"/>
      <c r="H14" s="1648" t="s">
        <v>1830</v>
      </c>
      <c r="I14" s="2230" t="s">
        <v>2825</v>
      </c>
      <c r="J14" s="53">
        <f ca="1">C29</f>
        <v>0</v>
      </c>
      <c r="K14" s="26"/>
      <c r="L14" s="801"/>
      <c r="M14" s="802"/>
    </row>
    <row r="15" spans="1:33" s="2063" customFormat="1" ht="18" customHeight="1" thickBot="1">
      <c r="A15" s="1647" t="s">
        <v>1885</v>
      </c>
      <c r="B15" s="784" t="s">
        <v>646</v>
      </c>
      <c r="C15" s="53">
        <f ca="1">ROUND(C14*F15,0)</f>
        <v>0</v>
      </c>
      <c r="D15" s="806" t="s">
        <v>1746</v>
      </c>
      <c r="E15" s="806" t="s">
        <v>1747</v>
      </c>
      <c r="F15" s="807">
        <f>'数据-取费表'!B33</f>
        <v>0.03</v>
      </c>
      <c r="G15" s="1592"/>
      <c r="H15" s="2529" t="s">
        <v>1889</v>
      </c>
      <c r="I15" s="2524" t="s">
        <v>1744</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8" t="s">
        <v>1748</v>
      </c>
      <c r="I16" s="1826" t="s">
        <v>1749</v>
      </c>
      <c r="J16" s="792">
        <f ca="1">ROUND(J17+J22+J23+J24,0)</f>
        <v>0</v>
      </c>
      <c r="K16" s="1820" t="s">
        <v>1750</v>
      </c>
      <c r="L16" s="2464"/>
      <c r="M16" s="2469"/>
    </row>
    <row r="17" spans="1:33" s="2063" customFormat="1" ht="18" customHeight="1">
      <c r="A17" s="1647" t="s">
        <v>1887</v>
      </c>
      <c r="B17" s="784" t="s">
        <v>652</v>
      </c>
      <c r="C17" s="53">
        <f ca="1">ROUND(F17*(F43+INDIRECT("'数据-取费表'!S"&amp;$G$1))/10000,0)</f>
        <v>0</v>
      </c>
      <c r="D17" s="784" t="s">
        <v>1751</v>
      </c>
      <c r="E17" s="784" t="s">
        <v>1752</v>
      </c>
      <c r="F17" s="56">
        <f>'数据-取费表'!B35</f>
        <v>200</v>
      </c>
      <c r="G17" s="1592"/>
      <c r="H17" s="1648" t="s">
        <v>1830</v>
      </c>
      <c r="I17" s="784" t="s">
        <v>655</v>
      </c>
      <c r="J17" s="53">
        <f ca="1">ROUND(IF(项目基本情况!B11="自然人",J5*M17,J18+J19+J20),0)</f>
        <v>0</v>
      </c>
      <c r="K17" s="2463" t="s">
        <v>1753</v>
      </c>
      <c r="L17" s="2462" t="s">
        <v>1754</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1888</v>
      </c>
      <c r="B18" s="784" t="s">
        <v>658</v>
      </c>
      <c r="C18" s="53">
        <f ca="1">ROUND(C14*F18,0)</f>
        <v>0</v>
      </c>
      <c r="D18" s="784" t="s">
        <v>1746</v>
      </c>
      <c r="E18" s="784" t="s">
        <v>1747</v>
      </c>
      <c r="F18" s="809">
        <f>'数据-取费表'!B36</f>
        <v>1.4999999999999999E-2</v>
      </c>
      <c r="G18" s="1592"/>
      <c r="H18" s="1647" t="s">
        <v>1884</v>
      </c>
      <c r="I18" s="784" t="s">
        <v>1755</v>
      </c>
      <c r="J18" s="53">
        <f ca="1">ROUND(J5*M18/1.05,1)</f>
        <v>0</v>
      </c>
      <c r="K18" s="2462" t="s">
        <v>1756</v>
      </c>
      <c r="L18" s="784" t="s">
        <v>1747</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1830</v>
      </c>
      <c r="B19" s="784" t="s">
        <v>661</v>
      </c>
      <c r="C19" s="53">
        <f ca="1">SUM(C14:C18)</f>
        <v>0</v>
      </c>
      <c r="D19" s="261" t="s">
        <v>1757</v>
      </c>
      <c r="E19" s="1981"/>
      <c r="F19" s="56"/>
      <c r="G19" s="1591"/>
      <c r="H19" s="1647" t="s">
        <v>1885</v>
      </c>
      <c r="I19" s="784" t="s">
        <v>1758</v>
      </c>
      <c r="J19" s="53">
        <f ca="1">IF(K19="按租金收入计税",ROUND(J5*M19,1),ROUND(C29*F33*0.7,1))</f>
        <v>0</v>
      </c>
      <c r="K19" s="811" t="s">
        <v>664</v>
      </c>
      <c r="L19" s="784" t="s">
        <v>1747</v>
      </c>
      <c r="M19" s="809">
        <f>IF(K19="按租金收入计税",'数据-取费表'!B51,'数据-取费表'!B50)</f>
        <v>1.2E-2</v>
      </c>
    </row>
    <row r="20" spans="1:33" s="2063" customFormat="1" ht="18" customHeight="1">
      <c r="A20" s="1648" t="s">
        <v>1889</v>
      </c>
      <c r="B20" s="784" t="s">
        <v>665</v>
      </c>
      <c r="C20" s="53">
        <f ca="1">ROUND(C19*F20,0)</f>
        <v>0</v>
      </c>
      <c r="D20" s="812" t="s">
        <v>1759</v>
      </c>
      <c r="E20" s="784" t="s">
        <v>1747</v>
      </c>
      <c r="F20" s="809">
        <f>'数据-取费表'!B37</f>
        <v>0.02</v>
      </c>
      <c r="G20" s="1592"/>
      <c r="H20" s="1650" t="s">
        <v>1880</v>
      </c>
      <c r="I20" s="341" t="s">
        <v>1760</v>
      </c>
      <c r="J20" s="54">
        <f ca="1">ROUND(M20*M21/10000,0)</f>
        <v>0</v>
      </c>
      <c r="K20" s="814" t="s">
        <v>1761</v>
      </c>
      <c r="L20" s="784" t="s">
        <v>1762</v>
      </c>
      <c r="M20" s="640">
        <f>'数据-取费表'!B52</f>
        <v>1.5</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1890</v>
      </c>
      <c r="B21" s="784" t="s">
        <v>1763</v>
      </c>
      <c r="C21" s="53" t="s">
        <v>1764</v>
      </c>
      <c r="D21" s="812" t="s">
        <v>2298</v>
      </c>
      <c r="E21" s="784" t="s">
        <v>1765</v>
      </c>
      <c r="F21" s="809">
        <f>'数据-取费表'!B38</f>
        <v>0.02</v>
      </c>
      <c r="G21" s="1592"/>
      <c r="H21" s="2484"/>
      <c r="I21" s="793"/>
      <c r="J21" s="69"/>
      <c r="K21" s="816"/>
      <c r="L21" s="784" t="s">
        <v>1766</v>
      </c>
      <c r="M21" s="785">
        <f ca="1">INDIRECT("'数据-取费表'!r"&amp;$G$1)</f>
        <v>0</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1891</v>
      </c>
      <c r="B22" s="784" t="s">
        <v>1767</v>
      </c>
      <c r="C22" s="53"/>
      <c r="D22" s="2550" t="str">
        <f>IF(F23&lt;=1,"单利计息。","复利计息。")&amp;"建造成本、管理费用、销售费用产生的利息。"</f>
        <v>复利计息。建造成本、管理费用、销售费用产生的利息。</v>
      </c>
      <c r="E22" s="1981"/>
      <c r="F22" s="56"/>
      <c r="G22" s="1591"/>
      <c r="H22" s="1648" t="s">
        <v>1889</v>
      </c>
      <c r="I22" s="784" t="s">
        <v>1768</v>
      </c>
      <c r="J22" s="53">
        <f ca="1">ROUND(J14*M22,0)</f>
        <v>0</v>
      </c>
      <c r="K22" s="2462" t="s">
        <v>1769</v>
      </c>
      <c r="L22" s="784" t="s">
        <v>1747</v>
      </c>
      <c r="M22" s="817">
        <f ca="1">INDIRECT("'数据-取费表'!Ak"&amp;$G$1)</f>
        <v>0</v>
      </c>
    </row>
    <row r="23" spans="1:33" s="2063" customFormat="1" ht="18" customHeight="1">
      <c r="A23" s="1647" t="s">
        <v>1831</v>
      </c>
      <c r="B23" s="784" t="s">
        <v>2535</v>
      </c>
      <c r="C23" s="53">
        <f ca="1">ROUND(IF('数据-取费表'!B22&lt;=1,(C19+C20)*F24*F23/2,(C19+C20)*(POWER((1+F24),F23/2)-1)),0)</f>
        <v>0</v>
      </c>
      <c r="D23" s="2549" t="str">
        <f>IF(F23&lt;=1,"(建造成本+管理费用)×利率×(建设周期÷2)","(建造成本+管理费用)×((1+利率)^(建设周期÷2)-1)")</f>
        <v>(建造成本+管理费用)×((1+利率)^(建设周期÷2)-1)</v>
      </c>
      <c r="E23" s="784" t="s">
        <v>1770</v>
      </c>
      <c r="F23" s="640">
        <f>'数据-取费表'!B20</f>
        <v>1.5</v>
      </c>
      <c r="G23" s="1592"/>
      <c r="H23" s="1648" t="s">
        <v>1890</v>
      </c>
      <c r="I23" s="784" t="s">
        <v>678</v>
      </c>
      <c r="J23" s="53">
        <f ca="1">ROUND(J13*M23,0)</f>
        <v>0</v>
      </c>
      <c r="K23" s="2462" t="s">
        <v>1771</v>
      </c>
      <c r="L23" s="784" t="s">
        <v>1747</v>
      </c>
      <c r="M23" s="818">
        <f ca="1">INDIRECT("'数据-取费表'!Al"&amp;$G$1)</f>
        <v>0</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1832</v>
      </c>
      <c r="B24" s="784" t="s">
        <v>1772</v>
      </c>
      <c r="C24" s="53">
        <f ca="1">ROUND(IF('数据-取费表'!B22&lt;=1,F21*F24*F23/2,F21*(POWER((1+F24),F23/2)-1)),4)</f>
        <v>6.9999999999999999E-4</v>
      </c>
      <c r="D24" s="2549" t="str">
        <f>IF(F23&lt;=1,"销售费用×利率×(建设周期÷2)","销售费用×((1+利率)^(建设周期÷2)-1)")</f>
        <v>销售费用×((1+利率)^(建设周期÷2)-1)</v>
      </c>
      <c r="E24" s="784" t="s">
        <v>1773</v>
      </c>
      <c r="F24" s="819">
        <f ca="1">'数据-取费表'!B40</f>
        <v>4.7500000000000001E-2</v>
      </c>
      <c r="G24" s="1592"/>
      <c r="H24" s="2529" t="s">
        <v>1891</v>
      </c>
      <c r="I24" s="2524" t="s">
        <v>665</v>
      </c>
      <c r="J24" s="2522">
        <f ca="1">ROUND(J5*M24,0)</f>
        <v>0</v>
      </c>
      <c r="K24" s="2523" t="s">
        <v>1774</v>
      </c>
      <c r="L24" s="2524" t="s">
        <v>1747</v>
      </c>
      <c r="M24" s="2520">
        <f ca="1">INDIRECT("'数据-取费表'!Am"&amp;$G$1)</f>
        <v>0</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1840</v>
      </c>
      <c r="B25" s="784" t="s">
        <v>683</v>
      </c>
      <c r="C25" s="53"/>
      <c r="D25" s="261" t="s">
        <v>1775</v>
      </c>
      <c r="E25" s="1981"/>
      <c r="F25" s="56"/>
      <c r="G25" s="1591"/>
      <c r="H25" s="1828" t="s">
        <v>1776</v>
      </c>
      <c r="I25" s="2984" t="s">
        <v>2821</v>
      </c>
      <c r="J25" s="792">
        <f ca="1">J5-J16</f>
        <v>0</v>
      </c>
      <c r="K25" s="2526" t="s">
        <v>1777</v>
      </c>
      <c r="L25" s="2527"/>
      <c r="M25" s="2528"/>
    </row>
    <row r="26" spans="1:33" ht="18" customHeight="1">
      <c r="A26" s="1647" t="s">
        <v>1831</v>
      </c>
      <c r="B26" s="784" t="s">
        <v>2438</v>
      </c>
      <c r="C26" s="53">
        <f ca="1">ROUND((C19+C20)*F26,0)</f>
        <v>0</v>
      </c>
      <c r="D26" s="812" t="s">
        <v>1778</v>
      </c>
      <c r="E26" s="795" t="s">
        <v>1779</v>
      </c>
      <c r="F26" s="794">
        <f ca="1">INDIRECT("'数据-取费表'!q"&amp;$G$1)</f>
        <v>0</v>
      </c>
      <c r="G26" s="1591"/>
      <c r="H26" s="2480" t="s">
        <v>1780</v>
      </c>
      <c r="I26" s="2231" t="s">
        <v>2826</v>
      </c>
      <c r="J26" s="783">
        <f ca="1">IF(J5&lt;&gt;0,ROUND(J25*(1-((1+M28)/(1+M26))^M27)/(M26-M28),0),0)</f>
        <v>0</v>
      </c>
      <c r="K26" s="814" t="s">
        <v>1781</v>
      </c>
      <c r="L26" s="784" t="s">
        <v>2419</v>
      </c>
      <c r="M26" s="794">
        <f ca="1">INDIRECT("'数据-取费表'!I"&amp;$G$1)</f>
        <v>0</v>
      </c>
    </row>
    <row r="27" spans="1:33" ht="18" customHeight="1">
      <c r="A27" s="1647" t="s">
        <v>1832</v>
      </c>
      <c r="B27" s="784" t="s">
        <v>685</v>
      </c>
      <c r="C27" s="53">
        <f ca="1">ROUND(F21*F26,4)</f>
        <v>0</v>
      </c>
      <c r="D27" s="812" t="s">
        <v>1782</v>
      </c>
      <c r="E27" s="806"/>
      <c r="F27" s="807"/>
      <c r="G27" s="1591"/>
      <c r="H27" s="2481"/>
      <c r="I27" s="787"/>
      <c r="J27" s="788"/>
      <c r="K27" s="821" t="s">
        <v>1783</v>
      </c>
      <c r="L27" s="784" t="s">
        <v>1784</v>
      </c>
      <c r="M27" s="822">
        <f ca="1">INDIRECT("'数据-取费表'!ag"&amp;$G$1)</f>
        <v>0</v>
      </c>
    </row>
    <row r="28" spans="1:33" s="2063" customFormat="1" ht="18" customHeight="1">
      <c r="A28" s="1649" t="s">
        <v>1841</v>
      </c>
      <c r="B28" s="784" t="s">
        <v>686</v>
      </c>
      <c r="C28" s="53">
        <f>ROUND(F28/(1+'数据-取费表'!C42),4)</f>
        <v>5.33E-2</v>
      </c>
      <c r="D28" s="812" t="s">
        <v>2299</v>
      </c>
      <c r="E28" s="784" t="s">
        <v>1785</v>
      </c>
      <c r="F28" s="809">
        <f>'数据-取费表'!B41</f>
        <v>5.6000000000000001E-2</v>
      </c>
      <c r="G28" s="1592"/>
      <c r="H28" s="1828"/>
      <c r="I28" s="791"/>
      <c r="J28" s="792"/>
      <c r="K28" s="816"/>
      <c r="L28" s="784" t="s">
        <v>1786</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1892</v>
      </c>
      <c r="B29" s="2519" t="s">
        <v>2300</v>
      </c>
      <c r="C29" s="2522">
        <f ca="1">ROUND((C19+C20+C23+C26)/(1-F21-C24-C27-C28),0)</f>
        <v>0</v>
      </c>
      <c r="D29" s="2523"/>
      <c r="E29" s="2524"/>
      <c r="F29" s="2525"/>
      <c r="G29" s="1592"/>
      <c r="H29" s="823" t="s">
        <v>1787</v>
      </c>
      <c r="I29" s="824" t="s">
        <v>1788</v>
      </c>
      <c r="J29" s="825">
        <f ca="1">ROUND(J26/(1+F40)^F41,0)</f>
        <v>0</v>
      </c>
      <c r="K29" s="826" t="s">
        <v>1789</v>
      </c>
      <c r="L29" s="827"/>
      <c r="M29" s="828">
        <f ca="1">INDIRECT("'数据-取费表'!k"&amp;$G$1)</f>
        <v>0</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2">
        <f ca="1">ROUND(C31+C36+C37+C38,0)</f>
        <v>0</v>
      </c>
      <c r="D30" s="1820" t="s">
        <v>1791</v>
      </c>
      <c r="E30" s="2464"/>
      <c r="F30" s="2469"/>
      <c r="G30" s="2061"/>
      <c r="H30" s="2064"/>
      <c r="I30" s="2065"/>
      <c r="J30" s="2066"/>
      <c r="K30" s="2067"/>
      <c r="L30" s="2068"/>
      <c r="M30" s="2069"/>
    </row>
    <row r="31" spans="1:33" ht="18" customHeight="1">
      <c r="A31" s="1648" t="s">
        <v>1830</v>
      </c>
      <c r="B31" s="784" t="s">
        <v>655</v>
      </c>
      <c r="C31" s="53">
        <f ca="1">ROUND(IF(项目基本情况!B11="自然人",C5*F31,C32+C33+C34),1)</f>
        <v>0</v>
      </c>
      <c r="D31" s="1978" t="s">
        <v>1792</v>
      </c>
      <c r="E31" s="1976" t="s">
        <v>1793</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1831</v>
      </c>
      <c r="B32" s="784" t="s">
        <v>1794</v>
      </c>
      <c r="C32" s="53">
        <f ca="1">ROUND(C5*F32/1.05,1)</f>
        <v>0</v>
      </c>
      <c r="D32" s="1976" t="s">
        <v>1795</v>
      </c>
      <c r="E32" s="784" t="s">
        <v>1796</v>
      </c>
      <c r="F32" s="809">
        <f>'数据-取费表'!B41</f>
        <v>5.6000000000000001E-2</v>
      </c>
      <c r="G32" s="2061"/>
      <c r="H32" s="2070"/>
      <c r="I32" s="2071"/>
      <c r="J32" s="2072"/>
      <c r="K32" s="2073"/>
      <c r="L32" s="2074"/>
      <c r="M32" s="2075"/>
    </row>
    <row r="33" spans="1:18" ht="18" customHeight="1">
      <c r="A33" s="1647"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1"/>
      <c r="H33" s="2076"/>
      <c r="I33" s="2076"/>
      <c r="J33" s="2076"/>
      <c r="K33" s="2077"/>
      <c r="L33" s="2076"/>
      <c r="M33" s="2076"/>
    </row>
    <row r="34" spans="1:18" ht="18" customHeight="1">
      <c r="A34" s="1650" t="s">
        <v>1833</v>
      </c>
      <c r="B34" s="341" t="s">
        <v>1798</v>
      </c>
      <c r="C34" s="54">
        <f ca="1">ROUND(F34*F35/10000,1)</f>
        <v>0</v>
      </c>
      <c r="D34" s="814" t="s">
        <v>1799</v>
      </c>
      <c r="E34" s="784" t="s">
        <v>1800</v>
      </c>
      <c r="F34" s="640">
        <f>'数据-取费表'!B52</f>
        <v>1.5</v>
      </c>
      <c r="G34" s="2061"/>
      <c r="H34" s="2064"/>
      <c r="I34" s="835" t="s">
        <v>1813</v>
      </c>
      <c r="J34" s="836"/>
      <c r="K34" s="2079"/>
      <c r="L34" s="2078"/>
      <c r="M34" s="2078"/>
    </row>
    <row r="35" spans="1:18" ht="18" customHeight="1">
      <c r="A35" s="815"/>
      <c r="B35" s="793"/>
      <c r="C35" s="69"/>
      <c r="D35" s="816"/>
      <c r="E35" s="784" t="s">
        <v>1801</v>
      </c>
      <c r="F35" s="785">
        <f ca="1">INDIRECT("'数据-取费表'!r"&amp;$G$1)</f>
        <v>0</v>
      </c>
      <c r="G35" s="2061"/>
      <c r="H35" s="2064"/>
      <c r="I35" s="837" t="s">
        <v>1814</v>
      </c>
      <c r="J35" s="838">
        <f ca="1">ROUND(C13*J36,0)</f>
        <v>0</v>
      </c>
      <c r="K35" s="2077"/>
      <c r="L35" s="2076"/>
      <c r="M35" s="2076"/>
    </row>
    <row r="36" spans="1:18" ht="18" customHeight="1">
      <c r="A36" s="1648" t="s">
        <v>1889</v>
      </c>
      <c r="B36" s="784" t="s">
        <v>1802</v>
      </c>
      <c r="C36" s="53">
        <f ca="1">ROUND(C29*F36,1)</f>
        <v>0</v>
      </c>
      <c r="D36" s="1976" t="s">
        <v>1803</v>
      </c>
      <c r="E36" s="784" t="s">
        <v>1796</v>
      </c>
      <c r="F36" s="817">
        <f ca="1">INDIRECT("'数据-取费表'!Ak"&amp;$G$1)</f>
        <v>0</v>
      </c>
      <c r="G36" s="2061"/>
      <c r="H36" s="2076"/>
      <c r="I36" s="839" t="s">
        <v>1815</v>
      </c>
      <c r="J36" s="840">
        <f ca="1">INDIRECT("'数据-取费表'!j"&amp;$G$1)</f>
        <v>0</v>
      </c>
      <c r="K36" s="2081"/>
      <c r="L36" s="2076"/>
      <c r="M36" s="2076"/>
    </row>
    <row r="37" spans="1:18" ht="18" customHeight="1">
      <c r="A37" s="1648" t="s">
        <v>1890</v>
      </c>
      <c r="B37" s="784" t="s">
        <v>678</v>
      </c>
      <c r="C37" s="53">
        <f ca="1">ROUND(C13*F37,1)</f>
        <v>0</v>
      </c>
      <c r="D37" s="1976" t="s">
        <v>1804</v>
      </c>
      <c r="E37" s="784" t="s">
        <v>1796</v>
      </c>
      <c r="F37" s="818">
        <f ca="1">INDIRECT("'数据-取费表'!Al"&amp;$G$1)</f>
        <v>0</v>
      </c>
      <c r="G37" s="2061"/>
      <c r="H37" s="2076"/>
      <c r="I37" s="841" t="s">
        <v>1816</v>
      </c>
      <c r="J37" s="842"/>
      <c r="K37" s="2081"/>
      <c r="L37" s="2076"/>
      <c r="M37" s="2076"/>
    </row>
    <row r="38" spans="1:18" ht="18" customHeight="1" thickBot="1">
      <c r="A38" s="2529" t="s">
        <v>1891</v>
      </c>
      <c r="B38" s="2524" t="s">
        <v>665</v>
      </c>
      <c r="C38" s="2522">
        <f ca="1">ROUND(C5*F38,1)</f>
        <v>0</v>
      </c>
      <c r="D38" s="2523" t="s">
        <v>1805</v>
      </c>
      <c r="E38" s="2524" t="s">
        <v>1796</v>
      </c>
      <c r="F38" s="2520">
        <f ca="1">INDIRECT("'数据-取费表'!Am"&amp;$G$1)</f>
        <v>0</v>
      </c>
      <c r="G38" s="2061"/>
      <c r="H38" s="2076"/>
      <c r="I38" s="843" t="s">
        <v>1817</v>
      </c>
      <c r="J38" s="844"/>
      <c r="K38" s="2082"/>
      <c r="L38" s="2076"/>
      <c r="M38" s="2076"/>
    </row>
    <row r="39" spans="1:18" ht="24.6" customHeight="1" thickTop="1">
      <c r="A39" s="1828" t="s">
        <v>1894</v>
      </c>
      <c r="B39" s="2984" t="s">
        <v>2821</v>
      </c>
      <c r="C39" s="792">
        <f ca="1">C5-C30</f>
        <v>0</v>
      </c>
      <c r="D39" s="2526" t="s">
        <v>1806</v>
      </c>
      <c r="E39" s="2527"/>
      <c r="F39" s="2528"/>
      <c r="G39" s="2061"/>
      <c r="H39" s="2076"/>
      <c r="I39" s="837" t="s">
        <v>1818</v>
      </c>
      <c r="J39" s="845" t="e">
        <f ca="1">ROUND(J35/C39,3)</f>
        <v>#DIV/0!</v>
      </c>
      <c r="K39" s="2082"/>
      <c r="L39" s="2076"/>
      <c r="M39" s="2076"/>
    </row>
    <row r="40" spans="1:18" ht="18" customHeight="1">
      <c r="A40" s="781" t="s">
        <v>1895</v>
      </c>
      <c r="B40" s="2231" t="s">
        <v>2301</v>
      </c>
      <c r="C40" s="783" t="e">
        <f ca="1">ROUND(C39*(1-((1+F42)/(1+F40))^F41)/(F40-F42),0)</f>
        <v>#DIV/0!</v>
      </c>
      <c r="D40" s="814" t="s">
        <v>1807</v>
      </c>
      <c r="E40" s="784" t="s">
        <v>2419</v>
      </c>
      <c r="F40" s="794">
        <f ca="1">INDIRECT("'数据-取费表'!I"&amp;$G$1)</f>
        <v>0</v>
      </c>
      <c r="G40" s="2061"/>
      <c r="H40" s="2061"/>
      <c r="I40" s="837" t="s">
        <v>1819</v>
      </c>
      <c r="J40" s="845" t="e">
        <f ca="1">1-J39</f>
        <v>#DIV/0!</v>
      </c>
      <c r="K40" s="2082"/>
      <c r="L40" s="2061"/>
      <c r="M40" s="2061"/>
    </row>
    <row r="41" spans="1:18" ht="18" customHeight="1">
      <c r="A41" s="786"/>
      <c r="B41" s="787"/>
      <c r="C41" s="788"/>
      <c r="D41" s="821" t="s">
        <v>1808</v>
      </c>
      <c r="E41" s="784" t="s">
        <v>2960</v>
      </c>
      <c r="F41" s="822">
        <f ca="1">IF(INDIRECT("'数据-取费表'!af"&amp;$G$1)=0,INDIRECT("'数据-取费表'!ae"&amp;$G$1),INDIRECT("'数据-取费表'!af"&amp;$G$1))</f>
        <v>0</v>
      </c>
      <c r="G41" s="2061"/>
      <c r="H41" s="1987"/>
      <c r="I41" s="843" t="s">
        <v>1820</v>
      </c>
      <c r="J41" s="846"/>
      <c r="K41" s="2081"/>
      <c r="L41" s="1987"/>
      <c r="M41" s="1987"/>
    </row>
    <row r="42" spans="1:18" ht="18" customHeight="1">
      <c r="A42" s="790"/>
      <c r="B42" s="791"/>
      <c r="C42" s="792"/>
      <c r="D42" s="816"/>
      <c r="E42" s="784" t="s">
        <v>1809</v>
      </c>
      <c r="F42" s="794">
        <f ca="1">INDIRECT("'数据-取费表'!v"&amp;$G$1)</f>
        <v>0</v>
      </c>
      <c r="G42" s="2061"/>
      <c r="H42" s="1987"/>
      <c r="I42" s="847" t="s">
        <v>1821</v>
      </c>
      <c r="J42" s="845" t="e">
        <f ca="1">ROUND(C13/C40,3)</f>
        <v>#DIV/0!</v>
      </c>
      <c r="K42" s="2081"/>
      <c r="L42" s="1987"/>
      <c r="M42" s="1987"/>
    </row>
    <row r="43" spans="1:18" ht="18" customHeight="1" thickBot="1">
      <c r="A43" s="823" t="s">
        <v>1787</v>
      </c>
      <c r="B43" s="824" t="s">
        <v>1810</v>
      </c>
      <c r="C43" s="825" t="e">
        <f ca="1">ROUND(C40*10000/F43,0)</f>
        <v>#DIV/0!</v>
      </c>
      <c r="D43" s="826" t="s">
        <v>1811</v>
      </c>
      <c r="E43" s="827" t="s">
        <v>1812</v>
      </c>
      <c r="F43" s="828">
        <f ca="1">INDIRECT("'数据-取费表'!k"&amp;$G$1)</f>
        <v>0</v>
      </c>
      <c r="G43" s="2061"/>
      <c r="H43" s="1987"/>
      <c r="I43" s="847" t="s">
        <v>1822</v>
      </c>
      <c r="J43" s="848"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52" t="e">
        <f ca="1">C67-C40</f>
        <v>#DIV/0!</v>
      </c>
      <c r="D46" s="2084"/>
      <c r="E46" s="2084"/>
      <c r="F46" s="2084"/>
      <c r="I46" s="2356" t="s">
        <v>2343</v>
      </c>
      <c r="J46" s="2357"/>
      <c r="K46" s="2358"/>
      <c r="L46" s="3131" t="e">
        <f ca="1">IF(OR(M47="住宅",D1="土地（套用方法）"),0,IF(L48&gt;J51,L60,J60))</f>
        <v>#DIV/0!</v>
      </c>
      <c r="O46" s="2372" t="s">
        <v>2410</v>
      </c>
      <c r="P46" s="1591"/>
      <c r="Q46" s="1603"/>
      <c r="R46" s="1591"/>
    </row>
    <row r="47" spans="1:18" s="2058" customFormat="1" ht="18" customHeight="1" thickBot="1">
      <c r="A47" s="2350">
        <v>1</v>
      </c>
      <c r="B47" s="2351" t="s">
        <v>634</v>
      </c>
      <c r="C47" s="2552">
        <f ca="1">C48+C52+C54</f>
        <v>0</v>
      </c>
      <c r="D47" s="2084"/>
      <c r="E47" s="2084"/>
      <c r="F47" s="2084"/>
      <c r="I47" s="3121" t="s">
        <v>2344</v>
      </c>
      <c r="J47" s="2359"/>
      <c r="K47" s="3128" t="s">
        <v>2349</v>
      </c>
      <c r="L47" s="3132">
        <f ca="1">INDIRECT("'数据-取费表'!d"&amp;$G$1)</f>
        <v>0</v>
      </c>
      <c r="M47" s="1603" t="str">
        <f>IF(ISNUMBER(FIND("住宅",C1)),"住宅","非住宅")</f>
        <v>非住宅</v>
      </c>
      <c r="O47" s="2373" t="s">
        <v>2375</v>
      </c>
      <c r="P47" s="2374" t="s">
        <v>2376</v>
      </c>
      <c r="Q47" s="2375" t="s">
        <v>2377</v>
      </c>
      <c r="R47" s="2374" t="s">
        <v>2378</v>
      </c>
    </row>
    <row r="48" spans="1:18" s="2058" customFormat="1" ht="18" customHeight="1" thickBot="1">
      <c r="A48" s="2620" t="s">
        <v>2537</v>
      </c>
      <c r="B48" s="2621" t="s">
        <v>2538</v>
      </c>
      <c r="C48" s="2352">
        <f ca="1">ROUND(F48*F50*F49*(1-F51)/10000,0)</f>
        <v>0</v>
      </c>
      <c r="D48" s="2353" t="s">
        <v>635</v>
      </c>
      <c r="E48" s="2354" t="s">
        <v>2296</v>
      </c>
      <c r="F48" s="2355"/>
      <c r="G48" s="2089"/>
      <c r="I48" s="3100" t="s">
        <v>2345</v>
      </c>
      <c r="J48" s="2360"/>
      <c r="K48" s="3129" t="s">
        <v>2351</v>
      </c>
      <c r="L48" s="1907">
        <f ca="1">INDIRECT("'数据-取费表'!f"&amp;$G$1)</f>
        <v>0</v>
      </c>
      <c r="O48" s="2376" t="s">
        <v>2379</v>
      </c>
      <c r="P48" s="2377" t="s">
        <v>2405</v>
      </c>
      <c r="Q48" s="2378" t="e">
        <f ca="1">C40+J29</f>
        <v>#DIV/0!</v>
      </c>
      <c r="R48" s="2377" t="s">
        <v>2380</v>
      </c>
    </row>
    <row r="49" spans="1:18" s="2058" customFormat="1" ht="18" customHeight="1" thickBot="1">
      <c r="A49" s="786"/>
      <c r="B49" s="787"/>
      <c r="C49" s="788"/>
      <c r="D49" s="789"/>
      <c r="E49" s="784" t="s">
        <v>1739</v>
      </c>
      <c r="F49" s="785">
        <f ca="1">F7</f>
        <v>0</v>
      </c>
      <c r="G49" s="2089"/>
      <c r="H49" s="2092"/>
      <c r="I49" s="3100" t="s">
        <v>2346</v>
      </c>
      <c r="J49" s="2361"/>
      <c r="K49" s="3130" t="s">
        <v>2352</v>
      </c>
      <c r="L49" s="2362"/>
      <c r="O49" s="2376" t="s">
        <v>2381</v>
      </c>
      <c r="P49" s="2377" t="s">
        <v>2406</v>
      </c>
      <c r="Q49" s="2378" t="e">
        <f ca="1">J60</f>
        <v>#DIV/0!</v>
      </c>
      <c r="R49" s="2377" t="s">
        <v>2382</v>
      </c>
    </row>
    <row r="50" spans="1:18" s="2058" customFormat="1" ht="18" customHeight="1" thickBot="1">
      <c r="A50" s="786"/>
      <c r="B50" s="787"/>
      <c r="C50" s="788"/>
      <c r="D50" s="789"/>
      <c r="E50" s="784" t="s">
        <v>1740</v>
      </c>
      <c r="F50" s="785">
        <f ca="1">F8</f>
        <v>0</v>
      </c>
      <c r="G50" s="2094"/>
      <c r="H50" s="2092"/>
      <c r="I50" s="3100" t="s">
        <v>2347</v>
      </c>
      <c r="J50" s="3125">
        <f>SUMPRODUCT((I63:I65=J47)*(J62:L62=J48)*(J63:L65))</f>
        <v>0</v>
      </c>
      <c r="K50" s="3130" t="s">
        <v>2353</v>
      </c>
      <c r="L50" s="2362"/>
      <c r="O50" s="2379" t="s">
        <v>2383</v>
      </c>
      <c r="P50" s="2377" t="s">
        <v>2407</v>
      </c>
      <c r="Q50" s="2378">
        <f ca="1">C29</f>
        <v>0</v>
      </c>
      <c r="R50" s="2377" t="s">
        <v>2380</v>
      </c>
    </row>
    <row r="51" spans="1:18" s="2058" customFormat="1" ht="18" customHeight="1" thickBot="1">
      <c r="A51" s="786"/>
      <c r="B51" s="787"/>
      <c r="C51" s="788"/>
      <c r="D51" s="789"/>
      <c r="E51" s="784" t="s">
        <v>639</v>
      </c>
      <c r="F51" s="2349"/>
      <c r="H51" s="2092"/>
      <c r="I51" s="3122" t="s">
        <v>2348</v>
      </c>
      <c r="J51" s="3126">
        <f>IF(J49="",J50,J49+J50-YEAR('数据-取费表'!B2))</f>
        <v>0</v>
      </c>
      <c r="K51" s="3100" t="s">
        <v>2354</v>
      </c>
      <c r="L51" s="3133">
        <f ca="1">ROUND(-PV(INDIRECT("'数据-取费表'!h"&amp;$G$1),L48,(C39-C13*J36),0),0)</f>
        <v>0</v>
      </c>
      <c r="O51" s="2379" t="s">
        <v>2384</v>
      </c>
      <c r="P51" s="2377" t="s">
        <v>2385</v>
      </c>
      <c r="Q51" s="2380" t="e">
        <f ca="1">J58</f>
        <v>#DIV/0!</v>
      </c>
      <c r="R51" s="2381"/>
    </row>
    <row r="52" spans="1:18" s="2058" customFormat="1" ht="18" customHeight="1" thickBot="1">
      <c r="A52" s="781" t="s">
        <v>2536</v>
      </c>
      <c r="B52" s="2472" t="s">
        <v>2459</v>
      </c>
      <c r="C52" s="799">
        <f ca="1">ROUND(IF(F52="押一",C48/12*F11,IF(F52="押二",C48/12*2*F11,IF(F52="押三",C48/12*3*F11,C53*F11))),0)</f>
        <v>0</v>
      </c>
      <c r="D52" s="2479" t="s">
        <v>2971</v>
      </c>
      <c r="E52" s="2476" t="s">
        <v>2464</v>
      </c>
      <c r="F52" s="2599"/>
      <c r="I52" s="3123" t="s">
        <v>2421</v>
      </c>
      <c r="J52" s="2363"/>
      <c r="K52" s="3123" t="s">
        <v>2420</v>
      </c>
      <c r="L52" s="2363"/>
      <c r="O52" s="2379" t="s">
        <v>2386</v>
      </c>
      <c r="P52" s="2377" t="s">
        <v>2387</v>
      </c>
      <c r="Q52" s="2380">
        <f>J52</f>
        <v>0</v>
      </c>
      <c r="R52" s="2381"/>
    </row>
    <row r="53" spans="1:18" s="2058" customFormat="1" ht="39.75" customHeight="1" thickBot="1">
      <c r="A53" s="786"/>
      <c r="B53" s="2473" t="s">
        <v>2573</v>
      </c>
      <c r="C53" s="2477"/>
      <c r="D53" s="2479"/>
      <c r="E53" s="2476"/>
      <c r="F53" s="800"/>
      <c r="I53" s="3124" t="s">
        <v>2974</v>
      </c>
      <c r="J53" s="3127">
        <f ca="1">IF(M47="住宅",IF(D1="——",MAX(J51,L48),MAX(J51,L48-'数据-取费表'!B20)),IF(D1="——",MIN(J51,L48),MIN(J51,L48-'数据-取费表'!B20)))</f>
        <v>0</v>
      </c>
      <c r="K53" s="3484" t="s">
        <v>2962</v>
      </c>
      <c r="L53" s="3485"/>
      <c r="O53" s="2379" t="s">
        <v>2388</v>
      </c>
      <c r="P53" s="2377" t="s">
        <v>2389</v>
      </c>
      <c r="Q53" s="2378">
        <f ca="1">J53</f>
        <v>0</v>
      </c>
      <c r="R53" s="2377" t="s">
        <v>2390</v>
      </c>
    </row>
    <row r="54" spans="1:18" s="2058" customFormat="1" ht="18" customHeight="1" thickBot="1">
      <c r="A54" s="2515" t="s">
        <v>2467</v>
      </c>
      <c r="B54" s="2516" t="s">
        <v>2460</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376" t="s">
        <v>2391</v>
      </c>
      <c r="P54" s="2377" t="s">
        <v>2408</v>
      </c>
      <c r="Q54" s="2378" t="e">
        <f ca="1">Q48+Q49</f>
        <v>#DIV/0!</v>
      </c>
      <c r="R54" s="2381" t="s">
        <v>2392</v>
      </c>
    </row>
    <row r="55" spans="1:18" s="2058" customFormat="1" ht="18" customHeight="1" thickTop="1" thickBot="1">
      <c r="A55" s="797">
        <v>2</v>
      </c>
      <c r="B55" s="798" t="s">
        <v>643</v>
      </c>
      <c r="C55" s="799">
        <f ca="1">C13</f>
        <v>0</v>
      </c>
      <c r="D55" s="795"/>
      <c r="E55" s="795"/>
      <c r="F55" s="800"/>
      <c r="I55" s="3136" t="s">
        <v>2355</v>
      </c>
      <c r="J55" s="3075" t="e">
        <f ca="1">ROUND(IF(J47="钢混",J57/J50,1-(1-2%)*(J50-J57)/J50),3)</f>
        <v>#DIV/0!</v>
      </c>
      <c r="K55" s="3137" t="s">
        <v>2356</v>
      </c>
      <c r="L55" s="2364"/>
      <c r="O55" s="2382" t="s">
        <v>2411</v>
      </c>
      <c r="P55" s="1591"/>
      <c r="Q55" s="1603"/>
      <c r="R55" s="1591"/>
    </row>
    <row r="56" spans="1:18" s="2058" customFormat="1" ht="42.75" customHeight="1" thickBot="1">
      <c r="A56" s="1649"/>
      <c r="B56" s="2230" t="s">
        <v>2302</v>
      </c>
      <c r="C56" s="53">
        <f ca="1">C29</f>
        <v>0</v>
      </c>
      <c r="D56" s="2617"/>
      <c r="E56" s="784"/>
      <c r="F56" s="809"/>
      <c r="I56" s="3138" t="s">
        <v>2357</v>
      </c>
      <c r="J56" s="3148"/>
      <c r="K56" s="3100" t="s">
        <v>2362</v>
      </c>
      <c r="L56" s="1907">
        <f ca="1">IF(L48&lt;J51,"——",L48-J51)</f>
        <v>0</v>
      </c>
      <c r="O56" s="2373" t="s">
        <v>2375</v>
      </c>
      <c r="P56" s="2374" t="s">
        <v>2376</v>
      </c>
      <c r="Q56" s="2375" t="s">
        <v>2377</v>
      </c>
      <c r="R56" s="2374" t="s">
        <v>2378</v>
      </c>
    </row>
    <row r="57" spans="1:18" s="2058" customFormat="1" ht="28.5" customHeight="1" thickBot="1">
      <c r="A57" s="797" t="s">
        <v>1748</v>
      </c>
      <c r="B57" s="798" t="s">
        <v>650</v>
      </c>
      <c r="C57" s="799">
        <f ca="1">ROUND(C58+C63+C64+C65,0)</f>
        <v>0</v>
      </c>
      <c r="D57" s="26" t="s">
        <v>1750</v>
      </c>
      <c r="E57" s="2618"/>
      <c r="F57" s="56"/>
      <c r="I57" s="3139" t="s">
        <v>2358</v>
      </c>
      <c r="J57" s="3140">
        <f ca="1">IF(OR(M47="住宅",J51&lt;L48,J56="是"),"——",J51-L48)</f>
        <v>0</v>
      </c>
      <c r="K57" s="3100" t="s">
        <v>2363</v>
      </c>
      <c r="L57" s="1907">
        <f ca="1">IF(L48&lt;J51,"——",IF(L55="比较法",L49,IF(L55="基准地价",L50,L51)))</f>
        <v>0</v>
      </c>
      <c r="O57" s="2376" t="s">
        <v>2379</v>
      </c>
      <c r="P57" s="2377" t="s">
        <v>2409</v>
      </c>
      <c r="Q57" s="2378" t="e">
        <f ca="1">C40+J29</f>
        <v>#DIV/0!</v>
      </c>
      <c r="R57" s="2377" t="s">
        <v>2380</v>
      </c>
    </row>
    <row r="58" spans="1:18" s="2058" customFormat="1" ht="28.5" customHeight="1" thickBot="1">
      <c r="A58" s="1648" t="s">
        <v>1824</v>
      </c>
      <c r="B58" s="784" t="s">
        <v>655</v>
      </c>
      <c r="C58" s="53">
        <f ca="1">ROUND(IF(项目基本情况!B11="自然人",C47*F58,C59+C60+C61),1)</f>
        <v>0</v>
      </c>
      <c r="D58" s="2616" t="s">
        <v>656</v>
      </c>
      <c r="E58" s="2617" t="s">
        <v>689</v>
      </c>
      <c r="F58" s="810" t="str">
        <f ca="1">IF(项目基本情况!B11="企业","",IF(INDIRECT("'数据-取费表'!c"&amp;$G$1)="住宅",5%,IF(F48*F49*F50/12/(1+'数据-取费表'!C42)&gt;20000,12%,7%)))</f>
        <v/>
      </c>
      <c r="I58" s="3139" t="s">
        <v>2359</v>
      </c>
      <c r="J58" s="3076" t="e">
        <f ca="1">IF(J55&lt;0.4,0.4,J55)</f>
        <v>#DIV/0!</v>
      </c>
      <c r="K58" s="3100" t="s">
        <v>2364</v>
      </c>
      <c r="L58" s="1907" t="e">
        <f ca="1">ROUND(POWER(1+L52,L47-L48)*(POWER(1+L52,L48)-1)/(POWER(1+L52,L47)-1),4)</f>
        <v>#DIV/0!</v>
      </c>
      <c r="O58" s="2376" t="s">
        <v>2381</v>
      </c>
      <c r="P58" s="2377" t="s">
        <v>2412</v>
      </c>
      <c r="Q58" s="2378" t="e">
        <f ca="1">L60</f>
        <v>#DIV/0!</v>
      </c>
      <c r="R58" s="2381" t="s">
        <v>2414</v>
      </c>
    </row>
    <row r="59" spans="1:18" s="2058" customFormat="1" ht="28.5" customHeight="1" thickBot="1">
      <c r="A59" s="1647" t="s">
        <v>1831</v>
      </c>
      <c r="B59" s="784" t="s">
        <v>659</v>
      </c>
      <c r="C59" s="53">
        <f ca="1">ROUND(C47*F59/1.05,1)</f>
        <v>0</v>
      </c>
      <c r="D59" s="2617" t="s">
        <v>1756</v>
      </c>
      <c r="E59" s="784" t="s">
        <v>1747</v>
      </c>
      <c r="F59" s="809">
        <f t="shared" ref="F59:F65" si="0">F32</f>
        <v>5.6000000000000001E-2</v>
      </c>
      <c r="I59" s="3139" t="s">
        <v>2360</v>
      </c>
      <c r="J59" s="3140" t="e">
        <f ca="1">IF(OR(M47="住宅",J51&lt;L48,J56="是"),"——",ROUND(C29*J58,0))</f>
        <v>#DIV/0!</v>
      </c>
      <c r="K59" s="3100"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379" t="s">
        <v>2383</v>
      </c>
      <c r="P59" s="2377" t="s">
        <v>2413</v>
      </c>
      <c r="Q59" s="2378">
        <f>IF(L55="比较法",L49,IF(L55="基准地价",L50,0))</f>
        <v>0</v>
      </c>
      <c r="R59" s="2377" t="s">
        <v>2380</v>
      </c>
    </row>
    <row r="60" spans="1:18" s="2058" customFormat="1" ht="18" customHeight="1" thickBot="1">
      <c r="A60" s="1647" t="s">
        <v>1832</v>
      </c>
      <c r="B60" s="784" t="s">
        <v>1758</v>
      </c>
      <c r="C60" s="53">
        <f ca="1">IF(D60="按租金收入计税",ROUND(C47*F60,1),IF(D60="按房产原值计税",ROUND(C56*F60*0.7,1),INDIRECT("'数据-取费表'!Aj"&amp;$G$1)))</f>
        <v>0</v>
      </c>
      <c r="D60" s="2617" t="str">
        <f>D33</f>
        <v>按房产原值计税</v>
      </c>
      <c r="E60" s="784" t="s">
        <v>1747</v>
      </c>
      <c r="F60" s="809">
        <f t="shared" si="0"/>
        <v>1.2E-2</v>
      </c>
      <c r="I60" s="3141" t="s">
        <v>2361</v>
      </c>
      <c r="J60" s="3142" t="e">
        <f ca="1">IF(OR(M47="住宅",J51&lt;L48,J56="是"),"0",ROUND(J59/(1+J52)^J53,0))</f>
        <v>#DIV/0!</v>
      </c>
      <c r="K60" s="3143" t="s">
        <v>2366</v>
      </c>
      <c r="L60" s="3142" t="e">
        <f ca="1">IF(OR(M47="住宅",L48&lt;J51),0,ROUND(L57*(L58/L59-1),0))</f>
        <v>#DIV/0!</v>
      </c>
      <c r="O60" s="2379" t="s">
        <v>2384</v>
      </c>
      <c r="P60" s="2377" t="s">
        <v>2393</v>
      </c>
      <c r="Q60" s="2380">
        <f>L52</f>
        <v>0</v>
      </c>
      <c r="R60" s="2381"/>
    </row>
    <row r="61" spans="1:18" s="2058" customFormat="1" ht="18" customHeight="1" thickBot="1">
      <c r="A61" s="1650" t="s">
        <v>1833</v>
      </c>
      <c r="B61" s="341" t="s">
        <v>667</v>
      </c>
      <c r="C61" s="54">
        <f ca="1">ROUND(F61*F62/10000,1)</f>
        <v>0</v>
      </c>
      <c r="D61" s="814" t="s">
        <v>668</v>
      </c>
      <c r="E61" s="784" t="s">
        <v>669</v>
      </c>
      <c r="F61" s="640">
        <f t="shared" si="0"/>
        <v>1.5</v>
      </c>
      <c r="K61" s="2085"/>
      <c r="O61" s="2379" t="s">
        <v>2386</v>
      </c>
      <c r="P61" s="2377" t="s">
        <v>2394</v>
      </c>
      <c r="Q61" s="2378" t="e">
        <f ca="1">L58</f>
        <v>#DIV/0!</v>
      </c>
      <c r="R61" s="2381" t="s">
        <v>2395</v>
      </c>
    </row>
    <row r="62" spans="1:18" s="2058" customFormat="1" ht="15.75" thickBot="1">
      <c r="A62" s="815"/>
      <c r="B62" s="793"/>
      <c r="C62" s="69"/>
      <c r="D62" s="816"/>
      <c r="E62" s="784" t="s">
        <v>673</v>
      </c>
      <c r="F62" s="785">
        <f t="shared" ca="1" si="0"/>
        <v>0</v>
      </c>
      <c r="I62" s="3144" t="s">
        <v>2367</v>
      </c>
      <c r="J62" s="3145" t="s">
        <v>2368</v>
      </c>
      <c r="K62" s="3145" t="s">
        <v>2369</v>
      </c>
      <c r="L62" s="3145" t="s">
        <v>2350</v>
      </c>
      <c r="M62" s="3146" t="s">
        <v>2938</v>
      </c>
      <c r="O62" s="2379" t="s">
        <v>2388</v>
      </c>
      <c r="P62" s="2377" t="str">
        <f>K59</f>
        <v>建筑物剩余耐用年限下的土地年期修正系数Kn</v>
      </c>
      <c r="Q62" s="2378" t="e">
        <f ca="1">L59</f>
        <v>#DIV/0!</v>
      </c>
      <c r="R62" s="2381" t="s">
        <v>2397</v>
      </c>
    </row>
    <row r="63" spans="1:18" s="2058" customFormat="1" ht="15.75" thickBot="1">
      <c r="A63" s="1648" t="s">
        <v>1889</v>
      </c>
      <c r="B63" s="784" t="s">
        <v>675</v>
      </c>
      <c r="C63" s="53">
        <f ca="1">ROUND(C56*F63,1)</f>
        <v>0</v>
      </c>
      <c r="D63" s="2617" t="s">
        <v>1803</v>
      </c>
      <c r="E63" s="784" t="s">
        <v>1747</v>
      </c>
      <c r="F63" s="817">
        <f t="shared" ca="1" si="0"/>
        <v>0</v>
      </c>
      <c r="I63" s="3144" t="s">
        <v>2370</v>
      </c>
      <c r="J63" s="3145">
        <v>70</v>
      </c>
      <c r="K63" s="3145">
        <v>50</v>
      </c>
      <c r="L63" s="3145">
        <v>80</v>
      </c>
      <c r="M63" s="3147">
        <v>0.02</v>
      </c>
      <c r="O63" s="2376" t="s">
        <v>2391</v>
      </c>
      <c r="P63" s="2377" t="s">
        <v>2408</v>
      </c>
      <c r="Q63" s="2378" t="e">
        <f ca="1">Q57+Q58</f>
        <v>#DIV/0!</v>
      </c>
      <c r="R63" s="2381" t="s">
        <v>2392</v>
      </c>
    </row>
    <row r="64" spans="1:18" s="2058" customFormat="1" ht="16.5" thickBot="1">
      <c r="A64" s="1648" t="s">
        <v>1890</v>
      </c>
      <c r="B64" s="784" t="s">
        <v>678</v>
      </c>
      <c r="C64" s="53">
        <f ca="1">ROUND(C55*F64,1)</f>
        <v>0</v>
      </c>
      <c r="D64" s="2617" t="s">
        <v>679</v>
      </c>
      <c r="E64" s="784" t="s">
        <v>1747</v>
      </c>
      <c r="F64" s="818">
        <f t="shared" ca="1" si="0"/>
        <v>0</v>
      </c>
      <c r="I64" s="3144" t="s">
        <v>2371</v>
      </c>
      <c r="J64" s="3145">
        <v>50</v>
      </c>
      <c r="K64" s="3145">
        <v>35</v>
      </c>
      <c r="L64" s="3145">
        <v>60</v>
      </c>
      <c r="M64" s="846">
        <v>0</v>
      </c>
      <c r="O64" s="2382" t="s">
        <v>2415</v>
      </c>
      <c r="P64" s="1591"/>
      <c r="Q64" s="1603"/>
      <c r="R64" s="1591"/>
    </row>
    <row r="65" spans="1:18" s="2058" customFormat="1" ht="15.75" thickBot="1">
      <c r="A65" s="1648" t="s">
        <v>1891</v>
      </c>
      <c r="B65" s="784" t="s">
        <v>665</v>
      </c>
      <c r="C65" s="53">
        <f ca="1">ROUND(C47*F65,1)</f>
        <v>0</v>
      </c>
      <c r="D65" s="2617" t="s">
        <v>682</v>
      </c>
      <c r="E65" s="784" t="s">
        <v>1747</v>
      </c>
      <c r="F65" s="794">
        <f t="shared" ca="1" si="0"/>
        <v>0</v>
      </c>
      <c r="I65" s="3144" t="s">
        <v>2372</v>
      </c>
      <c r="J65" s="3145">
        <v>40</v>
      </c>
      <c r="K65" s="3145">
        <v>30</v>
      </c>
      <c r="L65" s="3145">
        <v>50</v>
      </c>
      <c r="M65" s="3147">
        <v>0.02</v>
      </c>
      <c r="O65" s="2373" t="s">
        <v>2375</v>
      </c>
      <c r="P65" s="2374" t="s">
        <v>2376</v>
      </c>
      <c r="Q65" s="2375" t="s">
        <v>2377</v>
      </c>
      <c r="R65" s="2374" t="s">
        <v>2378</v>
      </c>
    </row>
    <row r="66" spans="1:18" s="2058" customFormat="1" ht="24.75" thickBot="1">
      <c r="A66" s="797" t="s">
        <v>1776</v>
      </c>
      <c r="B66" s="2985" t="s">
        <v>2821</v>
      </c>
      <c r="C66" s="799">
        <f ca="1">C47-C57</f>
        <v>0</v>
      </c>
      <c r="D66" s="2616" t="s">
        <v>699</v>
      </c>
      <c r="E66" s="2615"/>
      <c r="F66" s="820"/>
      <c r="K66" s="2085"/>
      <c r="O66" s="2376" t="s">
        <v>2379</v>
      </c>
      <c r="P66" s="2377" t="s">
        <v>2409</v>
      </c>
      <c r="Q66" s="2378" t="e">
        <f ca="1">C40+J29</f>
        <v>#DIV/0!</v>
      </c>
      <c r="R66" s="2377" t="s">
        <v>2380</v>
      </c>
    </row>
    <row r="67" spans="1:18" s="2058" customFormat="1" ht="20.25" thickBot="1">
      <c r="A67" s="781" t="s">
        <v>1780</v>
      </c>
      <c r="B67" s="2231" t="s">
        <v>2301</v>
      </c>
      <c r="C67" s="783" t="e">
        <f ca="1">ROUND(C66*(1-((1+F69)/(1+F67))^F68)/(F67-F69),0)</f>
        <v>#DIV/0!</v>
      </c>
      <c r="D67" s="814" t="s">
        <v>703</v>
      </c>
      <c r="E67" s="784" t="s">
        <v>704</v>
      </c>
      <c r="F67" s="794">
        <f ca="1">F40</f>
        <v>0</v>
      </c>
      <c r="K67" s="2085"/>
      <c r="O67" s="2376" t="s">
        <v>2381</v>
      </c>
      <c r="P67" s="2377" t="s">
        <v>2412</v>
      </c>
      <c r="Q67" s="2378" t="e">
        <f ca="1">L60</f>
        <v>#DIV/0!</v>
      </c>
      <c r="R67" s="2381" t="s">
        <v>2414</v>
      </c>
    </row>
    <row r="68" spans="1:18" ht="21.75" thickBot="1">
      <c r="A68" s="786"/>
      <c r="B68" s="787"/>
      <c r="C68" s="788"/>
      <c r="D68" s="821" t="s">
        <v>1808</v>
      </c>
      <c r="E68" s="784" t="s">
        <v>1784</v>
      </c>
      <c r="F68" s="822">
        <f ca="1">F41</f>
        <v>0</v>
      </c>
      <c r="O68" s="2379" t="s">
        <v>2383</v>
      </c>
      <c r="P68" s="2377" t="s">
        <v>2413</v>
      </c>
      <c r="Q68" s="2383">
        <f ca="1">L51</f>
        <v>0</v>
      </c>
      <c r="R68" s="2384" t="s">
        <v>2416</v>
      </c>
    </row>
    <row r="69" spans="1:18" ht="20.25" thickBot="1">
      <c r="A69" s="790"/>
      <c r="B69" s="791"/>
      <c r="C69" s="792"/>
      <c r="D69" s="816"/>
      <c r="E69" s="784" t="s">
        <v>709</v>
      </c>
      <c r="F69" s="2349"/>
      <c r="O69" s="2379" t="s">
        <v>2384</v>
      </c>
      <c r="P69" s="2385" t="s">
        <v>2398</v>
      </c>
      <c r="Q69" s="2378">
        <f ca="1">ROUND(Q70-Q71*Q72,0)</f>
        <v>0</v>
      </c>
      <c r="R69" s="2381"/>
    </row>
    <row r="70" spans="1:18" ht="15.75" thickBot="1">
      <c r="A70" s="823" t="s">
        <v>1787</v>
      </c>
      <c r="B70" s="824" t="s">
        <v>1810</v>
      </c>
      <c r="C70" s="825" t="e">
        <f ca="1">ROUND(C67*10000/F70,0)</f>
        <v>#DIV/0!</v>
      </c>
      <c r="D70" s="826" t="s">
        <v>1811</v>
      </c>
      <c r="E70" s="827" t="s">
        <v>1812</v>
      </c>
      <c r="F70" s="828">
        <f ca="1">F43</f>
        <v>0</v>
      </c>
      <c r="O70" s="2379" t="s">
        <v>2399</v>
      </c>
      <c r="P70" s="2385" t="s">
        <v>2400</v>
      </c>
      <c r="Q70" s="2378">
        <f ca="1">C39</f>
        <v>0</v>
      </c>
      <c r="R70" s="2377" t="s">
        <v>2380</v>
      </c>
    </row>
    <row r="71" spans="1:18" ht="15.75" thickBot="1">
      <c r="O71" s="2379" t="s">
        <v>2401</v>
      </c>
      <c r="P71" s="2385" t="s">
        <v>2402</v>
      </c>
      <c r="Q71" s="2378">
        <f ca="1">C13</f>
        <v>0</v>
      </c>
      <c r="R71" s="2377" t="s">
        <v>2380</v>
      </c>
    </row>
    <row r="72" spans="1:18" ht="15.75" thickBot="1">
      <c r="O72" s="2379" t="s">
        <v>2403</v>
      </c>
      <c r="P72" s="2385" t="s">
        <v>2404</v>
      </c>
      <c r="Q72" s="2380">
        <f ca="1">J36</f>
        <v>0</v>
      </c>
      <c r="R72" s="2381"/>
    </row>
    <row r="73" spans="1:18" ht="15.75" thickBot="1">
      <c r="O73" s="2379" t="s">
        <v>2386</v>
      </c>
      <c r="P73" s="2377" t="s">
        <v>2393</v>
      </c>
      <c r="Q73" s="2380">
        <f>L52</f>
        <v>0</v>
      </c>
      <c r="R73" s="2381"/>
    </row>
    <row r="74" spans="1:18" ht="20.25" thickBot="1">
      <c r="O74" s="2379" t="s">
        <v>2388</v>
      </c>
      <c r="P74" s="2377" t="s">
        <v>2394</v>
      </c>
      <c r="Q74" s="2378" t="e">
        <f ca="1">L58</f>
        <v>#DIV/0!</v>
      </c>
      <c r="R74" s="2381" t="s">
        <v>2395</v>
      </c>
    </row>
    <row r="75" spans="1:18" ht="15.75" thickBot="1">
      <c r="O75" s="2379" t="s">
        <v>2417</v>
      </c>
      <c r="P75" s="2377" t="str">
        <f>K59</f>
        <v>建筑物剩余耐用年限下的土地年期修正系数Kn</v>
      </c>
      <c r="Q75" s="2378" t="e">
        <f ca="1">L59</f>
        <v>#DIV/0!</v>
      </c>
      <c r="R75" s="2381" t="s">
        <v>2397</v>
      </c>
    </row>
    <row r="76" spans="1:18" ht="15.75" thickBot="1">
      <c r="O76" s="2376" t="s">
        <v>2391</v>
      </c>
      <c r="P76" s="2377" t="s">
        <v>2408</v>
      </c>
      <c r="Q76" s="2378" t="e">
        <f ca="1">Q66+Q67</f>
        <v>#DIV/0!</v>
      </c>
      <c r="R76" s="2381"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6" priority="7">
      <formula>$L$48&gt;$J$51</formula>
    </cfRule>
  </conditionalFormatting>
  <conditionalFormatting sqref="I55">
    <cfRule type="expression" dxfId="105" priority="8">
      <formula>$J$51&gt;$L$48</formula>
    </cfRule>
  </conditionalFormatting>
  <conditionalFormatting sqref="I60">
    <cfRule type="expression" dxfId="104" priority="6">
      <formula>$J$51&gt;$L$48</formula>
    </cfRule>
  </conditionalFormatting>
  <conditionalFormatting sqref="K60">
    <cfRule type="expression" dxfId="103" priority="5">
      <formula>$L$48&gt;$J$51</formula>
    </cfRule>
  </conditionalFormatting>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29.xml><?xml version="1.0" encoding="utf-8"?>
<worksheet xmlns="http://schemas.openxmlformats.org/spreadsheetml/2006/main" xmlns:r="http://schemas.openxmlformats.org/officeDocument/2006/relationships">
  <sheetPr>
    <tabColor rgb="FF92D050"/>
  </sheetPr>
  <dimension ref="A1:I38"/>
  <sheetViews>
    <sheetView workbookViewId="0">
      <selection activeCell="K31" sqref="K31"/>
    </sheetView>
  </sheetViews>
  <sheetFormatPr defaultRowHeight="13.5"/>
  <cols>
    <col min="1" max="1" width="10.5" customWidth="1"/>
    <col min="2" max="2" width="12.875" customWidth="1"/>
    <col min="3" max="3" width="8.75" customWidth="1"/>
  </cols>
  <sheetData>
    <row r="1" spans="1:9" ht="14.25">
      <c r="A1" s="3502" t="s">
        <v>2471</v>
      </c>
      <c r="B1" s="3503"/>
      <c r="C1" s="3504"/>
      <c r="D1" s="3505">
        <f>SUM(I10,I15,I20,I21,I23)</f>
        <v>0</v>
      </c>
      <c r="E1" s="3505"/>
      <c r="F1" s="3505"/>
      <c r="G1" s="3505"/>
      <c r="H1" s="3505"/>
      <c r="I1" s="3506"/>
    </row>
    <row r="2" spans="1:9">
      <c r="A2" s="3492" t="s">
        <v>2472</v>
      </c>
      <c r="B2" s="3493" t="s">
        <v>2473</v>
      </c>
      <c r="C2" s="3493"/>
      <c r="D2" s="2485" t="s">
        <v>2474</v>
      </c>
      <c r="E2" s="2485" t="s">
        <v>2475</v>
      </c>
      <c r="F2" s="2485" t="s">
        <v>2476</v>
      </c>
      <c r="G2" s="2485" t="s">
        <v>2477</v>
      </c>
      <c r="H2" s="2485" t="s">
        <v>2478</v>
      </c>
      <c r="I2" s="2486" t="s">
        <v>2479</v>
      </c>
    </row>
    <row r="3" spans="1:9">
      <c r="A3" s="3492"/>
      <c r="B3" s="3493" t="s">
        <v>2480</v>
      </c>
      <c r="C3" s="3493"/>
      <c r="D3" s="2487"/>
      <c r="E3" s="2485"/>
      <c r="F3" s="2488"/>
      <c r="G3" s="2488"/>
      <c r="H3" s="2489"/>
      <c r="I3" s="2490">
        <f>ROUND(D3*E3*F3*G3*H3/10000,0)</f>
        <v>0</v>
      </c>
    </row>
    <row r="4" spans="1:9">
      <c r="A4" s="3492"/>
      <c r="B4" s="3493" t="s">
        <v>2481</v>
      </c>
      <c r="C4" s="3493"/>
      <c r="D4" s="2487"/>
      <c r="E4" s="2485"/>
      <c r="F4" s="2488"/>
      <c r="G4" s="2488"/>
      <c r="H4" s="2489"/>
      <c r="I4" s="2490">
        <f t="shared" ref="I4:I9" si="0">ROUND(D4*E4*F4*G4*H4/10000,0)</f>
        <v>0</v>
      </c>
    </row>
    <row r="5" spans="1:9">
      <c r="A5" s="3492"/>
      <c r="B5" s="3493" t="s">
        <v>2482</v>
      </c>
      <c r="C5" s="3493"/>
      <c r="D5" s="2487"/>
      <c r="E5" s="2485"/>
      <c r="F5" s="2488"/>
      <c r="G5" s="2488"/>
      <c r="H5" s="2489"/>
      <c r="I5" s="2490">
        <f t="shared" si="0"/>
        <v>0</v>
      </c>
    </row>
    <row r="6" spans="1:9">
      <c r="A6" s="3492"/>
      <c r="B6" s="3493" t="s">
        <v>2483</v>
      </c>
      <c r="C6" s="3493"/>
      <c r="D6" s="2487"/>
      <c r="E6" s="2485"/>
      <c r="F6" s="2488"/>
      <c r="G6" s="2488"/>
      <c r="H6" s="2489"/>
      <c r="I6" s="2490">
        <f t="shared" si="0"/>
        <v>0</v>
      </c>
    </row>
    <row r="7" spans="1:9">
      <c r="A7" s="3492"/>
      <c r="B7" s="3493" t="s">
        <v>2484</v>
      </c>
      <c r="C7" s="3493"/>
      <c r="D7" s="2487"/>
      <c r="E7" s="2485"/>
      <c r="F7" s="2488"/>
      <c r="G7" s="2488"/>
      <c r="H7" s="2489"/>
      <c r="I7" s="2490">
        <f t="shared" si="0"/>
        <v>0</v>
      </c>
    </row>
    <row r="8" spans="1:9">
      <c r="A8" s="3492"/>
      <c r="B8" s="3493" t="s">
        <v>2485</v>
      </c>
      <c r="C8" s="3493"/>
      <c r="D8" s="2487"/>
      <c r="E8" s="2485"/>
      <c r="F8" s="2488"/>
      <c r="G8" s="2488"/>
      <c r="H8" s="2489"/>
      <c r="I8" s="2490">
        <f t="shared" si="0"/>
        <v>0</v>
      </c>
    </row>
    <row r="9" spans="1:9">
      <c r="A9" s="3492"/>
      <c r="B9" s="3493" t="s">
        <v>2486</v>
      </c>
      <c r="C9" s="3493"/>
      <c r="D9" s="2487"/>
      <c r="E9" s="2485"/>
      <c r="F9" s="2488"/>
      <c r="G9" s="2488"/>
      <c r="H9" s="2489"/>
      <c r="I9" s="2490">
        <f t="shared" si="0"/>
        <v>0</v>
      </c>
    </row>
    <row r="10" spans="1:9">
      <c r="A10" s="3492"/>
      <c r="B10" s="3494" t="s">
        <v>2487</v>
      </c>
      <c r="C10" s="3494"/>
      <c r="D10" s="2491">
        <v>527</v>
      </c>
      <c r="E10" s="2491" t="e">
        <f>ROUND(D1*10000/D10/H9,0)</f>
        <v>#DIV/0!</v>
      </c>
      <c r="F10" s="2492"/>
      <c r="G10" s="2492"/>
      <c r="H10" s="2493"/>
      <c r="I10" s="2494">
        <f>SUM(I3:I9)</f>
        <v>0</v>
      </c>
    </row>
    <row r="11" spans="1:9" ht="14.25">
      <c r="A11" s="3492" t="s">
        <v>2488</v>
      </c>
      <c r="B11" s="3493" t="s">
        <v>2489</v>
      </c>
      <c r="C11" s="3493"/>
      <c r="D11" s="2487" t="s">
        <v>2490</v>
      </c>
      <c r="E11" s="2487" t="s">
        <v>2491</v>
      </c>
      <c r="F11" s="2488" t="s">
        <v>2492</v>
      </c>
      <c r="G11" s="2488" t="s">
        <v>2493</v>
      </c>
      <c r="H11" s="2495" t="s">
        <v>2494</v>
      </c>
      <c r="I11" s="2486" t="s">
        <v>2495</v>
      </c>
    </row>
    <row r="12" spans="1:9">
      <c r="A12" s="3492"/>
      <c r="B12" s="3493" t="s">
        <v>2496</v>
      </c>
      <c r="C12" s="3493"/>
      <c r="D12" s="2487"/>
      <c r="E12" s="2487"/>
      <c r="F12" s="2488"/>
      <c r="G12" s="2489"/>
      <c r="H12" s="2496"/>
      <c r="I12" s="2486">
        <f>ROUND(D12*E12*F12*G12/10000,0)</f>
        <v>0</v>
      </c>
    </row>
    <row r="13" spans="1:9">
      <c r="A13" s="3492"/>
      <c r="B13" s="3493" t="s">
        <v>2497</v>
      </c>
      <c r="C13" s="3493"/>
      <c r="D13" s="2487"/>
      <c r="E13" s="2487"/>
      <c r="F13" s="2488"/>
      <c r="G13" s="2489"/>
      <c r="H13" s="2496"/>
      <c r="I13" s="2486">
        <f>ROUND(D13*E13*F13*G13/10000,0)</f>
        <v>0</v>
      </c>
    </row>
    <row r="14" spans="1:9">
      <c r="A14" s="3492"/>
      <c r="B14" s="3493" t="s">
        <v>2498</v>
      </c>
      <c r="C14" s="3493"/>
      <c r="D14" s="2487"/>
      <c r="E14" s="2487"/>
      <c r="F14" s="2488"/>
      <c r="G14" s="2489"/>
      <c r="H14" s="2496"/>
      <c r="I14" s="2486">
        <f>ROUND(D14*E14*F14*G14/10000,0)</f>
        <v>0</v>
      </c>
    </row>
    <row r="15" spans="1:9">
      <c r="A15" s="3492"/>
      <c r="B15" s="3494" t="s">
        <v>2487</v>
      </c>
      <c r="C15" s="3494"/>
      <c r="D15" s="2491"/>
      <c r="E15" s="2491">
        <f>SUM(E12:E14)</f>
        <v>0</v>
      </c>
      <c r="F15" s="2492"/>
      <c r="G15" s="2489"/>
      <c r="H15" s="2496"/>
      <c r="I15" s="2497">
        <f>SUM(I12:I14)</f>
        <v>0</v>
      </c>
    </row>
    <row r="16" spans="1:9" ht="24">
      <c r="A16" s="3492" t="s">
        <v>2499</v>
      </c>
      <c r="B16" s="3493" t="s">
        <v>2500</v>
      </c>
      <c r="C16" s="3493"/>
      <c r="D16" s="2487" t="s">
        <v>2501</v>
      </c>
      <c r="E16" s="2498" t="s">
        <v>2502</v>
      </c>
      <c r="F16" s="2488" t="s">
        <v>2503</v>
      </c>
      <c r="G16" s="2489" t="s">
        <v>2493</v>
      </c>
      <c r="H16" s="2495" t="s">
        <v>2494</v>
      </c>
      <c r="I16" s="2486" t="s">
        <v>2495</v>
      </c>
    </row>
    <row r="17" spans="1:9" ht="14.25">
      <c r="A17" s="3492"/>
      <c r="B17" s="3493" t="s">
        <v>2504</v>
      </c>
      <c r="C17" s="3493"/>
      <c r="D17" s="2487"/>
      <c r="E17" s="2487"/>
      <c r="F17" s="2488"/>
      <c r="G17" s="2489"/>
      <c r="H17" s="2499"/>
      <c r="I17" s="2500">
        <f>ROUND(D17*E17*F17*G17/10000,0)</f>
        <v>0</v>
      </c>
    </row>
    <row r="18" spans="1:9" ht="14.25">
      <c r="A18" s="3492"/>
      <c r="B18" s="3493" t="s">
        <v>2505</v>
      </c>
      <c r="C18" s="3493"/>
      <c r="D18" s="2487"/>
      <c r="E18" s="2487"/>
      <c r="F18" s="2488"/>
      <c r="G18" s="2489"/>
      <c r="H18" s="2499"/>
      <c r="I18" s="2500">
        <f>ROUND(D18*E18*F18*G18/10000,0)</f>
        <v>0</v>
      </c>
    </row>
    <row r="19" spans="1:9" ht="14.25">
      <c r="A19" s="3492"/>
      <c r="B19" s="3493" t="s">
        <v>2506</v>
      </c>
      <c r="C19" s="3493"/>
      <c r="D19" s="2487"/>
      <c r="E19" s="2487"/>
      <c r="F19" s="2488"/>
      <c r="G19" s="2489"/>
      <c r="H19" s="2499"/>
      <c r="I19" s="2500">
        <f>ROUND(D19*E19*F19*G19/10000,0)</f>
        <v>0</v>
      </c>
    </row>
    <row r="20" spans="1:9">
      <c r="A20" s="3492"/>
      <c r="B20" s="3494" t="s">
        <v>2487</v>
      </c>
      <c r="C20" s="3494"/>
      <c r="D20" s="2491">
        <f>SUM(D17:D19)</f>
        <v>0</v>
      </c>
      <c r="E20" s="2491"/>
      <c r="F20" s="2492"/>
      <c r="G20" s="2489"/>
      <c r="H20" s="2496"/>
      <c r="I20" s="2497">
        <f>SUM(I17:I19)</f>
        <v>0</v>
      </c>
    </row>
    <row r="21" spans="1:9">
      <c r="A21" s="3492" t="s">
        <v>2507</v>
      </c>
      <c r="B21" s="3495"/>
      <c r="C21" s="3495"/>
      <c r="D21" s="3495"/>
      <c r="E21" s="3495"/>
      <c r="F21" s="3495"/>
      <c r="G21" s="3495"/>
      <c r="H21" s="2501">
        <v>0.1</v>
      </c>
      <c r="I21" s="2494">
        <f>ROUND(I10*H21,0)</f>
        <v>0</v>
      </c>
    </row>
    <row r="22" spans="1:9" ht="14.25">
      <c r="A22" s="3496" t="s">
        <v>2508</v>
      </c>
      <c r="B22" s="3497"/>
      <c r="C22" s="3498"/>
      <c r="D22" s="2502" t="s">
        <v>2509</v>
      </c>
      <c r="E22" s="2502" t="s">
        <v>2510</v>
      </c>
      <c r="F22" s="2503" t="s">
        <v>2511</v>
      </c>
      <c r="G22" s="2503" t="s">
        <v>2512</v>
      </c>
      <c r="H22" s="2495" t="s">
        <v>2513</v>
      </c>
      <c r="I22" s="2486" t="s">
        <v>2514</v>
      </c>
    </row>
    <row r="23" spans="1:9" ht="14.25" thickBot="1">
      <c r="A23" s="3499"/>
      <c r="B23" s="3500"/>
      <c r="C23" s="3501"/>
      <c r="D23" s="2504"/>
      <c r="E23" s="2504"/>
      <c r="F23" s="2504"/>
      <c r="G23" s="2505"/>
      <c r="H23" s="2506"/>
      <c r="I23" s="2507">
        <f>ROUND(E23*D23*F23*(1-G23)/10000,0)</f>
        <v>0</v>
      </c>
    </row>
    <row r="26" spans="1:9">
      <c r="A26" s="2508" t="s">
        <v>2515</v>
      </c>
      <c r="B26" s="2508"/>
      <c r="C26" s="2508"/>
      <c r="D26" s="2508"/>
      <c r="E26" s="3489">
        <f>C27-C30-C31-C32</f>
        <v>0</v>
      </c>
      <c r="F26" s="3489"/>
      <c r="G26" s="3489"/>
      <c r="H26" s="3018" t="s">
        <v>2842</v>
      </c>
    </row>
    <row r="27" spans="1:9">
      <c r="A27" s="2509">
        <v>1</v>
      </c>
      <c r="B27" s="2510" t="s">
        <v>2516</v>
      </c>
      <c r="C27" s="2510"/>
      <c r="D27" s="2510"/>
      <c r="E27" s="3490"/>
      <c r="F27" s="3490"/>
      <c r="G27" s="3490"/>
    </row>
    <row r="28" spans="1:9">
      <c r="A28" s="2511" t="s">
        <v>2517</v>
      </c>
      <c r="B28" s="2510" t="s">
        <v>2518</v>
      </c>
      <c r="C28" s="2510"/>
      <c r="D28" s="2510"/>
      <c r="E28" s="3490"/>
      <c r="F28" s="3490"/>
      <c r="G28" s="3490"/>
    </row>
    <row r="29" spans="1:9">
      <c r="A29" s="2511" t="s">
        <v>2519</v>
      </c>
      <c r="B29" s="2510" t="s">
        <v>2460</v>
      </c>
      <c r="C29" s="2510"/>
      <c r="D29" s="2510"/>
      <c r="E29" s="2510" t="s">
        <v>2520</v>
      </c>
      <c r="F29" s="2510"/>
      <c r="G29" s="2510"/>
    </row>
    <row r="30" spans="1:9">
      <c r="A30" s="2509">
        <v>2</v>
      </c>
      <c r="B30" s="2510" t="s">
        <v>2521</v>
      </c>
      <c r="C30" s="2510">
        <f>C27*D30</f>
        <v>0</v>
      </c>
      <c r="D30" s="2512">
        <v>0.2</v>
      </c>
      <c r="E30" s="2510" t="s">
        <v>2522</v>
      </c>
      <c r="F30" s="2510"/>
      <c r="G30" s="2510"/>
    </row>
    <row r="31" spans="1:9">
      <c r="A31" s="2509">
        <v>3</v>
      </c>
      <c r="B31" s="2510" t="s">
        <v>2523</v>
      </c>
      <c r="C31" s="2510">
        <f>C25*D31</f>
        <v>0</v>
      </c>
      <c r="D31" s="2512">
        <v>0.15</v>
      </c>
      <c r="E31" s="2510" t="s">
        <v>2524</v>
      </c>
      <c r="F31" s="2510"/>
      <c r="G31" s="2510"/>
    </row>
    <row r="32" spans="1:9">
      <c r="A32" s="2509">
        <v>4</v>
      </c>
      <c r="B32" s="2510" t="s">
        <v>2525</v>
      </c>
      <c r="C32" s="2510">
        <f>C27*D32</f>
        <v>0</v>
      </c>
      <c r="D32" s="2512">
        <v>0.05</v>
      </c>
      <c r="E32" s="3491"/>
      <c r="F32" s="3491"/>
      <c r="G32" s="3491"/>
    </row>
    <row r="33" spans="1:7" hidden="1">
      <c r="A33" s="3486" t="s">
        <v>2526</v>
      </c>
      <c r="B33" s="3487"/>
      <c r="C33" s="3487"/>
      <c r="D33" s="3488"/>
      <c r="E33" s="3489"/>
      <c r="F33" s="3489"/>
      <c r="G33" s="3489"/>
    </row>
    <row r="34" spans="1:7" hidden="1">
      <c r="A34" s="2513">
        <v>1</v>
      </c>
      <c r="B34" s="2510" t="s">
        <v>2527</v>
      </c>
      <c r="C34" s="2510"/>
      <c r="D34" s="2510"/>
      <c r="E34" s="3490"/>
      <c r="F34" s="3490"/>
      <c r="G34" s="3490"/>
    </row>
    <row r="35" spans="1:7" hidden="1">
      <c r="A35" s="2513">
        <v>2</v>
      </c>
      <c r="B35" s="2510" t="s">
        <v>2528</v>
      </c>
      <c r="C35" s="2510"/>
      <c r="D35" s="2510"/>
      <c r="E35" s="3490"/>
      <c r="F35" s="3490"/>
      <c r="G35" s="3490"/>
    </row>
    <row r="36" spans="1:7" hidden="1">
      <c r="A36" s="2513">
        <v>3</v>
      </c>
      <c r="B36" s="2510" t="s">
        <v>2529</v>
      </c>
      <c r="C36" s="2510"/>
      <c r="D36" s="2510"/>
      <c r="E36" s="3490"/>
      <c r="F36" s="3490"/>
      <c r="G36" s="3490"/>
    </row>
    <row r="37" spans="1:7" hidden="1">
      <c r="A37" s="2513">
        <v>4</v>
      </c>
      <c r="B37" s="2510" t="s">
        <v>2530</v>
      </c>
      <c r="C37" s="2510"/>
      <c r="D37" s="2510"/>
      <c r="E37" s="3490"/>
      <c r="F37" s="3490"/>
      <c r="G37" s="3490"/>
    </row>
    <row r="38" spans="1:7" hidden="1">
      <c r="A38" s="3486" t="s">
        <v>2531</v>
      </c>
      <c r="B38" s="3487"/>
      <c r="C38" s="3487"/>
      <c r="D38" s="3488"/>
      <c r="E38" s="3489"/>
      <c r="F38" s="3489"/>
      <c r="G38" s="34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受贵公司委托，我公司对北京市出让国有建设用地使用权进行了预评估。</v>
      </c>
    </row>
    <row r="5" spans="1:4" ht="18.75">
      <c r="A5" s="1793" t="s">
        <v>1905</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68743.19平方米。根据《建设工程规划许可证》[]、《出让合同》[]，估价对象规划建筑面积为31245.48平方米。</v>
      </c>
    </row>
    <row r="7" spans="1:4" ht="56.25">
      <c r="A7" s="1794" t="s">
        <v>2747</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2019年3月4日</v>
      </c>
    </row>
    <row r="12" spans="1:4" ht="18.75">
      <c r="A12" s="1796" t="s">
        <v>2025</v>
      </c>
    </row>
    <row r="13" spans="1:4" ht="18.75">
      <c r="A13" s="1790" t="s">
        <v>2937</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根据《国有土地使用证》[]，估价对象（分摊）出让国有建设用地使用权面积为68743.19平方米。根据《建设工程规划许可证》[]、《出让合同》[]，估价对象规划建筑面积为31245.48平方米。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3月6日、商业2044年3月6日地下车库2054年3月6日、地下仓储2054年3月6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26" spans="1:1" ht="9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602</v>
      </c>
      <c r="B1" s="742"/>
      <c r="C1" s="2181"/>
      <c r="D1" s="2181"/>
      <c r="E1" s="2181"/>
      <c r="F1" s="2181"/>
      <c r="G1" s="2107"/>
    </row>
    <row r="2" spans="1:25" s="2058" customFormat="1" ht="18" customHeight="1">
      <c r="A2" s="423" t="s">
        <v>466</v>
      </c>
      <c r="B2" s="425">
        <f ca="1">C23</f>
        <v>0</v>
      </c>
      <c r="C2" s="2107"/>
      <c r="D2" s="2107"/>
      <c r="E2" s="2107"/>
      <c r="F2" s="2107"/>
      <c r="G2" s="2107"/>
    </row>
    <row r="3" spans="1:25" s="2058" customFormat="1" ht="18" customHeight="1">
      <c r="A3" s="1378" t="s">
        <v>1685</v>
      </c>
      <c r="B3" s="425">
        <f ca="1">ROUND(B2*10000/'数据-汇总表'!E3,0)</f>
        <v>0</v>
      </c>
      <c r="C3" s="2107"/>
      <c r="D3" s="2107"/>
      <c r="E3" s="2107"/>
      <c r="F3" s="2107"/>
      <c r="G3" s="2107"/>
    </row>
    <row r="4" spans="1:25" s="2058" customFormat="1" ht="18" customHeight="1">
      <c r="A4" s="426" t="s">
        <v>467</v>
      </c>
      <c r="B4" s="427">
        <f ca="1">ROUND(B2*10000/'数据-汇总表'!D3,0)</f>
        <v>0</v>
      </c>
      <c r="C4" s="2060"/>
      <c r="D4" s="2107"/>
      <c r="E4" s="2107"/>
      <c r="F4" s="2107"/>
      <c r="G4" s="2107"/>
    </row>
    <row r="5" spans="1:25" s="2058" customFormat="1" ht="18" customHeight="1" thickBot="1">
      <c r="A5" s="429"/>
      <c r="B5" s="430">
        <f ca="1">ROUND(B2/('数据-汇总表'!D3/666.67),0)</f>
        <v>0</v>
      </c>
      <c r="C5" s="431" t="s">
        <v>468</v>
      </c>
      <c r="D5" s="2107"/>
      <c r="E5" s="2107"/>
      <c r="F5" s="2107"/>
      <c r="G5" s="2107"/>
    </row>
    <row r="6" spans="1:25" s="2182" customFormat="1" ht="13.5" customHeight="1">
      <c r="A6" s="743"/>
      <c r="B6" s="744" t="s">
        <v>603</v>
      </c>
      <c r="C6" s="745" t="s">
        <v>604</v>
      </c>
      <c r="D6" s="745" t="s">
        <v>605</v>
      </c>
      <c r="E6" s="746" t="s">
        <v>606</v>
      </c>
      <c r="F6" s="746" t="s">
        <v>607</v>
      </c>
      <c r="G6" s="747"/>
    </row>
    <row r="7" spans="1:25" s="2182" customFormat="1" ht="13.5" customHeight="1">
      <c r="A7" s="2447">
        <v>1</v>
      </c>
      <c r="B7" s="748" t="s">
        <v>608</v>
      </c>
      <c r="C7" s="749">
        <f>C8+C9</f>
        <v>0</v>
      </c>
      <c r="D7" s="749"/>
      <c r="E7" s="750"/>
      <c r="F7" s="750"/>
      <c r="G7" s="2457"/>
    </row>
    <row r="8" spans="1:25" s="2182" customFormat="1" ht="13.5" customHeight="1">
      <c r="A8" s="2447" t="s">
        <v>2440</v>
      </c>
      <c r="B8" s="2450" t="s">
        <v>2442</v>
      </c>
      <c r="C8" s="2451"/>
      <c r="D8" s="749"/>
      <c r="E8" s="750"/>
      <c r="F8" s="750"/>
      <c r="G8" s="751"/>
    </row>
    <row r="9" spans="1:25" s="2182" customFormat="1" ht="13.5" customHeight="1">
      <c r="A9" s="2447" t="s">
        <v>2441</v>
      </c>
      <c r="B9" s="2450" t="s">
        <v>2443</v>
      </c>
      <c r="C9" s="2451"/>
      <c r="D9" s="749"/>
      <c r="E9" s="750"/>
      <c r="F9" s="750"/>
      <c r="G9" s="751"/>
    </row>
    <row r="10" spans="1:25" s="2182" customFormat="1" ht="36">
      <c r="A10" s="2447">
        <v>2</v>
      </c>
      <c r="B10" s="748" t="s">
        <v>612</v>
      </c>
      <c r="C10" s="749">
        <f>C11+C14+C15</f>
        <v>0</v>
      </c>
      <c r="D10" s="760">
        <f>'数据-汇总表'!E3</f>
        <v>31245.480000000003</v>
      </c>
      <c r="E10" s="749">
        <f>'数据-取费表'!B31</f>
        <v>0</v>
      </c>
      <c r="F10" s="761"/>
      <c r="G10" s="759" t="s">
        <v>613</v>
      </c>
    </row>
    <row r="11" spans="1:25" s="2182" customFormat="1" ht="13.5" customHeight="1">
      <c r="A11" s="2447" t="s">
        <v>2440</v>
      </c>
      <c r="B11" s="752" t="s">
        <v>609</v>
      </c>
      <c r="C11" s="753">
        <f>'数据-取费表'!B29</f>
        <v>0</v>
      </c>
      <c r="D11" s="754"/>
      <c r="E11" s="753"/>
      <c r="F11" s="755"/>
      <c r="G11" s="2456" t="s">
        <v>2451</v>
      </c>
    </row>
    <row r="12" spans="1:25" s="2182" customFormat="1" ht="13.5" customHeight="1">
      <c r="A12" s="2454" t="s">
        <v>2448</v>
      </c>
      <c r="B12" s="756" t="s">
        <v>610</v>
      </c>
      <c r="C12" s="757">
        <f>ROUND(D12*E12/10000,0)</f>
        <v>160</v>
      </c>
      <c r="D12" s="758">
        <f>'数据-汇总表'!E5</f>
        <v>10000</v>
      </c>
      <c r="E12" s="757">
        <f>'数据-取费表'!B27</f>
        <v>160</v>
      </c>
      <c r="F12" s="755"/>
      <c r="G12" s="759"/>
    </row>
    <row r="13" spans="1:25" s="2182" customFormat="1" ht="13.5" customHeight="1">
      <c r="A13" s="2454" t="s">
        <v>2447</v>
      </c>
      <c r="B13" s="756" t="s">
        <v>611</v>
      </c>
      <c r="C13" s="757">
        <f>ROUND(D13*E13/10000,0)</f>
        <v>425</v>
      </c>
      <c r="D13" s="758">
        <f>'数据-汇总表'!E6</f>
        <v>21245.480000000003</v>
      </c>
      <c r="E13" s="757">
        <f>'数据-取费表'!B28</f>
        <v>200</v>
      </c>
      <c r="F13" s="755"/>
      <c r="G13" s="759"/>
    </row>
    <row r="14" spans="1:25" s="2182" customFormat="1" ht="13.5" customHeight="1">
      <c r="A14" s="2447" t="s">
        <v>2441</v>
      </c>
      <c r="B14" s="2453" t="s">
        <v>2444</v>
      </c>
      <c r="C14" s="2451"/>
      <c r="D14" s="758"/>
      <c r="E14" s="757"/>
      <c r="F14" s="2452"/>
      <c r="G14" s="2455" t="s">
        <v>2449</v>
      </c>
    </row>
    <row r="15" spans="1:25" s="2182" customFormat="1" ht="13.5" customHeight="1">
      <c r="A15" s="2447" t="s">
        <v>2446</v>
      </c>
      <c r="B15" s="2453" t="s">
        <v>2445</v>
      </c>
      <c r="C15" s="2451"/>
      <c r="D15" s="758"/>
      <c r="E15" s="757"/>
      <c r="F15" s="2452"/>
      <c r="G15" s="2455" t="s">
        <v>2450</v>
      </c>
    </row>
    <row r="16" spans="1:25" s="2183" customFormat="1" ht="48">
      <c r="A16" s="2447">
        <v>3</v>
      </c>
      <c r="B16" s="748" t="s">
        <v>614</v>
      </c>
      <c r="C16" s="2451"/>
      <c r="D16" s="760"/>
      <c r="E16" s="749"/>
      <c r="F16" s="761"/>
      <c r="G16" s="759" t="s">
        <v>2452</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615</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616</v>
      </c>
      <c r="C18" s="749">
        <f>ROUND((C7+C10+C16)*F18,0)</f>
        <v>0</v>
      </c>
      <c r="D18" s="762"/>
      <c r="E18" s="763"/>
      <c r="F18" s="761">
        <f>'数据-取费表'!Q16</f>
        <v>0.2</v>
      </c>
      <c r="G18" s="765" t="s">
        <v>617</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618</v>
      </c>
      <c r="C19" s="749">
        <f ca="1">C7+C10+C16+C17+C18</f>
        <v>0</v>
      </c>
      <c r="D19" s="760"/>
      <c r="E19" s="749"/>
      <c r="F19" s="761"/>
      <c r="G19" s="765" t="s">
        <v>619</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620</v>
      </c>
      <c r="C20" s="749">
        <f ca="1">ROUND(C19*F20,0)</f>
        <v>0</v>
      </c>
      <c r="D20" s="760"/>
      <c r="E20" s="749"/>
      <c r="F20" s="1348"/>
      <c r="G20" s="765" t="s">
        <v>621</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622</v>
      </c>
      <c r="C21" s="749">
        <f ca="1">C19+C20</f>
        <v>0</v>
      </c>
      <c r="D21" s="760"/>
      <c r="E21" s="749"/>
      <c r="F21" s="761"/>
      <c r="G21" s="765" t="s">
        <v>623</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624</v>
      </c>
      <c r="C22" s="749">
        <f ca="1">ROUND(C21*F22,0)</f>
        <v>0</v>
      </c>
      <c r="D22" s="760"/>
      <c r="E22" s="749"/>
      <c r="F22" s="766">
        <f>'数据-取费表'!AP16</f>
        <v>0.749</v>
      </c>
      <c r="G22" s="765" t="s">
        <v>625</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626</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1.xml><?xml version="1.0" encoding="utf-8"?>
<worksheet xmlns="http://schemas.openxmlformats.org/spreadsheetml/2006/main" xmlns:r="http://schemas.openxmlformats.org/officeDocument/2006/relationships">
  <sheetPr>
    <tabColor rgb="FF92D050"/>
    <pageSetUpPr fitToPage="1"/>
  </sheetPr>
  <dimension ref="A1:AE38"/>
  <sheetViews>
    <sheetView workbookViewId="0">
      <selection activeCell="F15" sqref="F15"/>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786" t="s">
        <v>922</v>
      </c>
      <c r="C1" s="2103"/>
      <c r="D1" s="2103"/>
      <c r="E1" s="2103"/>
      <c r="F1" s="2103"/>
      <c r="G1" s="2103"/>
      <c r="H1" s="2103"/>
      <c r="I1" s="2103"/>
      <c r="J1" s="2103"/>
      <c r="K1" s="422">
        <f>MATCH(B1,'数据-取费表'!A6:A16,0)+5</f>
        <v>6</v>
      </c>
    </row>
    <row r="2" spans="1:31" s="2040" customFormat="1" ht="18" customHeight="1">
      <c r="A2" s="2100" t="s">
        <v>466</v>
      </c>
      <c r="B2" s="2104">
        <f ca="1">C36</f>
        <v>19964</v>
      </c>
      <c r="C2" s="2103"/>
      <c r="D2" s="2103"/>
      <c r="E2" s="2103"/>
      <c r="F2" s="2103"/>
      <c r="G2" s="2103"/>
      <c r="H2" s="2103"/>
      <c r="I2" s="2103"/>
      <c r="J2" s="2103"/>
      <c r="K2" s="2103"/>
    </row>
    <row r="3" spans="1:31" s="2040" customFormat="1" ht="18" customHeight="1">
      <c r="A3" s="2105" t="s">
        <v>1684</v>
      </c>
      <c r="B3" s="2106">
        <f ca="1">ROUND(B2*10000/IF(B1="",'数据-汇总表'!E3,INDIRECT("'数据-取费表'!K"&amp;$K$1)),0)</f>
        <v>19964</v>
      </c>
      <c r="C3" s="2103"/>
      <c r="D3" s="2103"/>
      <c r="E3" s="2103"/>
      <c r="F3" s="2103"/>
      <c r="G3" s="2103"/>
      <c r="H3" s="2103"/>
      <c r="I3" s="2103"/>
      <c r="J3" s="2103"/>
      <c r="K3" s="2103"/>
    </row>
    <row r="4" spans="1:31" s="2040" customFormat="1" ht="18" customHeight="1">
      <c r="A4" s="426" t="s">
        <v>467</v>
      </c>
      <c r="B4" s="427">
        <f ca="1">ROUND(B2*10000/IF(B1="",'数据-汇总表'!D3,INDIRECT("'数据-取费表'!R"&amp;$K$1)),0)</f>
        <v>9074</v>
      </c>
      <c r="C4" s="428"/>
      <c r="D4" s="422"/>
      <c r="E4" s="422"/>
      <c r="F4" s="422"/>
      <c r="G4" s="422"/>
      <c r="H4" s="422"/>
      <c r="I4" s="422"/>
      <c r="J4" s="422"/>
      <c r="K4" s="422"/>
    </row>
    <row r="5" spans="1:31" s="2040" customFormat="1" ht="18" customHeight="1" thickBot="1">
      <c r="A5" s="429"/>
      <c r="B5" s="430">
        <f ca="1">ROUND(B2/(IF(B1="",'数据-汇总表'!D3,INDIRECT("'数据-取费表'!R"&amp;$K$1))/666.67),0)</f>
        <v>605</v>
      </c>
      <c r="C5" s="431" t="s">
        <v>468</v>
      </c>
      <c r="D5" s="422"/>
      <c r="E5" s="422"/>
      <c r="F5" s="422"/>
      <c r="G5" s="422"/>
      <c r="H5" s="422"/>
      <c r="I5" s="422"/>
      <c r="J5" s="422"/>
      <c r="K5" s="422"/>
    </row>
    <row r="6" spans="1:31" s="2110" customFormat="1" ht="16.5" customHeight="1">
      <c r="A6" s="2805" t="s">
        <v>1842</v>
      </c>
      <c r="B6" s="2806"/>
      <c r="C6" s="2807">
        <f>SUM(C10:K10)</f>
        <v>31145</v>
      </c>
      <c r="D6" s="2806"/>
      <c r="E6" s="2806"/>
      <c r="F6" s="2806"/>
      <c r="G6" s="2806"/>
      <c r="H6" s="2806"/>
      <c r="I6" s="2806"/>
      <c r="J6" s="2806"/>
      <c r="K6" s="2808"/>
    </row>
    <row r="7" spans="1:31" s="2112" customFormat="1" ht="15">
      <c r="A7" s="2809" t="s">
        <v>469</v>
      </c>
      <c r="B7" s="2810" t="s">
        <v>470</v>
      </c>
      <c r="C7" s="436" t="s">
        <v>3014</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471</v>
      </c>
      <c r="C8" s="2811">
        <f>'不动产比较法-商业'!C49</f>
        <v>31145</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472</v>
      </c>
      <c r="C9" s="441">
        <f>SUMIF('数据-汇总表'!$C19:$C33,'剩余法-待开发商业'!C7,'数据-汇总表'!$E19:$E33)</f>
        <v>10000</v>
      </c>
      <c r="D9" s="441">
        <f>SUMIF('数据-汇总表'!$C19:$C33,'剩余法-待开发商业'!D7,'数据-汇总表'!$E19:$E33)</f>
        <v>0</v>
      </c>
      <c r="E9" s="441">
        <f>SUMIF('数据-汇总表'!$C19:$C33,'剩余法-待开发商业'!E7,'数据-汇总表'!$E19:$E33)</f>
        <v>0</v>
      </c>
      <c r="F9" s="441">
        <f>SUMIF('数据-汇总表'!$C19:$C33,'剩余法-待开发商业'!F7,'数据-汇总表'!$E19:$E33)</f>
        <v>0</v>
      </c>
      <c r="G9" s="441">
        <f>SUMIF('数据-汇总表'!$C19:$C33,'剩余法-待开发商业'!G7,'数据-汇总表'!$E19:$E33)</f>
        <v>0</v>
      </c>
      <c r="H9" s="441">
        <f>SUMIF('数据-汇总表'!$C19:$C33,'剩余法-待开发商业'!H7,'数据-汇总表'!$E19:$E33)</f>
        <v>0</v>
      </c>
      <c r="I9" s="441">
        <f>SUMIF('数据-汇总表'!$C19:$C33,'剩余法-待开发商业'!I7,'数据-汇总表'!$E19:$E33)</f>
        <v>0</v>
      </c>
      <c r="J9" s="441">
        <f>SUMIF('数据-汇总表'!$C19:$C33,'剩余法-待开发商业'!J7,'数据-汇总表'!$E19:$E33)</f>
        <v>0</v>
      </c>
      <c r="K9" s="442">
        <f>SUMIF('数据-汇总表'!$C19:$C33,'剩余法-待开发商业'!K7,'数据-汇总表'!$E19:$E33)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473</v>
      </c>
      <c r="C10" s="3003">
        <f>C8</f>
        <v>31145</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469</v>
      </c>
      <c r="B12" s="2789" t="s">
        <v>470</v>
      </c>
      <c r="C12" s="2818" t="s">
        <v>474</v>
      </c>
      <c r="D12" s="3176" t="s">
        <v>475</v>
      </c>
      <c r="E12" s="3176" t="s">
        <v>476</v>
      </c>
      <c r="F12" s="3176" t="s">
        <v>477</v>
      </c>
      <c r="G12" s="2789"/>
      <c r="H12" s="2790"/>
      <c r="I12" s="2790"/>
      <c r="J12" s="2790"/>
      <c r="K12" s="2791"/>
    </row>
    <row r="13" spans="1:31" s="2115" customFormat="1" ht="13.5" customHeight="1">
      <c r="A13" s="2819" t="s">
        <v>1848</v>
      </c>
      <c r="B13" s="2820" t="s">
        <v>478</v>
      </c>
      <c r="C13" s="450">
        <f ca="1">IF(B1="",'数据-取费表'!P16,INDIRECT("'数据-取费表'!p"&amp;$K$1)+INDIRECT("'数据-取费表'!t"&amp;$K$1))</f>
        <v>2600</v>
      </c>
      <c r="D13" s="2821"/>
      <c r="E13" s="2822"/>
      <c r="F13" s="2823"/>
      <c r="G13" s="2789"/>
      <c r="H13" s="2790"/>
      <c r="I13" s="2790"/>
      <c r="J13" s="2790"/>
      <c r="K13" s="2791"/>
    </row>
    <row r="14" spans="1:31" s="2115" customFormat="1" ht="13.5" customHeight="1">
      <c r="A14" s="2819" t="s">
        <v>1849</v>
      </c>
      <c r="B14" s="2820" t="s">
        <v>479</v>
      </c>
      <c r="C14" s="53">
        <f ca="1">ROUND(C13*F14,0)</f>
        <v>78</v>
      </c>
      <c r="D14" s="2821"/>
      <c r="E14" s="2822"/>
      <c r="F14" s="2824">
        <f>'数据-取费表'!B33</f>
        <v>0.03</v>
      </c>
      <c r="G14" s="2789" t="s">
        <v>480</v>
      </c>
      <c r="H14" s="2790"/>
      <c r="I14" s="2790"/>
      <c r="J14" s="2790"/>
      <c r="K14" s="2791"/>
    </row>
    <row r="15" spans="1:31" s="2115" customFormat="1" ht="13.5" customHeight="1">
      <c r="A15" s="2819" t="s">
        <v>1850</v>
      </c>
      <c r="B15" s="2820" t="s">
        <v>481</v>
      </c>
      <c r="C15" s="53">
        <f ca="1">ROUND(IF(B1="",SUMIF('数据-取费表'!C:C,"住宅",'数据-取费表'!P:P)*F15,IF(INDIRECT("'数据-取费表'!c"&amp;$K$1)="住宅",INDIRECT("'数据-取费表'!P"&amp;$K$1)*F15,0)),0)</f>
        <v>260</v>
      </c>
      <c r="D15" s="2821"/>
      <c r="E15" s="2822"/>
      <c r="F15" s="2824">
        <f>'数据-取费表'!B34</f>
        <v>0.1</v>
      </c>
      <c r="G15" s="2789" t="s">
        <v>482</v>
      </c>
      <c r="H15" s="2790"/>
      <c r="I15" s="2790"/>
      <c r="J15" s="2790"/>
      <c r="K15" s="2791"/>
    </row>
    <row r="16" spans="1:31" s="2116" customFormat="1" ht="13.5" customHeight="1">
      <c r="A16" s="2819" t="s">
        <v>1851</v>
      </c>
      <c r="B16" s="2820" t="s">
        <v>483</v>
      </c>
      <c r="C16" s="53">
        <f ca="1">ROUND(D16*E16/10000,0)</f>
        <v>200</v>
      </c>
      <c r="D16" s="2821">
        <f ca="1">IF(B1="",'数据-汇总表'!E3,INDIRECT("'数据-取费表'!K"&amp;$K$1)+INDIRECT("'数据-取费表'!S"&amp;$K$1))</f>
        <v>10000</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484</v>
      </c>
      <c r="C17" s="2825">
        <f ca="1">ROUND(C13*F17,0)</f>
        <v>39</v>
      </c>
      <c r="D17" s="475"/>
      <c r="E17" s="2825"/>
      <c r="F17" s="2826">
        <f>'数据-取费表'!B36</f>
        <v>1.4999999999999999E-2</v>
      </c>
      <c r="G17" s="261" t="s">
        <v>485</v>
      </c>
      <c r="H17" s="2792"/>
      <c r="I17" s="2792"/>
      <c r="J17" s="2792"/>
      <c r="K17" s="279"/>
    </row>
    <row r="18" spans="1:14" s="2115" customFormat="1" ht="13.5" customHeight="1">
      <c r="A18" s="2827" t="s">
        <v>1853</v>
      </c>
      <c r="B18" s="2828" t="s">
        <v>486</v>
      </c>
      <c r="C18" s="2829">
        <f ca="1">SUM(C13:C17)</f>
        <v>3177</v>
      </c>
      <c r="D18" s="2830"/>
      <c r="E18" s="468"/>
      <c r="F18" s="468"/>
      <c r="G18" s="2793" t="s">
        <v>2430</v>
      </c>
      <c r="H18" s="2794"/>
      <c r="I18" s="2794"/>
      <c r="J18" s="2794"/>
      <c r="K18" s="2795"/>
    </row>
    <row r="19" spans="1:14" s="2115" customFormat="1" ht="13.5" customHeight="1">
      <c r="A19" s="2827" t="s">
        <v>1854</v>
      </c>
      <c r="B19" s="2828" t="s">
        <v>487</v>
      </c>
      <c r="C19" s="3176">
        <f ca="1">ROUND(D19*E19/10000,0)</f>
        <v>0</v>
      </c>
      <c r="D19" s="2831">
        <f ca="1">D16</f>
        <v>10000</v>
      </c>
      <c r="E19" s="3176">
        <f>'数据-取费表'!B32</f>
        <v>0</v>
      </c>
      <c r="F19" s="468"/>
      <c r="G19" s="2789" t="s">
        <v>488</v>
      </c>
      <c r="H19" s="2790"/>
      <c r="I19" s="2794"/>
      <c r="J19" s="2794"/>
      <c r="K19" s="2795"/>
    </row>
    <row r="20" spans="1:14" s="2115" customFormat="1" ht="13.5" customHeight="1">
      <c r="A20" s="2827" t="s">
        <v>1855</v>
      </c>
      <c r="B20" s="2828" t="s">
        <v>489</v>
      </c>
      <c r="C20" s="3176">
        <f ca="1">C21+C22-IF(B1="",'数据-取费表'!B29,IF(G20="已全部缴纳",C21+C22,H20))</f>
        <v>160</v>
      </c>
      <c r="D20" s="2831"/>
      <c r="E20" s="3176"/>
      <c r="F20" s="2832"/>
      <c r="G20" s="3062"/>
      <c r="H20" s="2787"/>
      <c r="I20" s="2788" t="s">
        <v>2651</v>
      </c>
      <c r="J20" s="2794"/>
      <c r="K20" s="2795"/>
    </row>
    <row r="21" spans="1:14" s="2115" customFormat="1" ht="13.5" customHeight="1">
      <c r="A21" s="2819" t="s">
        <v>1856</v>
      </c>
      <c r="B21" s="2820" t="s">
        <v>490</v>
      </c>
      <c r="C21" s="53">
        <f ca="1">ROUND(D21*E21/10000,0)</f>
        <v>160</v>
      </c>
      <c r="D21" s="2821">
        <f ca="1">IF(B1="",'数据-汇总表'!E5,IF(INDIRECT("'数据-取费表'!c"&amp;$K$1)="住宅",INDIRECT("'数据-取费表'!k"&amp;$K$1),0))</f>
        <v>10000</v>
      </c>
      <c r="E21" s="53">
        <f>'数据-取费表'!B27</f>
        <v>160</v>
      </c>
      <c r="F21" s="2824"/>
      <c r="G21" s="26"/>
      <c r="H21" s="51"/>
      <c r="I21" s="51"/>
      <c r="J21" s="51"/>
      <c r="K21" s="2796"/>
    </row>
    <row r="22" spans="1:14" s="2115" customFormat="1" ht="13.5" customHeight="1">
      <c r="A22" s="2819" t="s">
        <v>1857</v>
      </c>
      <c r="B22" s="2820" t="s">
        <v>491</v>
      </c>
      <c r="C22" s="53">
        <f ca="1">ROUND(D22*E22/10000,0)</f>
        <v>0</v>
      </c>
      <c r="D22" s="2821">
        <f ca="1">IF(B1="",'数据-汇总表'!E6,IF(INDIRECT("'数据-取费表'!c"&amp;$K$1)="住宅",INDIRECT("'数据-取费表'!s"&amp;$K$1),INDIRECT("'数据-取费表'!k"&amp;$K$1)+INDIRECT("'数据-取费表'!s"&amp;$K$1)))</f>
        <v>0</v>
      </c>
      <c r="E22" s="53">
        <f>'数据-取费表'!B28</f>
        <v>200</v>
      </c>
      <c r="F22" s="2824"/>
      <c r="G22" s="26"/>
      <c r="H22" s="51"/>
      <c r="I22" s="51"/>
      <c r="J22" s="51"/>
      <c r="K22" s="2796"/>
    </row>
    <row r="23" spans="1:14" s="2115" customFormat="1" ht="13.5" customHeight="1">
      <c r="A23" s="2827" t="s">
        <v>1858</v>
      </c>
      <c r="B23" s="3009" t="s">
        <v>2833</v>
      </c>
      <c r="C23" s="2829">
        <f ca="1">ROUND((C18+C19+C20)*F23,0)</f>
        <v>67</v>
      </c>
      <c r="D23" s="468"/>
      <c r="E23" s="468"/>
      <c r="F23" s="2833">
        <f>'数据-取费表'!B37</f>
        <v>0.02</v>
      </c>
      <c r="G23" s="2789" t="s">
        <v>2431</v>
      </c>
      <c r="H23" s="2790"/>
      <c r="I23" s="2790"/>
      <c r="J23" s="2790"/>
      <c r="K23" s="2791"/>
      <c r="L23" s="2117"/>
      <c r="M23" s="2117"/>
      <c r="N23" s="2117"/>
    </row>
    <row r="24" spans="1:14" s="2115" customFormat="1" ht="13.5" customHeight="1">
      <c r="A24" s="2827" t="s">
        <v>1859</v>
      </c>
      <c r="B24" s="3009" t="s">
        <v>2836</v>
      </c>
      <c r="C24" s="2829">
        <f>ROUND(C6*F24,0)</f>
        <v>623</v>
      </c>
      <c r="D24" s="475"/>
      <c r="E24" s="473"/>
      <c r="F24" s="2833">
        <f>'数据-取费表'!B38</f>
        <v>0.02</v>
      </c>
      <c r="G24" s="2798" t="s">
        <v>498</v>
      </c>
      <c r="H24" s="2792"/>
      <c r="I24" s="2792"/>
      <c r="J24" s="2792"/>
      <c r="K24" s="279"/>
      <c r="L24" s="2117"/>
      <c r="M24" s="2117"/>
      <c r="N24" s="2117"/>
    </row>
    <row r="25" spans="1:14" s="2118" customFormat="1" ht="13.5" customHeight="1">
      <c r="A25" s="2827" t="s">
        <v>1860</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1861</v>
      </c>
      <c r="B26" s="3010" t="s">
        <v>2835</v>
      </c>
      <c r="C26" s="2834">
        <f ca="1">C28</f>
        <v>0</v>
      </c>
      <c r="D26" s="467">
        <f ca="1">C27</f>
        <v>0</v>
      </c>
      <c r="E26" s="469" t="s">
        <v>494</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495</v>
      </c>
      <c r="C27" s="2836">
        <f ca="1">ROUND(IF('数据-取费表'!B22&lt;=1,(1+C25)*F26*'数据-取费表'!B24,(1+C25)*(POWER((1+F26),'数据-取费表'!B24)-1)),4)</f>
        <v>0</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2837</v>
      </c>
      <c r="C28" s="2837">
        <f ca="1">ROUND(IF('数据-取费表'!B22&lt;=1,(C18+C19+C20+C23+C24)*F26*'数据-取费表'!B24/2,(C18+C19+C20+C23+C24)*(POWER((1+F26),'数据-取费表'!B24/2)-1)),0)</f>
        <v>0</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496</v>
      </c>
      <c r="C29" s="2829">
        <f>ROUND(C6*F29/(1+'数据-取费表'!C42),0)</f>
        <v>1661</v>
      </c>
      <c r="D29" s="468"/>
      <c r="E29" s="468"/>
      <c r="F29" s="3011">
        <f>'数据-取费表'!B41</f>
        <v>5.6000000000000001E-2</v>
      </c>
      <c r="G29" s="2798" t="s">
        <v>497</v>
      </c>
      <c r="H29" s="2790"/>
      <c r="I29" s="2790"/>
      <c r="J29" s="2790"/>
      <c r="K29" s="2791"/>
    </row>
    <row r="30" spans="1:14" s="2120" customFormat="1" ht="13.5" customHeight="1">
      <c r="A30" s="1634" t="s">
        <v>1863</v>
      </c>
      <c r="B30" s="2839" t="s">
        <v>499</v>
      </c>
      <c r="C30" s="2834">
        <f ca="1">C31</f>
        <v>5688</v>
      </c>
      <c r="D30" s="477">
        <f ca="1">C32</f>
        <v>2.9000000000000001E-2</v>
      </c>
      <c r="E30" s="469" t="s">
        <v>494</v>
      </c>
      <c r="F30" s="471"/>
      <c r="G30" s="2797" t="s">
        <v>2968</v>
      </c>
      <c r="H30" s="2790"/>
      <c r="I30" s="2790"/>
      <c r="J30" s="2790"/>
      <c r="K30" s="2791"/>
    </row>
    <row r="31" spans="1:14" s="2119" customFormat="1" ht="13.5" customHeight="1">
      <c r="A31" s="803" t="s">
        <v>1856</v>
      </c>
      <c r="B31" s="2835"/>
      <c r="C31" s="450">
        <f ca="1">C18+C19+C20+C23+C24+C26+C29</f>
        <v>5688</v>
      </c>
      <c r="D31" s="472"/>
      <c r="E31" s="473"/>
      <c r="F31" s="474"/>
      <c r="G31" s="261"/>
      <c r="H31" s="2792"/>
      <c r="I31" s="2792"/>
      <c r="J31" s="2792"/>
      <c r="K31" s="279"/>
    </row>
    <row r="32" spans="1:14" s="2119" customFormat="1" ht="13.5" customHeight="1">
      <c r="A32" s="803" t="s">
        <v>1857</v>
      </c>
      <c r="B32" s="2835"/>
      <c r="C32" s="53">
        <f ca="1">ROUND(C25+D26,4)</f>
        <v>2.9000000000000001E-2</v>
      </c>
      <c r="D32" s="472"/>
      <c r="E32" s="473"/>
      <c r="F32" s="474"/>
      <c r="G32" s="261"/>
      <c r="H32" s="2792"/>
      <c r="I32" s="2792"/>
      <c r="J32" s="2792"/>
      <c r="K32" s="279"/>
    </row>
    <row r="33" spans="1:11" s="2121" customFormat="1" ht="13.5" customHeight="1">
      <c r="A33" s="3008" t="s">
        <v>2832</v>
      </c>
      <c r="B33" s="3006" t="s">
        <v>2830</v>
      </c>
      <c r="C33" s="478">
        <f ca="1">C35</f>
        <v>805</v>
      </c>
      <c r="D33" s="467">
        <f ca="1">C34</f>
        <v>0.20580000000000001</v>
      </c>
      <c r="E33" s="469" t="s">
        <v>494</v>
      </c>
      <c r="F33" s="479">
        <f ca="1">IF(B1="",'数据-取费表'!Q16,INDIRECT("'数据-取费表'!q"&amp;$K$1))</f>
        <v>0.2</v>
      </c>
      <c r="G33" s="2793"/>
      <c r="H33" s="2794"/>
      <c r="I33" s="2794"/>
      <c r="J33" s="2794"/>
      <c r="K33" s="2795"/>
    </row>
    <row r="34" spans="1:11" s="2122" customFormat="1" ht="13.5" customHeight="1">
      <c r="A34" s="375" t="s">
        <v>1856</v>
      </c>
      <c r="B34" s="2840" t="s">
        <v>500</v>
      </c>
      <c r="C34" s="472">
        <f ca="1">ROUND((1+C25)*F33,4)</f>
        <v>0.20580000000000001</v>
      </c>
      <c r="D34" s="472"/>
      <c r="E34" s="473"/>
      <c r="F34" s="480"/>
      <c r="G34" s="261" t="s">
        <v>2290</v>
      </c>
      <c r="H34" s="2792"/>
      <c r="I34" s="2792"/>
      <c r="J34" s="2792"/>
      <c r="K34" s="279"/>
    </row>
    <row r="35" spans="1:11" s="2122" customFormat="1" ht="13.5" customHeight="1" thickBot="1">
      <c r="A35" s="1635" t="s">
        <v>1857</v>
      </c>
      <c r="B35" s="3007" t="s">
        <v>2838</v>
      </c>
      <c r="C35" s="1627">
        <f ca="1">ROUND((C18+C19+C20+C23+C24)*F33,0)</f>
        <v>805</v>
      </c>
      <c r="D35" s="1628"/>
      <c r="E35" s="2841"/>
      <c r="F35" s="1629"/>
      <c r="G35" s="2799"/>
      <c r="H35" s="2800"/>
      <c r="I35" s="2800"/>
      <c r="J35" s="2800"/>
      <c r="K35" s="2801"/>
    </row>
    <row r="36" spans="1:11" s="2084" customFormat="1" ht="13.5" customHeight="1" thickBot="1">
      <c r="A36" s="284" t="s">
        <v>1844</v>
      </c>
      <c r="B36" s="2803"/>
      <c r="C36" s="2842">
        <f ca="1">ROUND((C6-C30-C33)/(1+D30+D33),0)</f>
        <v>19964</v>
      </c>
      <c r="D36" s="2803"/>
      <c r="E36" s="2803"/>
      <c r="F36" s="2803"/>
      <c r="G36" s="2802" t="s">
        <v>2839</v>
      </c>
      <c r="H36" s="2803"/>
      <c r="I36" s="2803"/>
      <c r="J36" s="2803"/>
      <c r="K36" s="2804"/>
    </row>
    <row r="38" spans="1:11" ht="12.75" customHeight="1"/>
  </sheetData>
  <sheetProtection password="C66D" sheet="1" objects="1" scenarios="1"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28" fitToHeight="0" orientation="portrait" r:id="rId1"/>
</worksheet>
</file>

<file path=xl/worksheets/sheet32.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7" zoomScale="80" zoomScaleNormal="80" workbookViewId="0">
      <selection activeCell="M53" sqref="M53"/>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01" t="s">
        <v>718</v>
      </c>
      <c r="C1" s="2602" t="s">
        <v>719</v>
      </c>
      <c r="D1" s="2603" t="s">
        <v>922</v>
      </c>
      <c r="E1" s="2604"/>
      <c r="F1" s="2784" t="s">
        <v>3059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00">
        <f>ROUND(B3*D3/10000,0)</f>
        <v>47075</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47075</v>
      </c>
      <c r="C3" s="852" t="s">
        <v>721</v>
      </c>
      <c r="D3" s="851">
        <f>SUMIF('数据-汇总表'!$C19:$C33,D1,'数据-汇总表'!$E19:$E33)</f>
        <v>10000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520</v>
      </c>
      <c r="B4" s="513"/>
      <c r="C4" s="3429" t="s">
        <v>521</v>
      </c>
      <c r="D4" s="3430"/>
      <c r="E4" s="3453" t="s">
        <v>522</v>
      </c>
      <c r="F4" s="3454"/>
      <c r="G4" s="3429" t="s">
        <v>523</v>
      </c>
      <c r="H4" s="3430"/>
      <c r="I4" s="3429" t="s">
        <v>524</v>
      </c>
      <c r="J4" s="3430"/>
      <c r="K4" s="853" t="s">
        <v>525</v>
      </c>
      <c r="L4" s="2132"/>
      <c r="M4" s="2133"/>
      <c r="N4" s="2133"/>
      <c r="O4" s="2133"/>
      <c r="P4" s="3431" t="s">
        <v>526</v>
      </c>
      <c r="Q4" s="3432"/>
      <c r="R4" s="3417" t="s">
        <v>522</v>
      </c>
      <c r="S4" s="3418"/>
      <c r="T4" s="3417" t="s">
        <v>523</v>
      </c>
      <c r="U4" s="3418"/>
      <c r="V4" s="3437" t="s">
        <v>524</v>
      </c>
      <c r="W4" s="3437"/>
      <c r="X4" s="1566"/>
      <c r="Y4" s="3417" t="s">
        <v>526</v>
      </c>
      <c r="Z4" s="3418"/>
      <c r="AA4" s="3412" t="s">
        <v>522</v>
      </c>
      <c r="AB4" s="3412" t="s">
        <v>523</v>
      </c>
      <c r="AC4" s="3412" t="s">
        <v>524</v>
      </c>
    </row>
    <row r="5" spans="1:29" ht="36.75" customHeight="1">
      <c r="A5" s="515"/>
      <c r="B5" s="516"/>
      <c r="C5" s="3508" t="s">
        <v>3027</v>
      </c>
      <c r="D5" s="3441"/>
      <c r="E5" s="3507" t="s">
        <v>3028</v>
      </c>
      <c r="F5" s="3456"/>
      <c r="G5" s="3507" t="s">
        <v>3028</v>
      </c>
      <c r="H5" s="3456"/>
      <c r="I5" s="3507" t="s">
        <v>3028</v>
      </c>
      <c r="J5" s="3456"/>
      <c r="K5" s="854"/>
      <c r="L5" s="2132"/>
      <c r="M5" s="2133"/>
      <c r="N5" s="2133"/>
      <c r="O5" s="2133"/>
      <c r="P5" s="3433"/>
      <c r="Q5" s="3434"/>
      <c r="R5" s="3419"/>
      <c r="S5" s="3420"/>
      <c r="T5" s="3419"/>
      <c r="U5" s="3420"/>
      <c r="V5" s="3437"/>
      <c r="W5" s="3437"/>
      <c r="X5" s="1566"/>
      <c r="Y5" s="3419"/>
      <c r="Z5" s="3420"/>
      <c r="AA5" s="3413"/>
      <c r="AB5" s="3413"/>
      <c r="AC5" s="3413"/>
    </row>
    <row r="6" spans="1:29" ht="15.75" thickBot="1">
      <c r="A6" s="517"/>
      <c r="B6" s="518"/>
      <c r="C6" s="3438" t="s">
        <v>2929</v>
      </c>
      <c r="D6" s="3439"/>
      <c r="E6" s="3457" t="s">
        <v>2929</v>
      </c>
      <c r="F6" s="3458"/>
      <c r="G6" s="3438" t="s">
        <v>2929</v>
      </c>
      <c r="H6" s="3439"/>
      <c r="I6" s="3438" t="s">
        <v>2929</v>
      </c>
      <c r="J6" s="3439"/>
      <c r="K6" s="854" t="s">
        <v>527</v>
      </c>
      <c r="L6" s="2132"/>
      <c r="M6" s="2133"/>
      <c r="N6" s="2133"/>
      <c r="O6" s="2133"/>
      <c r="P6" s="3435"/>
      <c r="Q6" s="3436"/>
      <c r="R6" s="3419"/>
      <c r="S6" s="3420"/>
      <c r="T6" s="3421"/>
      <c r="U6" s="3422"/>
      <c r="V6" s="3437"/>
      <c r="W6" s="3437"/>
      <c r="X6" s="1566"/>
      <c r="Y6" s="3421"/>
      <c r="Z6" s="3422"/>
      <c r="AA6" s="3414"/>
      <c r="AB6" s="3414"/>
      <c r="AC6" s="3414"/>
    </row>
    <row r="7" spans="1:29" s="1219" customFormat="1" ht="15.75" thickBot="1">
      <c r="A7" s="2889"/>
      <c r="B7" s="2896" t="s">
        <v>528</v>
      </c>
      <c r="C7" s="519">
        <f>'数据-取费表'!B2</f>
        <v>43528</v>
      </c>
      <c r="D7" s="520">
        <v>100</v>
      </c>
      <c r="E7" s="521">
        <v>43471</v>
      </c>
      <c r="F7" s="522">
        <f>SUMIF(58:58,YEAR(E7)&amp;"-"&amp;MONTH(E7),59:59)</f>
        <v>100</v>
      </c>
      <c r="G7" s="523">
        <v>43409</v>
      </c>
      <c r="H7" s="520">
        <f>SUMIF(58:58,YEAR(G7)&amp;"-"&amp;MONTH(G7),59:59)</f>
        <v>99.8</v>
      </c>
      <c r="I7" s="523">
        <v>43513</v>
      </c>
      <c r="J7" s="520">
        <f>SUMIF(58:58,YEAR(I7)&amp;"-"&amp;MONTH(I7),59:59)</f>
        <v>100</v>
      </c>
      <c r="K7" s="855"/>
      <c r="L7" s="2134"/>
      <c r="M7" s="2135"/>
      <c r="N7" s="2135"/>
      <c r="O7" s="2135"/>
      <c r="P7" s="3415" t="s">
        <v>529</v>
      </c>
      <c r="Q7" s="3424"/>
      <c r="R7" s="1567" t="s">
        <v>13</v>
      </c>
      <c r="S7" s="1568">
        <f t="shared" ref="S7:S15" si="0">F7</f>
        <v>100</v>
      </c>
      <c r="T7" s="1567" t="s">
        <v>13</v>
      </c>
      <c r="U7" s="1568">
        <f t="shared" ref="U7:U15" si="1">H7</f>
        <v>99.8</v>
      </c>
      <c r="V7" s="1567" t="s">
        <v>13</v>
      </c>
      <c r="W7" s="1568">
        <f t="shared" ref="W7:W15" si="2">J7</f>
        <v>100</v>
      </c>
      <c r="X7" s="1569"/>
      <c r="Y7" s="3415" t="s">
        <v>529</v>
      </c>
      <c r="Z7" s="3416"/>
      <c r="AA7" s="1570">
        <f>D7/F7</f>
        <v>1</v>
      </c>
      <c r="AB7" s="1570">
        <f>D7/H7</f>
        <v>1.0020040080160322</v>
      </c>
      <c r="AC7" s="1570">
        <f>D7/J7</f>
        <v>1</v>
      </c>
    </row>
    <row r="8" spans="1:29" s="1219" customFormat="1" ht="15.75" thickBot="1">
      <c r="A8" s="2890"/>
      <c r="B8" s="2897" t="s">
        <v>530</v>
      </c>
      <c r="C8" s="525" t="s">
        <v>575</v>
      </c>
      <c r="D8" s="520">
        <v>100</v>
      </c>
      <c r="E8" s="856" t="s">
        <v>3031</v>
      </c>
      <c r="F8" s="522">
        <f>SUMIF(61:61,E8,62:62)-SUMIF(61:61,C8,62:62)+100</f>
        <v>100</v>
      </c>
      <c r="G8" s="525" t="s">
        <v>3031</v>
      </c>
      <c r="H8" s="520">
        <f>SUMIF(61:61,G8,62:62)-SUMIF(61:61,C8,62:62)+100</f>
        <v>100</v>
      </c>
      <c r="I8" s="856" t="s">
        <v>3031</v>
      </c>
      <c r="J8" s="520">
        <f>SUMIF(61:61,I8,62:62)-SUMIF(61:61,C8,62:62)+100</f>
        <v>100</v>
      </c>
      <c r="K8" s="855"/>
      <c r="L8" s="2134"/>
      <c r="M8" s="2135"/>
      <c r="N8" s="2135"/>
      <c r="O8" s="2135"/>
      <c r="P8" s="3415" t="s">
        <v>532</v>
      </c>
      <c r="Q8" s="3416"/>
      <c r="R8" s="1567" t="s">
        <v>13</v>
      </c>
      <c r="S8" s="1568">
        <f t="shared" si="0"/>
        <v>100</v>
      </c>
      <c r="T8" s="1567" t="s">
        <v>13</v>
      </c>
      <c r="U8" s="1568">
        <f t="shared" si="1"/>
        <v>100</v>
      </c>
      <c r="V8" s="1567" t="s">
        <v>13</v>
      </c>
      <c r="W8" s="1568">
        <f t="shared" si="2"/>
        <v>100</v>
      </c>
      <c r="X8" s="1569"/>
      <c r="Y8" s="3415" t="s">
        <v>532</v>
      </c>
      <c r="Z8" s="3416"/>
      <c r="AA8" s="1570">
        <f t="shared" ref="AA8:AA46" si="3">D8/F8</f>
        <v>1</v>
      </c>
      <c r="AB8" s="1570">
        <f t="shared" ref="AB8:AB46" si="4">D8/H8</f>
        <v>1</v>
      </c>
      <c r="AC8" s="1570">
        <f t="shared" ref="AC8:AC46" si="5">D8/J8</f>
        <v>1</v>
      </c>
    </row>
    <row r="9" spans="1:29" s="1219" customFormat="1" ht="15">
      <c r="A9" s="2891"/>
      <c r="B9" s="2898" t="s">
        <v>2756</v>
      </c>
      <c r="C9" s="3194" t="s">
        <v>3029</v>
      </c>
      <c r="D9" s="254">
        <v>100</v>
      </c>
      <c r="E9" s="858" t="s">
        <v>922</v>
      </c>
      <c r="F9" s="859">
        <f>SUMIF(63:63,E9,64:64)-SUMIF(63:63,C9,64:64)+100</f>
        <v>100</v>
      </c>
      <c r="G9" s="860" t="s">
        <v>922</v>
      </c>
      <c r="H9" s="254">
        <f>SUMIF(63:63,G9,64:64)-SUMIF(63:63,C9,64:64)+100</f>
        <v>100</v>
      </c>
      <c r="I9" s="860" t="s">
        <v>922</v>
      </c>
      <c r="J9" s="254">
        <f>SUMIF(63:63,I9,64:64)-SUMIF(63:63,C9,64:64)+100</f>
        <v>100</v>
      </c>
      <c r="K9" s="855"/>
      <c r="L9" s="2134"/>
      <c r="M9" s="2135"/>
      <c r="N9" s="2135"/>
      <c r="O9" s="2136"/>
      <c r="P9" s="3423" t="s">
        <v>534</v>
      </c>
      <c r="Q9" s="1150" t="str">
        <f t="shared" ref="Q9:Q15" si="6">B9</f>
        <v>用途</v>
      </c>
      <c r="R9" s="1567" t="s">
        <v>8</v>
      </c>
      <c r="S9" s="1568">
        <f t="shared" si="0"/>
        <v>100</v>
      </c>
      <c r="T9" s="1567" t="s">
        <v>8</v>
      </c>
      <c r="U9" s="1568">
        <f t="shared" si="1"/>
        <v>100</v>
      </c>
      <c r="V9" s="1567" t="s">
        <v>8</v>
      </c>
      <c r="W9" s="1568">
        <f t="shared" si="2"/>
        <v>100</v>
      </c>
      <c r="X9" s="1569"/>
      <c r="Y9" s="3380" t="s">
        <v>535</v>
      </c>
      <c r="Z9" s="1149" t="str">
        <f t="shared" ref="Z9:Z15" si="7">Q9</f>
        <v>用途</v>
      </c>
      <c r="AA9" s="1570">
        <f t="shared" si="3"/>
        <v>1</v>
      </c>
      <c r="AB9" s="1570">
        <f t="shared" si="4"/>
        <v>1</v>
      </c>
      <c r="AC9" s="1570">
        <f t="shared" si="5"/>
        <v>1</v>
      </c>
    </row>
    <row r="10" spans="1:29" s="1337" customFormat="1" ht="27.75" thickBot="1">
      <c r="A10" s="2892"/>
      <c r="B10" s="2897" t="s">
        <v>2757</v>
      </c>
      <c r="C10" s="861" t="s">
        <v>3110</v>
      </c>
      <c r="D10" s="255">
        <v>100</v>
      </c>
      <c r="E10" s="862" t="s">
        <v>3030</v>
      </c>
      <c r="F10" s="863">
        <f>SUMIF(65:65,E10,66:66)-SUMIF(65:65,C10,66:66)+100</f>
        <v>99.75</v>
      </c>
      <c r="G10" s="861" t="s">
        <v>3030</v>
      </c>
      <c r="H10" s="255">
        <f>SUMIF(65:65,G10,66:66)-SUMIF(65:65,C10,66:66)+100</f>
        <v>99.75</v>
      </c>
      <c r="I10" s="861" t="s">
        <v>3030</v>
      </c>
      <c r="J10" s="255">
        <f>SUMIF(65:65,I10,66:66)-SUMIF(65:65,C10,66:66)+100</f>
        <v>99.75</v>
      </c>
      <c r="K10" s="864">
        <v>0.25</v>
      </c>
      <c r="L10" s="2137"/>
      <c r="M10" s="2177"/>
      <c r="N10" s="2177"/>
      <c r="O10" s="2138"/>
      <c r="P10" s="3423"/>
      <c r="Q10" s="1150" t="str">
        <f t="shared" si="6"/>
        <v>土地使用年限（年）</v>
      </c>
      <c r="R10" s="1567" t="s">
        <v>8</v>
      </c>
      <c r="S10" s="1568">
        <f t="shared" si="0"/>
        <v>99.75</v>
      </c>
      <c r="T10" s="1567" t="s">
        <v>8</v>
      </c>
      <c r="U10" s="1568">
        <f t="shared" si="1"/>
        <v>99.75</v>
      </c>
      <c r="V10" s="1567" t="s">
        <v>8</v>
      </c>
      <c r="W10" s="1568">
        <f t="shared" si="2"/>
        <v>99.75</v>
      </c>
      <c r="X10" s="1569"/>
      <c r="Y10" s="3380"/>
      <c r="Z10" s="1149" t="str">
        <f t="shared" si="7"/>
        <v>土地使用年限（年）</v>
      </c>
      <c r="AA10" s="1570">
        <f t="shared" si="3"/>
        <v>1.0025062656641603</v>
      </c>
      <c r="AB10" s="1570">
        <f t="shared" si="4"/>
        <v>1.0025062656641603</v>
      </c>
      <c r="AC10" s="1570">
        <f t="shared" si="5"/>
        <v>1.0025062656641603</v>
      </c>
    </row>
    <row r="11" spans="1:29" ht="15" hidden="1">
      <c r="A11" s="2893"/>
      <c r="B11" s="2897" t="s">
        <v>2758</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c r="L11" s="2139"/>
      <c r="M11" s="2133"/>
      <c r="N11" s="2133"/>
      <c r="O11" s="2140"/>
      <c r="P11" s="3423"/>
      <c r="Q11" s="1150" t="str">
        <f t="shared" si="6"/>
        <v>容积率</v>
      </c>
      <c r="R11" s="1567" t="s">
        <v>11</v>
      </c>
      <c r="S11" s="1568">
        <f t="shared" si="0"/>
        <v>100</v>
      </c>
      <c r="T11" s="1567" t="s">
        <v>11</v>
      </c>
      <c r="U11" s="1568">
        <f t="shared" si="1"/>
        <v>100</v>
      </c>
      <c r="V11" s="1567" t="s">
        <v>11</v>
      </c>
      <c r="W11" s="1568">
        <f t="shared" si="2"/>
        <v>100</v>
      </c>
      <c r="X11" s="1569"/>
      <c r="Y11" s="3380"/>
      <c r="Z11" s="1149" t="str">
        <f t="shared" si="7"/>
        <v>容积率</v>
      </c>
      <c r="AA11" s="1570">
        <f t="shared" si="3"/>
        <v>1</v>
      </c>
      <c r="AB11" s="1570">
        <f t="shared" si="4"/>
        <v>1</v>
      </c>
      <c r="AC11" s="1570">
        <f t="shared" si="5"/>
        <v>1</v>
      </c>
    </row>
    <row r="12" spans="1:29" s="1219" customFormat="1" ht="15" hidden="1">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423"/>
      <c r="Q12" s="1150">
        <f t="shared" si="6"/>
        <v>111</v>
      </c>
      <c r="R12" s="1567" t="s">
        <v>11</v>
      </c>
      <c r="S12" s="1568">
        <f t="shared" si="0"/>
        <v>100</v>
      </c>
      <c r="T12" s="1567" t="s">
        <v>11</v>
      </c>
      <c r="U12" s="1568">
        <f t="shared" si="1"/>
        <v>100</v>
      </c>
      <c r="V12" s="1567" t="s">
        <v>11</v>
      </c>
      <c r="W12" s="1568">
        <f t="shared" si="2"/>
        <v>100</v>
      </c>
      <c r="X12" s="1569"/>
      <c r="Y12" s="3380"/>
      <c r="Z12" s="1149">
        <f t="shared" si="7"/>
        <v>111</v>
      </c>
      <c r="AA12" s="1570">
        <f>D12/F12</f>
        <v>1</v>
      </c>
      <c r="AB12" s="1570">
        <f>D12/H12</f>
        <v>1</v>
      </c>
      <c r="AC12" s="1570">
        <f>D12/J12</f>
        <v>1</v>
      </c>
    </row>
    <row r="13" spans="1:29" ht="15" hidden="1">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423"/>
      <c r="Q13" s="1150">
        <f t="shared" si="6"/>
        <v>111</v>
      </c>
      <c r="R13" s="1567" t="s">
        <v>11</v>
      </c>
      <c r="S13" s="1568">
        <f t="shared" si="0"/>
        <v>100</v>
      </c>
      <c r="T13" s="1567" t="s">
        <v>11</v>
      </c>
      <c r="U13" s="1568">
        <f t="shared" si="1"/>
        <v>100</v>
      </c>
      <c r="V13" s="1567" t="s">
        <v>11</v>
      </c>
      <c r="W13" s="1568">
        <f t="shared" si="2"/>
        <v>100</v>
      </c>
      <c r="X13" s="1569"/>
      <c r="Y13" s="3380"/>
      <c r="Z13" s="1149">
        <f t="shared" si="7"/>
        <v>111</v>
      </c>
      <c r="AA13" s="1570">
        <f t="shared" si="3"/>
        <v>1</v>
      </c>
      <c r="AB13" s="1570">
        <f t="shared" si="4"/>
        <v>1</v>
      </c>
      <c r="AC13" s="1570">
        <f t="shared" si="5"/>
        <v>1</v>
      </c>
    </row>
    <row r="14" spans="1:29" ht="15.75" hidden="1"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423"/>
      <c r="Q14" s="1150">
        <f t="shared" si="6"/>
        <v>111</v>
      </c>
      <c r="R14" s="1567" t="s">
        <v>11</v>
      </c>
      <c r="S14" s="1568">
        <f t="shared" si="0"/>
        <v>100</v>
      </c>
      <c r="T14" s="1567" t="s">
        <v>11</v>
      </c>
      <c r="U14" s="1568">
        <f t="shared" si="1"/>
        <v>100</v>
      </c>
      <c r="V14" s="1567" t="s">
        <v>11</v>
      </c>
      <c r="W14" s="1568">
        <f t="shared" si="2"/>
        <v>100</v>
      </c>
      <c r="X14" s="1569"/>
      <c r="Y14" s="3380"/>
      <c r="Z14" s="1149">
        <f t="shared" si="7"/>
        <v>111</v>
      </c>
      <c r="AA14" s="1570">
        <f t="shared" si="3"/>
        <v>1</v>
      </c>
      <c r="AB14" s="1570">
        <f t="shared" si="4"/>
        <v>1</v>
      </c>
      <c r="AC14" s="1570">
        <f t="shared" si="5"/>
        <v>1</v>
      </c>
    </row>
    <row r="15" spans="1:29" ht="99.75">
      <c r="A15" s="2887" t="s">
        <v>2754</v>
      </c>
      <c r="B15" s="166" t="s">
        <v>294</v>
      </c>
      <c r="C15" s="867" t="str">
        <f>估价对象房地状况!C3</f>
        <v>估价对象周边居住用地比例、居住小区规模和社区发展完善程度，综合评价居住社区成熟度较好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425" t="s">
        <v>539</v>
      </c>
      <c r="Q15" s="1571" t="str">
        <f t="shared" si="6"/>
        <v>居住社区成熟度</v>
      </c>
      <c r="R15" s="1572" t="s">
        <v>11</v>
      </c>
      <c r="S15" s="1573">
        <f t="shared" si="0"/>
        <v>100</v>
      </c>
      <c r="T15" s="1572" t="s">
        <v>11</v>
      </c>
      <c r="U15" s="1573">
        <f t="shared" si="1"/>
        <v>100</v>
      </c>
      <c r="V15" s="1572" t="s">
        <v>11</v>
      </c>
      <c r="W15" s="1573">
        <f t="shared" si="2"/>
        <v>100</v>
      </c>
      <c r="X15" s="1566"/>
      <c r="Y15" s="3425" t="s">
        <v>539</v>
      </c>
      <c r="Z15" s="1574" t="str">
        <f t="shared" si="7"/>
        <v>居住社区成熟度</v>
      </c>
      <c r="AA15" s="1575">
        <f t="shared" si="3"/>
        <v>1</v>
      </c>
      <c r="AB15" s="1575">
        <f t="shared" si="4"/>
        <v>1</v>
      </c>
      <c r="AC15" s="1575">
        <f t="shared" si="5"/>
        <v>1</v>
      </c>
    </row>
    <row r="16" spans="1:29" ht="15">
      <c r="A16" s="532"/>
      <c r="B16" s="869"/>
      <c r="C16" s="576" t="s">
        <v>3032</v>
      </c>
      <c r="D16" s="555"/>
      <c r="E16" s="556" t="s">
        <v>3032</v>
      </c>
      <c r="F16" s="557"/>
      <c r="G16" s="558" t="s">
        <v>3032</v>
      </c>
      <c r="H16" s="559"/>
      <c r="I16" s="556" t="s">
        <v>3032</v>
      </c>
      <c r="J16" s="555"/>
      <c r="K16" s="870"/>
      <c r="L16" s="2141"/>
      <c r="M16" s="2133"/>
      <c r="N16" s="2133"/>
      <c r="O16" s="2140"/>
      <c r="P16" s="3426"/>
      <c r="Q16" s="1571"/>
      <c r="R16" s="1572"/>
      <c r="S16" s="1573"/>
      <c r="T16" s="1572"/>
      <c r="U16" s="1573"/>
      <c r="V16" s="1572"/>
      <c r="W16" s="1573"/>
      <c r="X16" s="1566"/>
      <c r="Y16" s="3426"/>
      <c r="Z16" s="1574"/>
      <c r="AA16" s="1575">
        <v>1</v>
      </c>
      <c r="AB16" s="1575">
        <v>1</v>
      </c>
      <c r="AC16" s="1575">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1"/>
      <c r="M17" s="2133"/>
      <c r="N17" s="2133"/>
      <c r="O17" s="2140"/>
      <c r="P17" s="3426"/>
      <c r="Q17" s="1571" t="str">
        <f>B17</f>
        <v>交通便捷度</v>
      </c>
      <c r="R17" s="1572" t="s">
        <v>11</v>
      </c>
      <c r="S17" s="1573">
        <f>F17</f>
        <v>100</v>
      </c>
      <c r="T17" s="1572" t="s">
        <v>11</v>
      </c>
      <c r="U17" s="1573">
        <f>H17</f>
        <v>100</v>
      </c>
      <c r="V17" s="1572" t="s">
        <v>11</v>
      </c>
      <c r="W17" s="1573">
        <f>J17</f>
        <v>100</v>
      </c>
      <c r="X17" s="1566"/>
      <c r="Y17" s="3426"/>
      <c r="Z17" s="1574" t="str">
        <f>Q17</f>
        <v>交通便捷度</v>
      </c>
      <c r="AA17" s="1575">
        <f t="shared" si="3"/>
        <v>1</v>
      </c>
      <c r="AB17" s="1575">
        <f t="shared" si="4"/>
        <v>1</v>
      </c>
      <c r="AC17" s="1575">
        <f t="shared" si="5"/>
        <v>1</v>
      </c>
    </row>
    <row r="18" spans="1:29" ht="15">
      <c r="A18" s="532"/>
      <c r="B18" s="595"/>
      <c r="C18" s="873" t="s">
        <v>3032</v>
      </c>
      <c r="D18" s="559"/>
      <c r="E18" s="568" t="s">
        <v>3032</v>
      </c>
      <c r="F18" s="563"/>
      <c r="G18" s="569" t="s">
        <v>3032</v>
      </c>
      <c r="H18" s="555"/>
      <c r="I18" s="568" t="s">
        <v>3032</v>
      </c>
      <c r="J18" s="555"/>
      <c r="K18" s="870"/>
      <c r="L18" s="2141"/>
      <c r="M18" s="2133"/>
      <c r="N18" s="2133"/>
      <c r="O18" s="2140"/>
      <c r="P18" s="3426"/>
      <c r="Q18" s="1571"/>
      <c r="R18" s="1572"/>
      <c r="S18" s="1573"/>
      <c r="T18" s="1572"/>
      <c r="U18" s="1573"/>
      <c r="V18" s="1572"/>
      <c r="W18" s="1573"/>
      <c r="X18" s="1566"/>
      <c r="Y18" s="3426"/>
      <c r="Z18" s="1574"/>
      <c r="AA18" s="1575">
        <v>1</v>
      </c>
      <c r="AB18" s="1575">
        <v>1</v>
      </c>
      <c r="AC18" s="1575">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426"/>
      <c r="Q19" s="1571" t="str">
        <f>B19</f>
        <v>公共配套设施</v>
      </c>
      <c r="R19" s="1572" t="s">
        <v>11</v>
      </c>
      <c r="S19" s="1573">
        <f>F19</f>
        <v>100</v>
      </c>
      <c r="T19" s="1572" t="s">
        <v>11</v>
      </c>
      <c r="U19" s="1573">
        <f>H19</f>
        <v>100</v>
      </c>
      <c r="V19" s="1572" t="s">
        <v>11</v>
      </c>
      <c r="W19" s="1573">
        <f>J19</f>
        <v>100</v>
      </c>
      <c r="X19" s="1566"/>
      <c r="Y19" s="3426"/>
      <c r="Z19" s="1574" t="str">
        <f>Q19</f>
        <v>公共配套设施</v>
      </c>
      <c r="AA19" s="1575">
        <f t="shared" si="3"/>
        <v>1</v>
      </c>
      <c r="AB19" s="1575">
        <f t="shared" si="4"/>
        <v>1</v>
      </c>
      <c r="AC19" s="1575">
        <f t="shared" si="5"/>
        <v>1</v>
      </c>
    </row>
    <row r="20" spans="1:29" ht="15">
      <c r="A20" s="532"/>
      <c r="B20" s="595"/>
      <c r="C20" s="576" t="s">
        <v>3032</v>
      </c>
      <c r="D20" s="555"/>
      <c r="E20" s="556" t="s">
        <v>3032</v>
      </c>
      <c r="F20" s="557"/>
      <c r="G20" s="558" t="s">
        <v>3032</v>
      </c>
      <c r="H20" s="555"/>
      <c r="I20" s="556" t="s">
        <v>3032</v>
      </c>
      <c r="J20" s="555"/>
      <c r="K20" s="870"/>
      <c r="L20" s="2141"/>
      <c r="M20" s="2133"/>
      <c r="N20" s="2133"/>
      <c r="O20" s="2140"/>
      <c r="P20" s="3426"/>
      <c r="Q20" s="1571"/>
      <c r="R20" s="1572"/>
      <c r="S20" s="1573"/>
      <c r="T20" s="1572"/>
      <c r="U20" s="1573"/>
      <c r="V20" s="1572"/>
      <c r="W20" s="1573"/>
      <c r="X20" s="1566"/>
      <c r="Y20" s="3426"/>
      <c r="Z20" s="1574"/>
      <c r="AA20" s="1575">
        <v>1</v>
      </c>
      <c r="AB20" s="1575">
        <v>1</v>
      </c>
      <c r="AC20" s="1575">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426"/>
      <c r="Q21" s="2557" t="str">
        <f>B21</f>
        <v>基础设施水平</v>
      </c>
      <c r="R21" s="1572" t="s">
        <v>11</v>
      </c>
      <c r="S21" s="1573">
        <f>F21</f>
        <v>100</v>
      </c>
      <c r="T21" s="1572" t="s">
        <v>11</v>
      </c>
      <c r="U21" s="1573">
        <f>H21</f>
        <v>100</v>
      </c>
      <c r="V21" s="1572" t="s">
        <v>11</v>
      </c>
      <c r="W21" s="1573">
        <f>J21</f>
        <v>100</v>
      </c>
      <c r="X21" s="2559"/>
      <c r="Y21" s="3426"/>
      <c r="Z21" s="2558" t="str">
        <f>Q21</f>
        <v>基础设施水平</v>
      </c>
      <c r="AA21" s="1575">
        <f t="shared" ref="AA21" si="8">D21/F21</f>
        <v>1</v>
      </c>
      <c r="AB21" s="1575">
        <f t="shared" ref="AB21" si="9">D21/H21</f>
        <v>1</v>
      </c>
      <c r="AC21" s="1575">
        <f t="shared" ref="AC21" si="10">D21/J21</f>
        <v>1</v>
      </c>
    </row>
    <row r="22" spans="1:29" ht="15">
      <c r="A22" s="532"/>
      <c r="B22" s="921"/>
      <c r="C22" s="873" t="s">
        <v>3034</v>
      </c>
      <c r="D22" s="555"/>
      <c r="E22" s="576" t="s">
        <v>3034</v>
      </c>
      <c r="F22" s="557"/>
      <c r="G22" s="576" t="s">
        <v>3034</v>
      </c>
      <c r="H22" s="555"/>
      <c r="I22" s="576" t="s">
        <v>3034</v>
      </c>
      <c r="J22" s="555"/>
      <c r="K22" s="2577"/>
      <c r="L22" s="2141"/>
      <c r="M22" s="2133"/>
      <c r="N22" s="2133"/>
      <c r="O22" s="2140"/>
      <c r="P22" s="3426"/>
      <c r="Q22" s="2557"/>
      <c r="R22" s="1572"/>
      <c r="S22" s="1573"/>
      <c r="T22" s="1572"/>
      <c r="U22" s="1573"/>
      <c r="V22" s="1572"/>
      <c r="W22" s="1573"/>
      <c r="X22" s="2559"/>
      <c r="Y22" s="3426"/>
      <c r="Z22" s="2558"/>
      <c r="AA22" s="1575">
        <v>1</v>
      </c>
      <c r="AB22" s="1575">
        <v>1</v>
      </c>
      <c r="AC22" s="1575">
        <v>1</v>
      </c>
    </row>
    <row r="23" spans="1:29" ht="57">
      <c r="A23" s="532"/>
      <c r="B23" s="871" t="s">
        <v>296</v>
      </c>
      <c r="C23" s="872"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426"/>
      <c r="Q23" s="1571" t="str">
        <f>B23</f>
        <v>自然及人文环境</v>
      </c>
      <c r="R23" s="1572" t="s">
        <v>11</v>
      </c>
      <c r="S23" s="1573">
        <f>F23</f>
        <v>100</v>
      </c>
      <c r="T23" s="1572" t="s">
        <v>11</v>
      </c>
      <c r="U23" s="1573">
        <f>H23</f>
        <v>100</v>
      </c>
      <c r="V23" s="1572" t="s">
        <v>11</v>
      </c>
      <c r="W23" s="1573">
        <f>J23</f>
        <v>100</v>
      </c>
      <c r="X23" s="1566"/>
      <c r="Y23" s="3426"/>
      <c r="Z23" s="1574" t="str">
        <f>Q23</f>
        <v>自然及人文环境</v>
      </c>
      <c r="AA23" s="1575">
        <f t="shared" si="3"/>
        <v>1</v>
      </c>
      <c r="AB23" s="1575">
        <f t="shared" si="4"/>
        <v>1</v>
      </c>
      <c r="AC23" s="1575">
        <f t="shared" si="5"/>
        <v>1</v>
      </c>
    </row>
    <row r="24" spans="1:29" ht="15">
      <c r="A24" s="532"/>
      <c r="B24" s="595"/>
      <c r="C24" s="576" t="s">
        <v>3032</v>
      </c>
      <c r="D24" s="555"/>
      <c r="E24" s="556" t="s">
        <v>3032</v>
      </c>
      <c r="F24" s="557"/>
      <c r="G24" s="558" t="s">
        <v>3032</v>
      </c>
      <c r="H24" s="555"/>
      <c r="I24" s="556" t="s">
        <v>3032</v>
      </c>
      <c r="J24" s="555"/>
      <c r="K24" s="870"/>
      <c r="L24" s="2141"/>
      <c r="M24" s="2133"/>
      <c r="N24" s="2133"/>
      <c r="O24" s="2140"/>
      <c r="P24" s="3426"/>
      <c r="Q24" s="1571"/>
      <c r="R24" s="1572"/>
      <c r="S24" s="1573"/>
      <c r="T24" s="1572"/>
      <c r="U24" s="1573"/>
      <c r="V24" s="1572"/>
      <c r="W24" s="1573"/>
      <c r="X24" s="1566"/>
      <c r="Y24" s="3426"/>
      <c r="Z24" s="1574"/>
      <c r="AA24" s="1575">
        <v>1</v>
      </c>
      <c r="AB24" s="1575">
        <v>1</v>
      </c>
      <c r="AC24" s="1575">
        <v>1</v>
      </c>
    </row>
    <row r="25" spans="1:29" ht="15" hidden="1">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6"/>
      <c r="Q25" s="1571" t="str">
        <f t="shared" ref="Q25:Q46" si="11">B25</f>
        <v>楼层-1</v>
      </c>
      <c r="R25" s="1572" t="s">
        <v>11</v>
      </c>
      <c r="S25" s="1573">
        <f>F25</f>
        <v>100</v>
      </c>
      <c r="T25" s="1572" t="s">
        <v>11</v>
      </c>
      <c r="U25" s="1573">
        <f>H25</f>
        <v>100</v>
      </c>
      <c r="V25" s="1572" t="s">
        <v>11</v>
      </c>
      <c r="W25" s="1573">
        <f>J25</f>
        <v>100</v>
      </c>
      <c r="X25" s="1566"/>
      <c r="Y25" s="3426"/>
      <c r="Z25" s="1574" t="str">
        <f>Q25</f>
        <v>楼层-1</v>
      </c>
      <c r="AA25" s="1575">
        <f t="shared" si="3"/>
        <v>1</v>
      </c>
      <c r="AB25" s="1575">
        <f t="shared" si="4"/>
        <v>1</v>
      </c>
      <c r="AC25" s="1575">
        <f t="shared" si="5"/>
        <v>1</v>
      </c>
    </row>
    <row r="26" spans="1:29" ht="15">
      <c r="A26" s="532"/>
      <c r="B26" s="527" t="s">
        <v>722</v>
      </c>
      <c r="C26" s="574" t="s">
        <v>3036</v>
      </c>
      <c r="D26" s="540">
        <v>100</v>
      </c>
      <c r="E26" s="874" t="s">
        <v>3036</v>
      </c>
      <c r="F26" s="575">
        <f>SUMIF(88:88,E26,89:89)-SUMIF(88:88,C26,89:89)+100</f>
        <v>100</v>
      </c>
      <c r="G26" s="599" t="s">
        <v>3036</v>
      </c>
      <c r="H26" s="540">
        <f>SUMIF(88:88,G26,89:89)-SUMIF(88:88,C26,89:89)+100</f>
        <v>100</v>
      </c>
      <c r="I26" s="874" t="s">
        <v>3036</v>
      </c>
      <c r="J26" s="540">
        <f>SUMIF(88:88,I26,89:89)-SUMIF(88:88,C26,89:89)+100</f>
        <v>100</v>
      </c>
      <c r="K26" s="864">
        <v>1</v>
      </c>
      <c r="L26" s="2141"/>
      <c r="M26" s="2133"/>
      <c r="N26" s="2133"/>
      <c r="O26" s="2140"/>
      <c r="P26" s="3426"/>
      <c r="Q26" s="1571" t="str">
        <f t="shared" si="11"/>
        <v>朝向</v>
      </c>
      <c r="R26" s="1572" t="s">
        <v>11</v>
      </c>
      <c r="S26" s="1573">
        <f>F26</f>
        <v>100</v>
      </c>
      <c r="T26" s="1572" t="s">
        <v>11</v>
      </c>
      <c r="U26" s="1573">
        <f>H26</f>
        <v>100</v>
      </c>
      <c r="V26" s="1572" t="s">
        <v>11</v>
      </c>
      <c r="W26" s="1573">
        <f>J26</f>
        <v>100</v>
      </c>
      <c r="X26" s="1566"/>
      <c r="Y26" s="3426"/>
      <c r="Z26" s="1574" t="str">
        <f>Q26</f>
        <v>朝向</v>
      </c>
      <c r="AA26" s="1575">
        <f t="shared" si="3"/>
        <v>1</v>
      </c>
      <c r="AB26" s="1575">
        <f t="shared" si="4"/>
        <v>1</v>
      </c>
      <c r="AC26" s="1575">
        <f t="shared" si="5"/>
        <v>1</v>
      </c>
    </row>
    <row r="27" spans="1:29" s="1219" customFormat="1" ht="27">
      <c r="A27" s="536"/>
      <c r="B27" s="537" t="s">
        <v>723</v>
      </c>
      <c r="C27" s="3197" t="s">
        <v>3038</v>
      </c>
      <c r="D27" s="875">
        <v>100</v>
      </c>
      <c r="E27" s="3197" t="s">
        <v>3038</v>
      </c>
      <c r="F27" s="876">
        <f>SUMIF(90:90,E27,91:91)-SUMIF(90:90,C27,91:91)+100</f>
        <v>100</v>
      </c>
      <c r="G27" s="3197" t="s">
        <v>3038</v>
      </c>
      <c r="H27" s="875">
        <f>SUMIF(90:90,G27,91:91)-SUMIF(90:90,C27,91:91)+100</f>
        <v>100</v>
      </c>
      <c r="I27" s="3197" t="s">
        <v>3038</v>
      </c>
      <c r="J27" s="875">
        <f>SUMIF(90:90,I27,91:91)-SUMIF(90:90,C27,91:91)+100</f>
        <v>100</v>
      </c>
      <c r="K27" s="865"/>
      <c r="L27" s="2134"/>
      <c r="M27" s="2135"/>
      <c r="N27" s="2135"/>
      <c r="O27" s="2136"/>
      <c r="P27" s="3426"/>
      <c r="Q27" s="1150" t="str">
        <f t="shared" si="11"/>
        <v>道路级别</v>
      </c>
      <c r="R27" s="1567" t="s">
        <v>11</v>
      </c>
      <c r="S27" s="1568">
        <f>F27</f>
        <v>100</v>
      </c>
      <c r="T27" s="1567" t="s">
        <v>11</v>
      </c>
      <c r="U27" s="1568">
        <f>H27</f>
        <v>100</v>
      </c>
      <c r="V27" s="1567" t="s">
        <v>11</v>
      </c>
      <c r="W27" s="1568">
        <f>J27</f>
        <v>100</v>
      </c>
      <c r="X27" s="1569"/>
      <c r="Y27" s="3426"/>
      <c r="Z27" s="1149" t="str">
        <f>Q27</f>
        <v>道路级别</v>
      </c>
      <c r="AA27" s="1575">
        <f>D27/F27</f>
        <v>1</v>
      </c>
      <c r="AB27" s="1575">
        <f>D27/H27</f>
        <v>1</v>
      </c>
      <c r="AC27" s="1575">
        <f>D27/J27</f>
        <v>1</v>
      </c>
    </row>
    <row r="28" spans="1:29" ht="15.75" thickBot="1">
      <c r="A28" s="532"/>
      <c r="B28" s="3198" t="s">
        <v>3039</v>
      </c>
      <c r="C28" s="539" t="s">
        <v>3040</v>
      </c>
      <c r="D28" s="540">
        <v>100</v>
      </c>
      <c r="E28" s="539" t="s">
        <v>3040</v>
      </c>
      <c r="F28" s="575">
        <f>SUMIF(92:92,E28,93:93)-SUMIF(92:92,C28,93:93)+100</f>
        <v>100</v>
      </c>
      <c r="G28" s="539" t="s">
        <v>3041</v>
      </c>
      <c r="H28" s="540">
        <f>SUMIF(92:92,G28,93:93)-SUMIF(92:92,C28,93:93)+100</f>
        <v>98.5</v>
      </c>
      <c r="I28" s="539" t="s">
        <v>3042</v>
      </c>
      <c r="J28" s="540">
        <f>SUMIF(92:92,I28,93:93)-SUMIF(92:92,C28,93:93)+100</f>
        <v>98.5</v>
      </c>
      <c r="K28" s="865"/>
      <c r="L28" s="2141"/>
      <c r="M28" s="2133"/>
      <c r="N28" s="2133"/>
      <c r="O28" s="2140"/>
      <c r="P28" s="3426"/>
      <c r="Q28" s="1571" t="str">
        <f t="shared" si="11"/>
        <v>楼层</v>
      </c>
      <c r="R28" s="1572" t="s">
        <v>11</v>
      </c>
      <c r="S28" s="1573">
        <f t="shared" ref="S28:S46" si="12">F28</f>
        <v>100</v>
      </c>
      <c r="T28" s="1572" t="s">
        <v>11</v>
      </c>
      <c r="U28" s="1573">
        <f t="shared" ref="U28:U46" si="13">H28</f>
        <v>98.5</v>
      </c>
      <c r="V28" s="1572" t="s">
        <v>11</v>
      </c>
      <c r="W28" s="1573">
        <f t="shared" ref="W28:W46" si="14">J28</f>
        <v>98.5</v>
      </c>
      <c r="X28" s="1566"/>
      <c r="Y28" s="3426"/>
      <c r="Z28" s="1574" t="str">
        <f t="shared" ref="Z28:Z46" si="15">Q28</f>
        <v>楼层</v>
      </c>
      <c r="AA28" s="1575">
        <f t="shared" si="3"/>
        <v>1</v>
      </c>
      <c r="AB28" s="1575">
        <f t="shared" si="4"/>
        <v>1.015228426395939</v>
      </c>
      <c r="AC28" s="1575">
        <f t="shared" si="5"/>
        <v>1.015228426395939</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6"/>
      <c r="Q29" s="1571">
        <f t="shared" si="11"/>
        <v>111</v>
      </c>
      <c r="R29" s="1572" t="s">
        <v>11</v>
      </c>
      <c r="S29" s="1573">
        <f t="shared" si="12"/>
        <v>100</v>
      </c>
      <c r="T29" s="1572" t="s">
        <v>11</v>
      </c>
      <c r="U29" s="1573">
        <f t="shared" si="13"/>
        <v>100</v>
      </c>
      <c r="V29" s="1572" t="s">
        <v>11</v>
      </c>
      <c r="W29" s="1573">
        <f t="shared" si="14"/>
        <v>100</v>
      </c>
      <c r="X29" s="1566"/>
      <c r="Y29" s="3426"/>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6"/>
      <c r="Q30" s="1571">
        <f t="shared" si="11"/>
        <v>111</v>
      </c>
      <c r="R30" s="1572" t="s">
        <v>11</v>
      </c>
      <c r="S30" s="1573">
        <f t="shared" si="12"/>
        <v>100</v>
      </c>
      <c r="T30" s="1572" t="s">
        <v>11</v>
      </c>
      <c r="U30" s="1573">
        <f t="shared" si="13"/>
        <v>100</v>
      </c>
      <c r="V30" s="1572" t="s">
        <v>11</v>
      </c>
      <c r="W30" s="1573">
        <f t="shared" si="14"/>
        <v>100</v>
      </c>
      <c r="X30" s="1566"/>
      <c r="Y30" s="3426"/>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6"/>
      <c r="Q31" s="1571">
        <f t="shared" si="11"/>
        <v>111</v>
      </c>
      <c r="R31" s="1572" t="s">
        <v>11</v>
      </c>
      <c r="S31" s="1573">
        <f t="shared" si="12"/>
        <v>100</v>
      </c>
      <c r="T31" s="1572" t="s">
        <v>11</v>
      </c>
      <c r="U31" s="1573">
        <f t="shared" si="13"/>
        <v>100</v>
      </c>
      <c r="V31" s="1572" t="s">
        <v>11</v>
      </c>
      <c r="W31" s="1573">
        <f t="shared" si="14"/>
        <v>100</v>
      </c>
      <c r="X31" s="1566"/>
      <c r="Y31" s="3426"/>
      <c r="Z31" s="1574">
        <f t="shared" si="15"/>
        <v>111</v>
      </c>
      <c r="AA31" s="1575">
        <f t="shared" si="3"/>
        <v>1</v>
      </c>
      <c r="AB31" s="1575">
        <f t="shared" si="4"/>
        <v>1</v>
      </c>
      <c r="AC31" s="1575">
        <f t="shared" si="5"/>
        <v>1</v>
      </c>
    </row>
    <row r="32" spans="1:29" ht="15">
      <c r="A32" s="2884" t="s">
        <v>2755</v>
      </c>
      <c r="B32" s="172" t="s">
        <v>724</v>
      </c>
      <c r="C32" s="878" t="s">
        <v>3047</v>
      </c>
      <c r="D32" s="597">
        <v>100</v>
      </c>
      <c r="E32" s="878" t="s">
        <v>3047</v>
      </c>
      <c r="F32" s="575">
        <f>SUMIF(100:100,E32,101:101)-SUMIF(100:100,C32,101:101)+100</f>
        <v>100</v>
      </c>
      <c r="G32" s="878" t="s">
        <v>3047</v>
      </c>
      <c r="H32" s="597">
        <f>SUMIF(100:100,G32,101:101)-SUMIF(100:100,C32,101:101)+100</f>
        <v>100</v>
      </c>
      <c r="I32" s="878" t="s">
        <v>3047</v>
      </c>
      <c r="J32" s="540">
        <f>SUMIF(100:100,I32,101:101)-SUMIF(100:100,C32,101:101)+100</f>
        <v>100</v>
      </c>
      <c r="K32" s="864"/>
      <c r="L32" s="2141"/>
      <c r="M32" s="2133"/>
      <c r="N32" s="2133"/>
      <c r="O32" s="2140"/>
      <c r="P32" s="3427" t="s">
        <v>549</v>
      </c>
      <c r="Q32" s="1571" t="str">
        <f t="shared" si="11"/>
        <v>建筑类型</v>
      </c>
      <c r="R32" s="1572" t="s">
        <v>11</v>
      </c>
      <c r="S32" s="1573">
        <f t="shared" si="12"/>
        <v>100</v>
      </c>
      <c r="T32" s="1572" t="s">
        <v>11</v>
      </c>
      <c r="U32" s="1573">
        <f t="shared" si="13"/>
        <v>100</v>
      </c>
      <c r="V32" s="1572" t="s">
        <v>11</v>
      </c>
      <c r="W32" s="1573">
        <f t="shared" si="14"/>
        <v>100</v>
      </c>
      <c r="X32" s="1566"/>
      <c r="Y32" s="3428" t="s">
        <v>549</v>
      </c>
      <c r="Z32" s="1574" t="str">
        <f t="shared" si="15"/>
        <v>建筑类型</v>
      </c>
      <c r="AA32" s="1575">
        <f t="shared" si="3"/>
        <v>1</v>
      </c>
      <c r="AB32" s="1575">
        <f t="shared" si="4"/>
        <v>1</v>
      </c>
      <c r="AC32" s="1575">
        <f t="shared" si="5"/>
        <v>1</v>
      </c>
    </row>
    <row r="33" spans="1:29" s="1338" customFormat="1" ht="15" hidden="1">
      <c r="A33" s="603"/>
      <c r="B33" s="527" t="s">
        <v>725</v>
      </c>
      <c r="C33" s="879">
        <v>1</v>
      </c>
      <c r="D33" s="255">
        <v>100</v>
      </c>
      <c r="E33" s="879">
        <v>1</v>
      </c>
      <c r="F33" s="863">
        <f>LOOKUP(E33,103:103,104:104)-LOOKUP(C33,103:103,104:104)+100</f>
        <v>100</v>
      </c>
      <c r="G33" s="879">
        <v>1</v>
      </c>
      <c r="H33" s="255">
        <f>LOOKUP(G33,103:103,104:104)-LOOKUP(C33,103:103,104:104)+100</f>
        <v>100</v>
      </c>
      <c r="I33" s="879">
        <v>1</v>
      </c>
      <c r="J33" s="255">
        <f>LOOKUP(I33,103:103,104:104)-LOOKUP(C33,103:103,104:104)+100</f>
        <v>100</v>
      </c>
      <c r="K33" s="865"/>
      <c r="L33" s="2139"/>
      <c r="M33" s="2170"/>
      <c r="N33" s="2170"/>
      <c r="O33" s="2142"/>
      <c r="P33" s="3428"/>
      <c r="Q33" s="1604" t="str">
        <f t="shared" si="11"/>
        <v>项目建筑规模</v>
      </c>
      <c r="R33" s="1576" t="s">
        <v>11</v>
      </c>
      <c r="S33" s="1577">
        <f t="shared" si="12"/>
        <v>100</v>
      </c>
      <c r="T33" s="1576" t="s">
        <v>11</v>
      </c>
      <c r="U33" s="1577">
        <f t="shared" si="13"/>
        <v>100</v>
      </c>
      <c r="V33" s="1576" t="s">
        <v>11</v>
      </c>
      <c r="W33" s="1577">
        <f t="shared" si="14"/>
        <v>100</v>
      </c>
      <c r="X33" s="1578"/>
      <c r="Y33" s="3428"/>
      <c r="Z33" s="1579" t="str">
        <f t="shared" si="15"/>
        <v>项目建筑规模</v>
      </c>
      <c r="AA33" s="1575">
        <f t="shared" si="3"/>
        <v>1</v>
      </c>
      <c r="AB33" s="1575">
        <f t="shared" si="4"/>
        <v>1</v>
      </c>
      <c r="AC33" s="1575">
        <f t="shared" si="5"/>
        <v>1</v>
      </c>
    </row>
    <row r="34" spans="1:29" ht="15">
      <c r="A34" s="594"/>
      <c r="B34" s="527" t="s">
        <v>726</v>
      </c>
      <c r="C34" s="880" t="s">
        <v>3049</v>
      </c>
      <c r="D34" s="540">
        <v>100</v>
      </c>
      <c r="E34" s="880" t="s">
        <v>3049</v>
      </c>
      <c r="F34" s="575">
        <f>SUMIF(105:105,E34,106:106)-SUMIF(105:105,C34,106:106)+100</f>
        <v>100</v>
      </c>
      <c r="G34" s="880" t="s">
        <v>3049</v>
      </c>
      <c r="H34" s="540">
        <f>SUMIF(105:105,G34,106:106)-SUMIF(105:105,C34,106:106)+100</f>
        <v>100</v>
      </c>
      <c r="I34" s="880" t="s">
        <v>3049</v>
      </c>
      <c r="J34" s="540">
        <f>SUMIF(105:105,I34,106:106)-SUMIF(105:105,C34,106:106)+100</f>
        <v>100</v>
      </c>
      <c r="K34" s="864"/>
      <c r="L34" s="2141"/>
      <c r="M34" s="2133"/>
      <c r="N34" s="2133"/>
      <c r="O34" s="2140"/>
      <c r="P34" s="3428"/>
      <c r="Q34" s="1571" t="str">
        <f t="shared" si="11"/>
        <v>建筑结构</v>
      </c>
      <c r="R34" s="1572" t="s">
        <v>11</v>
      </c>
      <c r="S34" s="1573">
        <f t="shared" si="12"/>
        <v>100</v>
      </c>
      <c r="T34" s="1572" t="s">
        <v>11</v>
      </c>
      <c r="U34" s="1573">
        <f t="shared" si="13"/>
        <v>100</v>
      </c>
      <c r="V34" s="1572" t="s">
        <v>11</v>
      </c>
      <c r="W34" s="1573">
        <f t="shared" si="14"/>
        <v>100</v>
      </c>
      <c r="X34" s="1566"/>
      <c r="Y34" s="3428"/>
      <c r="Z34" s="1574" t="str">
        <f t="shared" si="15"/>
        <v>建筑结构</v>
      </c>
      <c r="AA34" s="1575">
        <f t="shared" si="3"/>
        <v>1</v>
      </c>
      <c r="AB34" s="1575">
        <f t="shared" si="4"/>
        <v>1</v>
      </c>
      <c r="AC34" s="1575">
        <f t="shared" si="5"/>
        <v>1</v>
      </c>
    </row>
    <row r="35" spans="1:29" ht="15" hidden="1">
      <c r="A35" s="594"/>
      <c r="B35" s="527" t="s">
        <v>727</v>
      </c>
      <c r="C35" s="599"/>
      <c r="D35" s="540">
        <v>100</v>
      </c>
      <c r="E35" s="599"/>
      <c r="F35" s="575">
        <f>SUMIF(107:107,E35,108:108)-SUMIF(107:107,C35,108:108)+100</f>
        <v>100</v>
      </c>
      <c r="G35" s="599"/>
      <c r="H35" s="540">
        <f>SUMIF(107:107,G35,108:108)-SUMIF(107:107,C35,108:108)+100</f>
        <v>100</v>
      </c>
      <c r="I35" s="599"/>
      <c r="J35" s="540">
        <f>SUMIF(107:107,I35,108:108)-SUMIF(107:107,C35,108:108)+100</f>
        <v>100</v>
      </c>
      <c r="K35" s="864"/>
      <c r="L35" s="2141"/>
      <c r="M35" s="2133"/>
      <c r="N35" s="2133"/>
      <c r="O35" s="2140"/>
      <c r="P35" s="3428"/>
      <c r="Q35" s="1571" t="str">
        <f t="shared" si="11"/>
        <v>建筑品质</v>
      </c>
      <c r="R35" s="1572" t="s">
        <v>11</v>
      </c>
      <c r="S35" s="1573">
        <f t="shared" si="12"/>
        <v>100</v>
      </c>
      <c r="T35" s="1572" t="s">
        <v>11</v>
      </c>
      <c r="U35" s="1573">
        <f t="shared" si="13"/>
        <v>100</v>
      </c>
      <c r="V35" s="1572" t="s">
        <v>11</v>
      </c>
      <c r="W35" s="1573">
        <f t="shared" si="14"/>
        <v>100</v>
      </c>
      <c r="X35" s="1566"/>
      <c r="Y35" s="3428"/>
      <c r="Z35" s="1574" t="str">
        <f t="shared" si="15"/>
        <v>建筑品质</v>
      </c>
      <c r="AA35" s="1575">
        <f t="shared" si="3"/>
        <v>1</v>
      </c>
      <c r="AB35" s="1575">
        <f t="shared" si="4"/>
        <v>1</v>
      </c>
      <c r="AC35" s="1575">
        <f t="shared" si="5"/>
        <v>1</v>
      </c>
    </row>
    <row r="36" spans="1:29" ht="15">
      <c r="A36" s="594"/>
      <c r="B36" s="527" t="s">
        <v>728</v>
      </c>
      <c r="C36" s="599" t="s">
        <v>3051</v>
      </c>
      <c r="D36" s="540">
        <v>100</v>
      </c>
      <c r="E36" s="599" t="s">
        <v>3051</v>
      </c>
      <c r="F36" s="575">
        <f>SUMIF(109:109,E36,110:110)-SUMIF(109:109,C36,110:110)+100</f>
        <v>100</v>
      </c>
      <c r="G36" s="599" t="s">
        <v>3051</v>
      </c>
      <c r="H36" s="540">
        <f>SUMIF(109:109,G36,110:110)-SUMIF(109:109,C36,110:110)+100</f>
        <v>100</v>
      </c>
      <c r="I36" s="599" t="s">
        <v>3051</v>
      </c>
      <c r="J36" s="540">
        <f>SUMIF(109:109,I36,110:110)-SUMIF(109:109,C36,110:110)+100</f>
        <v>100</v>
      </c>
      <c r="K36" s="864"/>
      <c r="L36" s="2141"/>
      <c r="M36" s="2133"/>
      <c r="N36" s="2133"/>
      <c r="O36" s="2140"/>
      <c r="P36" s="3428"/>
      <c r="Q36" s="1571" t="str">
        <f t="shared" si="11"/>
        <v>公共部分装修</v>
      </c>
      <c r="R36" s="1572" t="s">
        <v>11</v>
      </c>
      <c r="S36" s="1573">
        <f t="shared" si="12"/>
        <v>100</v>
      </c>
      <c r="T36" s="1572" t="s">
        <v>11</v>
      </c>
      <c r="U36" s="1573">
        <f t="shared" si="13"/>
        <v>100</v>
      </c>
      <c r="V36" s="1572" t="s">
        <v>11</v>
      </c>
      <c r="W36" s="1573">
        <f t="shared" si="14"/>
        <v>100</v>
      </c>
      <c r="X36" s="1566"/>
      <c r="Y36" s="3428"/>
      <c r="Z36" s="1574" t="str">
        <f t="shared" si="15"/>
        <v>公共部分装修</v>
      </c>
      <c r="AA36" s="1575">
        <f t="shared" si="3"/>
        <v>1</v>
      </c>
      <c r="AB36" s="1575">
        <f t="shared" si="4"/>
        <v>1</v>
      </c>
      <c r="AC36" s="1575">
        <f t="shared" si="5"/>
        <v>1</v>
      </c>
    </row>
    <row r="37" spans="1:29" s="1219" customFormat="1" ht="15" hidden="1">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c r="L37" s="2134"/>
      <c r="M37" s="2135"/>
      <c r="N37" s="2135"/>
      <c r="O37" s="2136"/>
      <c r="P37" s="3428"/>
      <c r="Q37" s="1150" t="str">
        <f t="shared" si="11"/>
        <v>成新度</v>
      </c>
      <c r="R37" s="1567" t="s">
        <v>11</v>
      </c>
      <c r="S37" s="1568">
        <f t="shared" si="12"/>
        <v>100</v>
      </c>
      <c r="T37" s="1567" t="s">
        <v>11</v>
      </c>
      <c r="U37" s="1568">
        <f t="shared" si="13"/>
        <v>100</v>
      </c>
      <c r="V37" s="1567" t="s">
        <v>11</v>
      </c>
      <c r="W37" s="1568">
        <f t="shared" si="14"/>
        <v>100</v>
      </c>
      <c r="X37" s="1569"/>
      <c r="Y37" s="3428"/>
      <c r="Z37" s="1149" t="str">
        <f t="shared" si="15"/>
        <v>成新度</v>
      </c>
      <c r="AA37" s="1570">
        <f t="shared" si="3"/>
        <v>1</v>
      </c>
      <c r="AB37" s="1570">
        <f t="shared" si="4"/>
        <v>1</v>
      </c>
      <c r="AC37" s="1570">
        <f t="shared" si="5"/>
        <v>1</v>
      </c>
    </row>
    <row r="38" spans="1:29" ht="15">
      <c r="A38" s="594"/>
      <c r="B38" s="527" t="s">
        <v>730</v>
      </c>
      <c r="C38" s="599" t="s">
        <v>3053</v>
      </c>
      <c r="D38" s="540">
        <v>100</v>
      </c>
      <c r="E38" s="599" t="s">
        <v>3053</v>
      </c>
      <c r="F38" s="575">
        <f>SUMIF(114:114,E38,115:115)-SUMIF(114:114,C38,115:115)+100</f>
        <v>100</v>
      </c>
      <c r="G38" s="599" t="s">
        <v>3053</v>
      </c>
      <c r="H38" s="540">
        <f>SUMIF(114:114,G38,115:115)-SUMIF(114:114,C38,115:115)+100</f>
        <v>100</v>
      </c>
      <c r="I38" s="599" t="s">
        <v>3053</v>
      </c>
      <c r="J38" s="540">
        <f>SUMIF(114:114,I38,115:115)-SUMIF(114:114,C38,115:115)+100</f>
        <v>100</v>
      </c>
      <c r="K38" s="864"/>
      <c r="L38" s="2141"/>
      <c r="M38" s="2133"/>
      <c r="N38" s="2133"/>
      <c r="O38" s="2140"/>
      <c r="P38" s="3428" t="s">
        <v>549</v>
      </c>
      <c r="Q38" s="1571" t="str">
        <f t="shared" si="11"/>
        <v>物业管理</v>
      </c>
      <c r="R38" s="1572" t="s">
        <v>11</v>
      </c>
      <c r="S38" s="1573">
        <f t="shared" si="12"/>
        <v>100</v>
      </c>
      <c r="T38" s="1572" t="s">
        <v>11</v>
      </c>
      <c r="U38" s="1573">
        <f t="shared" si="13"/>
        <v>100</v>
      </c>
      <c r="V38" s="1572" t="s">
        <v>11</v>
      </c>
      <c r="W38" s="1573">
        <f t="shared" si="14"/>
        <v>100</v>
      </c>
      <c r="X38" s="1566"/>
      <c r="Y38" s="3428" t="s">
        <v>549</v>
      </c>
      <c r="Z38" s="1574" t="str">
        <f t="shared" si="15"/>
        <v>物业管理</v>
      </c>
      <c r="AA38" s="1575">
        <f t="shared" si="3"/>
        <v>1</v>
      </c>
      <c r="AB38" s="1575">
        <f t="shared" si="4"/>
        <v>1</v>
      </c>
      <c r="AC38" s="1575">
        <f t="shared" si="5"/>
        <v>1</v>
      </c>
    </row>
    <row r="39" spans="1:29" ht="15">
      <c r="A39" s="594"/>
      <c r="B39" s="1894" t="s">
        <v>2564</v>
      </c>
      <c r="C39" s="599" t="s">
        <v>3034</v>
      </c>
      <c r="D39" s="540">
        <v>100</v>
      </c>
      <c r="E39" s="599" t="s">
        <v>3034</v>
      </c>
      <c r="F39" s="575">
        <f>SUMIF(116:116,E39,117:117)-SUMIF(116:116,C39,117:117)+100</f>
        <v>100</v>
      </c>
      <c r="G39" s="599" t="s">
        <v>3034</v>
      </c>
      <c r="H39" s="540">
        <f>SUMIF(116:116,G39,117:117)-SUMIF(116:116,C39,117:117)+100</f>
        <v>100</v>
      </c>
      <c r="I39" s="599" t="s">
        <v>3034</v>
      </c>
      <c r="J39" s="540">
        <f>SUMIF(116:116,I39,117:117)-SUMIF(116:116,C39,117:117)+100</f>
        <v>100</v>
      </c>
      <c r="K39" s="864"/>
      <c r="L39" s="2141"/>
      <c r="M39" s="2133"/>
      <c r="N39" s="2133"/>
      <c r="O39" s="2140"/>
      <c r="P39" s="3428"/>
      <c r="Q39" s="1571" t="str">
        <f t="shared" si="11"/>
        <v>市政基础设施</v>
      </c>
      <c r="R39" s="1572" t="s">
        <v>11</v>
      </c>
      <c r="S39" s="1573">
        <f t="shared" si="12"/>
        <v>100</v>
      </c>
      <c r="T39" s="1572" t="s">
        <v>11</v>
      </c>
      <c r="U39" s="1573">
        <f t="shared" si="13"/>
        <v>100</v>
      </c>
      <c r="V39" s="1572" t="s">
        <v>11</v>
      </c>
      <c r="W39" s="1573">
        <f t="shared" si="14"/>
        <v>100</v>
      </c>
      <c r="X39" s="1566"/>
      <c r="Y39" s="3428"/>
      <c r="Z39" s="1574" t="str">
        <f t="shared" si="15"/>
        <v>市政基础设施</v>
      </c>
      <c r="AA39" s="1575">
        <f t="shared" si="3"/>
        <v>1</v>
      </c>
      <c r="AB39" s="1575">
        <f t="shared" si="4"/>
        <v>1</v>
      </c>
      <c r="AC39" s="1575">
        <f t="shared" si="5"/>
        <v>1</v>
      </c>
    </row>
    <row r="40" spans="1:29" ht="15">
      <c r="A40" s="594"/>
      <c r="B40" s="527" t="s">
        <v>731</v>
      </c>
      <c r="C40" s="599" t="s">
        <v>3056</v>
      </c>
      <c r="D40" s="540">
        <v>100</v>
      </c>
      <c r="E40" s="599" t="s">
        <v>3056</v>
      </c>
      <c r="F40" s="575">
        <f>SUMIF(118:118,E40,119:119)-SUMIF(118:118,C40,119:119)+100</f>
        <v>100</v>
      </c>
      <c r="G40" s="599" t="s">
        <v>3056</v>
      </c>
      <c r="H40" s="540">
        <f>SUMIF(118:118,G40,119:119)-SUMIF(118:118,C40,119:119)+100</f>
        <v>100</v>
      </c>
      <c r="I40" s="599" t="s">
        <v>3056</v>
      </c>
      <c r="J40" s="540">
        <f>SUMIF(118:118,I40,119:119)-SUMIF(118:118,C40,119:119)+100</f>
        <v>100</v>
      </c>
      <c r="K40" s="864"/>
      <c r="L40" s="2141"/>
      <c r="M40" s="2133"/>
      <c r="N40" s="2133"/>
      <c r="O40" s="2140"/>
      <c r="P40" s="3428"/>
      <c r="Q40" s="1571" t="str">
        <f t="shared" si="11"/>
        <v>房型</v>
      </c>
      <c r="R40" s="1572" t="s">
        <v>11</v>
      </c>
      <c r="S40" s="1573">
        <f t="shared" si="12"/>
        <v>100</v>
      </c>
      <c r="T40" s="1572" t="s">
        <v>11</v>
      </c>
      <c r="U40" s="1573">
        <f t="shared" si="13"/>
        <v>100</v>
      </c>
      <c r="V40" s="1572" t="s">
        <v>11</v>
      </c>
      <c r="W40" s="1573">
        <f t="shared" si="14"/>
        <v>100</v>
      </c>
      <c r="X40" s="1566"/>
      <c r="Y40" s="3428"/>
      <c r="Z40" s="1574" t="str">
        <f t="shared" si="15"/>
        <v>房型</v>
      </c>
      <c r="AA40" s="1575">
        <f t="shared" si="3"/>
        <v>1</v>
      </c>
      <c r="AB40" s="1575">
        <f t="shared" si="4"/>
        <v>1</v>
      </c>
      <c r="AC40" s="1575">
        <f t="shared" si="5"/>
        <v>1</v>
      </c>
    </row>
    <row r="41" spans="1:29" s="1338" customFormat="1" ht="28.5">
      <c r="A41" s="603"/>
      <c r="B41" s="527" t="s">
        <v>732</v>
      </c>
      <c r="C41" s="879" t="s">
        <v>3046</v>
      </c>
      <c r="D41" s="255">
        <v>100</v>
      </c>
      <c r="E41" s="534">
        <v>84.01</v>
      </c>
      <c r="F41" s="863">
        <f>SUMIF(120:120,E41,121:121)-SUMIF(120:120,C41,121:121)+100</f>
        <v>100</v>
      </c>
      <c r="G41" s="533">
        <v>84.95</v>
      </c>
      <c r="H41" s="255">
        <f>SUMIF(120:120,G41,121:121)-SUMIF(120:120,C41,121:121)+100</f>
        <v>100</v>
      </c>
      <c r="I41" s="534">
        <v>79.39</v>
      </c>
      <c r="J41" s="540">
        <f>SUMIF(120:120,I41,121:121)-SUMIF(120:120,C41,121:121)+100</f>
        <v>100</v>
      </c>
      <c r="K41" s="865"/>
      <c r="L41" s="2139"/>
      <c r="M41" s="2170"/>
      <c r="N41" s="2170"/>
      <c r="O41" s="2142"/>
      <c r="P41" s="3428"/>
      <c r="Q41" s="1604" t="str">
        <f t="shared" si="11"/>
        <v>单套/主力户型建筑面积</v>
      </c>
      <c r="R41" s="1576" t="s">
        <v>11</v>
      </c>
      <c r="S41" s="1577">
        <f t="shared" si="12"/>
        <v>100</v>
      </c>
      <c r="T41" s="1576" t="s">
        <v>11</v>
      </c>
      <c r="U41" s="1577">
        <f t="shared" si="13"/>
        <v>100</v>
      </c>
      <c r="V41" s="1576" t="s">
        <v>11</v>
      </c>
      <c r="W41" s="1577">
        <f t="shared" si="14"/>
        <v>100</v>
      </c>
      <c r="X41" s="1578"/>
      <c r="Y41" s="3428"/>
      <c r="Z41" s="1579" t="str">
        <f t="shared" si="15"/>
        <v>单套/主力户型建筑面积</v>
      </c>
      <c r="AA41" s="1575">
        <f t="shared" si="3"/>
        <v>1</v>
      </c>
      <c r="AB41" s="1575">
        <f t="shared" si="4"/>
        <v>1</v>
      </c>
      <c r="AC41" s="1575">
        <f t="shared" si="5"/>
        <v>1</v>
      </c>
    </row>
    <row r="42" spans="1:29" ht="15">
      <c r="A42" s="594"/>
      <c r="B42" s="527" t="s">
        <v>733</v>
      </c>
      <c r="C42" s="599" t="s">
        <v>3051</v>
      </c>
      <c r="D42" s="540">
        <v>100</v>
      </c>
      <c r="E42" s="874" t="s">
        <v>3051</v>
      </c>
      <c r="F42" s="575">
        <f>SUMIF(122:122,E42,123:123)-SUMIF(122:122,C42,123:123)+100</f>
        <v>100</v>
      </c>
      <c r="G42" s="599" t="s">
        <v>3051</v>
      </c>
      <c r="H42" s="540">
        <f>SUMIF(122:122,G42,123:123)-SUMIF(122:122,C42,123:123)+100</f>
        <v>100</v>
      </c>
      <c r="I42" s="874" t="s">
        <v>3060</v>
      </c>
      <c r="J42" s="540">
        <f>SUMIF(122:122,I42,123:123)-SUMIF(122:122,C42,123:123)+100</f>
        <v>102</v>
      </c>
      <c r="K42" s="864">
        <v>2</v>
      </c>
      <c r="L42" s="2141"/>
      <c r="M42" s="2133"/>
      <c r="N42" s="2133"/>
      <c r="O42" s="2140"/>
      <c r="P42" s="3428"/>
      <c r="Q42" s="1571" t="str">
        <f t="shared" si="11"/>
        <v>内部装修</v>
      </c>
      <c r="R42" s="1572" t="s">
        <v>11</v>
      </c>
      <c r="S42" s="1573">
        <f t="shared" si="12"/>
        <v>100</v>
      </c>
      <c r="T42" s="1572" t="s">
        <v>11</v>
      </c>
      <c r="U42" s="1573">
        <f t="shared" si="13"/>
        <v>100</v>
      </c>
      <c r="V42" s="1572" t="s">
        <v>11</v>
      </c>
      <c r="W42" s="1573">
        <f t="shared" si="14"/>
        <v>102</v>
      </c>
      <c r="X42" s="1566"/>
      <c r="Y42" s="3428"/>
      <c r="Z42" s="1574" t="str">
        <f t="shared" si="15"/>
        <v>内部装修</v>
      </c>
      <c r="AA42" s="1575">
        <f t="shared" si="3"/>
        <v>1</v>
      </c>
      <c r="AB42" s="1575">
        <f t="shared" si="4"/>
        <v>1</v>
      </c>
      <c r="AC42" s="1575">
        <f t="shared" si="5"/>
        <v>0.98039215686274506</v>
      </c>
    </row>
    <row r="43" spans="1:29" ht="27">
      <c r="A43" s="594"/>
      <c r="B43" s="527" t="s">
        <v>734</v>
      </c>
      <c r="C43" s="599" t="s">
        <v>3032</v>
      </c>
      <c r="D43" s="540">
        <v>100</v>
      </c>
      <c r="E43" s="874" t="s">
        <v>3032</v>
      </c>
      <c r="F43" s="575">
        <f>SUMIF(124:124,E43,125:125)-SUMIF(124:124,C43,125:125)+100</f>
        <v>100</v>
      </c>
      <c r="G43" s="599" t="s">
        <v>3032</v>
      </c>
      <c r="H43" s="540">
        <f>SUMIF(124:124,G43,125:125)-SUMIF(124:124,C43,125:125)+100</f>
        <v>100</v>
      </c>
      <c r="I43" s="874" t="s">
        <v>3032</v>
      </c>
      <c r="J43" s="540">
        <f>SUMIF(124:124,I43,125:125)-SUMIF(124:124,C43,125:125)+100</f>
        <v>100</v>
      </c>
      <c r="K43" s="864"/>
      <c r="L43" s="2141"/>
      <c r="M43" s="2133"/>
      <c r="N43" s="2133"/>
      <c r="O43" s="2140"/>
      <c r="P43" s="3428"/>
      <c r="Q43" s="1571" t="str">
        <f t="shared" si="11"/>
        <v>内部装修维护情况</v>
      </c>
      <c r="R43" s="1572" t="s">
        <v>11</v>
      </c>
      <c r="S43" s="1573">
        <f t="shared" si="12"/>
        <v>100</v>
      </c>
      <c r="T43" s="1572" t="s">
        <v>11</v>
      </c>
      <c r="U43" s="1573">
        <f t="shared" si="13"/>
        <v>100</v>
      </c>
      <c r="V43" s="1572" t="s">
        <v>11</v>
      </c>
      <c r="W43" s="1573">
        <f t="shared" si="14"/>
        <v>100</v>
      </c>
      <c r="X43" s="1566"/>
      <c r="Y43" s="3428"/>
      <c r="Z43" s="1574" t="str">
        <f t="shared" si="15"/>
        <v>内部装修维护情况</v>
      </c>
      <c r="AA43" s="1575">
        <f t="shared" si="3"/>
        <v>1</v>
      </c>
      <c r="AB43" s="1575">
        <f t="shared" si="4"/>
        <v>1</v>
      </c>
      <c r="AC43" s="1575">
        <f t="shared" si="5"/>
        <v>1</v>
      </c>
    </row>
    <row r="44" spans="1:29" s="1219" customFormat="1" ht="15.75" thickBot="1">
      <c r="A44" s="600"/>
      <c r="B44" s="3198" t="s">
        <v>3058</v>
      </c>
      <c r="C44" s="879">
        <v>2005</v>
      </c>
      <c r="D44" s="255">
        <v>100</v>
      </c>
      <c r="E44" s="879">
        <v>2000</v>
      </c>
      <c r="F44" s="863">
        <f>SUMIF(126:126,E44,127:127)-SUMIF(126:126,C44,127:127)+100</f>
        <v>99</v>
      </c>
      <c r="G44" s="879">
        <v>2000</v>
      </c>
      <c r="H44" s="255">
        <f>SUMIF(126:126,G44,127:127)-SUMIF(126:126,C44,127:127)+100</f>
        <v>99</v>
      </c>
      <c r="I44" s="879">
        <v>2005</v>
      </c>
      <c r="J44" s="255">
        <f>SUMIF(126:126,I44,127:127)-SUMIF(126:126,C44,127:127)+100</f>
        <v>100</v>
      </c>
      <c r="K44" s="865"/>
      <c r="L44" s="2134"/>
      <c r="M44" s="2135"/>
      <c r="N44" s="2135"/>
      <c r="O44" s="2136"/>
      <c r="P44" s="3428"/>
      <c r="Q44" s="1150" t="str">
        <f t="shared" si="11"/>
        <v>建成年代</v>
      </c>
      <c r="R44" s="1567" t="s">
        <v>11</v>
      </c>
      <c r="S44" s="1568">
        <f t="shared" si="12"/>
        <v>99</v>
      </c>
      <c r="T44" s="1567" t="s">
        <v>11</v>
      </c>
      <c r="U44" s="1568">
        <f t="shared" si="13"/>
        <v>99</v>
      </c>
      <c r="V44" s="1567" t="s">
        <v>11</v>
      </c>
      <c r="W44" s="1568">
        <f t="shared" si="14"/>
        <v>100</v>
      </c>
      <c r="X44" s="1569"/>
      <c r="Y44" s="3428"/>
      <c r="Z44" s="1149" t="str">
        <f t="shared" si="15"/>
        <v>建成年代</v>
      </c>
      <c r="AA44" s="1570">
        <f t="shared" si="3"/>
        <v>1.0101010101010102</v>
      </c>
      <c r="AB44" s="1570">
        <f t="shared" si="4"/>
        <v>1.0101010101010102</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8"/>
      <c r="Q45" s="1571">
        <f t="shared" si="11"/>
        <v>111</v>
      </c>
      <c r="R45" s="1572" t="s">
        <v>11</v>
      </c>
      <c r="S45" s="1573">
        <f t="shared" si="12"/>
        <v>100</v>
      </c>
      <c r="T45" s="1572" t="s">
        <v>11</v>
      </c>
      <c r="U45" s="1573">
        <f t="shared" si="13"/>
        <v>100</v>
      </c>
      <c r="V45" s="1572" t="s">
        <v>11</v>
      </c>
      <c r="W45" s="1573">
        <f t="shared" si="14"/>
        <v>100</v>
      </c>
      <c r="X45" s="1566"/>
      <c r="Y45" s="3428"/>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11"/>
      <c r="Q46" s="1571">
        <f t="shared" si="11"/>
        <v>111</v>
      </c>
      <c r="R46" s="1572" t="s">
        <v>10</v>
      </c>
      <c r="S46" s="1573">
        <f t="shared" si="12"/>
        <v>100</v>
      </c>
      <c r="T46" s="1572" t="s">
        <v>10</v>
      </c>
      <c r="U46" s="1573">
        <f t="shared" si="13"/>
        <v>100</v>
      </c>
      <c r="V46" s="1572" t="s">
        <v>10</v>
      </c>
      <c r="W46" s="1573">
        <f t="shared" si="14"/>
        <v>100</v>
      </c>
      <c r="X46" s="1566"/>
      <c r="Y46" s="3511"/>
      <c r="Z46" s="1574">
        <f t="shared" si="15"/>
        <v>111</v>
      </c>
      <c r="AA46" s="1575">
        <f t="shared" si="3"/>
        <v>1</v>
      </c>
      <c r="AB46" s="1575">
        <f t="shared" si="4"/>
        <v>1</v>
      </c>
      <c r="AC46" s="1575">
        <f t="shared" si="5"/>
        <v>1</v>
      </c>
    </row>
    <row r="47" spans="1:29" ht="15">
      <c r="A47" s="607" t="s">
        <v>735</v>
      </c>
      <c r="B47" s="886"/>
      <c r="C47" s="2605" t="s">
        <v>9</v>
      </c>
      <c r="D47" s="2606"/>
      <c r="E47" s="2607">
        <v>45828</v>
      </c>
      <c r="F47" s="2608"/>
      <c r="G47" s="2609">
        <v>45439</v>
      </c>
      <c r="H47" s="2610"/>
      <c r="I47" s="2607">
        <v>48117</v>
      </c>
      <c r="J47" s="2610"/>
      <c r="K47" s="1605"/>
      <c r="L47" s="2143"/>
      <c r="M47" s="2144"/>
      <c r="N47" s="2133"/>
      <c r="O47" s="2144"/>
      <c r="P47" s="3423" t="str">
        <f>A47</f>
        <v>成交单价（元/平方米）</v>
      </c>
      <c r="Q47" s="3423"/>
      <c r="R47" s="3510">
        <f>E47</f>
        <v>45828</v>
      </c>
      <c r="S47" s="3510"/>
      <c r="T47" s="3510">
        <f>G47</f>
        <v>45439</v>
      </c>
      <c r="U47" s="3510"/>
      <c r="V47" s="3510">
        <f>I47</f>
        <v>48117</v>
      </c>
      <c r="W47" s="3510"/>
      <c r="X47" s="1558"/>
      <c r="Y47" s="1580"/>
      <c r="Z47" s="1558"/>
      <c r="AA47" s="1558"/>
      <c r="AB47" s="1558"/>
      <c r="AC47" s="1558"/>
    </row>
    <row r="48" spans="1:29" ht="15.75" thickBot="1">
      <c r="A48" s="615" t="s">
        <v>2760</v>
      </c>
      <c r="B48" s="887"/>
      <c r="C48" s="2611">
        <f>R49</f>
        <v>47075</v>
      </c>
      <c r="D48" s="2612"/>
      <c r="E48" s="2613">
        <f>R48</f>
        <v>46407</v>
      </c>
      <c r="F48" s="2613"/>
      <c r="G48" s="2611">
        <f>T48</f>
        <v>46807</v>
      </c>
      <c r="H48" s="2612"/>
      <c r="I48" s="2613">
        <f>V48</f>
        <v>48012</v>
      </c>
      <c r="J48" s="2612"/>
      <c r="K48" s="1606"/>
      <c r="L48" s="2143"/>
      <c r="M48" s="2144"/>
      <c r="N48" s="2144"/>
      <c r="O48" s="2144"/>
      <c r="P48" s="3423" t="str">
        <f>A48</f>
        <v>比较价格（元/平方米）</v>
      </c>
      <c r="Q48" s="3423"/>
      <c r="R48" s="3510">
        <f>IF(F1="售价",ROUND(PRODUCT(R47,AA7:AA46),0),ROUND(PRODUCT(R47,AA7:AA46),1))</f>
        <v>46407</v>
      </c>
      <c r="S48" s="3510"/>
      <c r="T48" s="3510">
        <f>IF(F1="售价",ROUND(PRODUCT(T47,AB7:AB46),0),ROUND(PRODUCT(T47,AB7:AB46),1))</f>
        <v>46807</v>
      </c>
      <c r="U48" s="3510"/>
      <c r="V48" s="3510">
        <f>IF(F1="售价",ROUND(PRODUCT(V47,AC7:AC46),0),ROUND(PRODUCT(V47,AC7:AC46),1))</f>
        <v>48012</v>
      </c>
      <c r="W48" s="3510"/>
      <c r="X48" s="1558"/>
      <c r="Y48" s="1558"/>
      <c r="Z48" s="1558"/>
      <c r="AA48" s="1558"/>
      <c r="AB48" s="1558"/>
      <c r="AC48" s="1558"/>
    </row>
    <row r="49" spans="1:29" ht="15.75" thickBot="1">
      <c r="A49" s="621" t="s">
        <v>2931</v>
      </c>
      <c r="B49" s="622"/>
      <c r="C49" s="2614">
        <f>R49</f>
        <v>47075</v>
      </c>
      <c r="D49" s="2614"/>
      <c r="E49" s="2614"/>
      <c r="F49" s="2614"/>
      <c r="G49" s="2614"/>
      <c r="H49" s="2614"/>
      <c r="I49" s="2614"/>
      <c r="J49" s="2614"/>
      <c r="K49" s="1607"/>
      <c r="L49" s="2143"/>
      <c r="M49" s="2144"/>
      <c r="N49" s="2144"/>
      <c r="O49" s="2144"/>
      <c r="P49" s="3444" t="str">
        <f>A49</f>
        <v>估价对象XX用房的比较价格（楼面单价，元/平方米）</v>
      </c>
      <c r="Q49" s="3445"/>
      <c r="R49" s="3509">
        <f>IF(F1="售价",ROUND(AVERAGE(R48:V48),0),ROUND(AVERAGE(R48:V48),1))</f>
        <v>47075</v>
      </c>
      <c r="S49" s="3509"/>
      <c r="T49" s="3509"/>
      <c r="U49" s="3509"/>
      <c r="V49" s="3509"/>
      <c r="W49" s="3509"/>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f>IF(E47&lt;E48,E48/E47-1,E47/E48-1)</f>
        <v>1.2634197433883276E-2</v>
      </c>
      <c r="F52" s="627" t="str">
        <f>IF(OR(E52&gt;=0.3,E52&lt;=-0.3),"超过30%","")</f>
        <v/>
      </c>
      <c r="G52" s="626">
        <f>IF(G47&lt;G48,G48/G47-1,G47/G48-1)</f>
        <v>3.0106296353352935E-2</v>
      </c>
      <c r="H52" s="627" t="str">
        <f>IF(OR(G52&gt;=0.3,G52&lt;=-0.3),"超过30%","")</f>
        <v/>
      </c>
      <c r="I52" s="626">
        <f>IF(I47&lt;I48,I48/I47-1,I47/I48-1)</f>
        <v>2.1869532616844989E-3</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f>IF(E48&lt;G48,G48/E48-1,E48/G48-1)</f>
        <v>8.6193893162669344E-3</v>
      </c>
      <c r="F53" s="627" t="str">
        <f>IF(OR(E53&gt;=0.2,E53&lt;=-0.2),"超过20%","")</f>
        <v/>
      </c>
      <c r="G53" s="626">
        <f>IF(G48&lt;I48,I48/G48-1,G48/I48-1)</f>
        <v>2.5744012647680892E-2</v>
      </c>
      <c r="H53" s="627" t="str">
        <f>IF(OR(G53&gt;=0.2,G53&lt;=-0.2),"超过20%","")</f>
        <v/>
      </c>
      <c r="I53" s="626">
        <f>IF(I48&lt;E48,E48/I48-1,I48/E48-1)</f>
        <v>3.4585299631521016E-2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558</v>
      </c>
      <c r="D54" s="628"/>
      <c r="E54" s="626">
        <f>IF(E47&lt;G47,G47/E47-1,E47/G47-1)</f>
        <v>8.5609278373204312E-3</v>
      </c>
      <c r="F54" s="627" t="str">
        <f>IF(OR(E54&gt;=0.3,E54&lt;=-0.3),"超过30%","")</f>
        <v/>
      </c>
      <c r="G54" s="626">
        <f>IF(G47&lt;I47,I47/G47-1,G47/I47-1)</f>
        <v>5.8936156165408482E-2</v>
      </c>
      <c r="H54" s="627" t="str">
        <f>IF(OR(G54&gt;=0.3,G54&lt;=-0.3),"超过30%","")</f>
        <v/>
      </c>
      <c r="I54" s="626">
        <f>IF(I47&lt;E47,E47/I47-1,I47/E47-1)</f>
        <v>4.9947630269704169E-2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573</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528</v>
      </c>
      <c r="B58" s="646"/>
      <c r="C58" s="2781"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v>100</v>
      </c>
      <c r="E59" s="650">
        <v>100</v>
      </c>
      <c r="F59" s="650">
        <v>99.8</v>
      </c>
      <c r="G59" s="650">
        <v>99.8</v>
      </c>
      <c r="H59" s="650">
        <v>99.8</v>
      </c>
      <c r="I59" s="650">
        <v>99.6</v>
      </c>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576</v>
      </c>
      <c r="B63" s="665" t="s">
        <v>533</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99.75</v>
      </c>
      <c r="E66" s="679">
        <f t="shared" si="17"/>
        <v>99.5</v>
      </c>
      <c r="F66" s="679">
        <f t="shared" si="17"/>
        <v>99.25</v>
      </c>
      <c r="G66" s="679">
        <f t="shared" si="17"/>
        <v>99</v>
      </c>
      <c r="H66" s="679">
        <f t="shared" si="17"/>
        <v>98.75</v>
      </c>
      <c r="I66" s="679">
        <f t="shared" si="17"/>
        <v>98.5</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1</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745</v>
      </c>
      <c r="C88" s="3196" t="s">
        <v>3037</v>
      </c>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539" t="s">
        <v>3040</v>
      </c>
      <c r="D92" s="539" t="s">
        <v>3041</v>
      </c>
      <c r="E92" s="539" t="s">
        <v>3042</v>
      </c>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v>100</v>
      </c>
      <c r="D93" s="671">
        <v>98.5</v>
      </c>
      <c r="E93" s="671">
        <v>98.5</v>
      </c>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746</v>
      </c>
      <c r="C100" s="3199" t="s">
        <v>3048</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747</v>
      </c>
      <c r="C102" s="708" t="str">
        <f>C103&amp;"(含)"&amp;"-"&amp;D103</f>
        <v>1(含)-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1</v>
      </c>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3196" t="s">
        <v>3050</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749</v>
      </c>
      <c r="C107" s="718"/>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750</v>
      </c>
      <c r="C109" s="3196" t="s">
        <v>3052</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752</v>
      </c>
      <c r="C114" s="3196" t="s">
        <v>3054</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2556</v>
      </c>
      <c r="C116" s="3196" t="s">
        <v>3055</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753</v>
      </c>
      <c r="C118" s="3200" t="s">
        <v>3057</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732</v>
      </c>
      <c r="C120" s="688" t="s">
        <v>3046</v>
      </c>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3196" t="s">
        <v>3061</v>
      </c>
      <c r="D122" s="3196" t="s">
        <v>3062</v>
      </c>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t="str">
        <f>B44</f>
        <v>建成年代</v>
      </c>
      <c r="C126" s="688">
        <v>2005</v>
      </c>
      <c r="D126" s="688">
        <v>2000</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v>100</v>
      </c>
      <c r="D127" s="671">
        <v>99</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99" priority="15" stopIfTrue="1" operator="containsText" text="超过">
      <formula>NOT(ISERROR(SEARCH("超过",F52)))</formula>
    </cfRule>
  </conditionalFormatting>
  <conditionalFormatting sqref="J54">
    <cfRule type="containsText" dxfId="98" priority="14" stopIfTrue="1" operator="containsText" text="超过">
      <formula>NOT(ISERROR(SEARCH("超过",J54)))</formula>
    </cfRule>
  </conditionalFormatting>
  <conditionalFormatting sqref="H54">
    <cfRule type="containsText" dxfId="97" priority="13" stopIfTrue="1" operator="containsText" text="超过">
      <formula>NOT(ISERROR(SEARCH("超过",H54)))</formula>
    </cfRule>
  </conditionalFormatting>
  <conditionalFormatting sqref="F54">
    <cfRule type="containsText" dxfId="96" priority="12" stopIfTrue="1" operator="containsText" text="超过">
      <formula>NOT(ISERROR(SEARCH("超过",F54)))</formula>
    </cfRule>
  </conditionalFormatting>
  <conditionalFormatting sqref="F53 H53 J53">
    <cfRule type="containsText" dxfId="95" priority="11" stopIfTrue="1" operator="containsText" text="超过">
      <formula>NOT(ISERROR(SEARCH("超过",F53)))</formula>
    </cfRule>
  </conditionalFormatting>
  <conditionalFormatting sqref="E52">
    <cfRule type="expression" dxfId="94" priority="10" stopIfTrue="1">
      <formula>$F$52="超过30%"</formula>
    </cfRule>
  </conditionalFormatting>
  <conditionalFormatting sqref="G54">
    <cfRule type="expression" dxfId="93" priority="8" stopIfTrue="1">
      <formula>$H$54="超过30%"</formula>
    </cfRule>
  </conditionalFormatting>
  <conditionalFormatting sqref="E53">
    <cfRule type="expression" dxfId="92" priority="7" stopIfTrue="1">
      <formula>$F$53="超过20%"</formula>
    </cfRule>
  </conditionalFormatting>
  <conditionalFormatting sqref="E54">
    <cfRule type="expression" dxfId="91" priority="6" stopIfTrue="1">
      <formula>$F$54="超过30%"</formula>
    </cfRule>
  </conditionalFormatting>
  <conditionalFormatting sqref="G52">
    <cfRule type="expression" dxfId="90" priority="5" stopIfTrue="1">
      <formula>$H$52="超过30%"</formula>
    </cfRule>
  </conditionalFormatting>
  <conditionalFormatting sqref="G53">
    <cfRule type="expression" dxfId="89" priority="4" stopIfTrue="1">
      <formula>$H$53="超过20%"</formula>
    </cfRule>
  </conditionalFormatting>
  <conditionalFormatting sqref="I52">
    <cfRule type="expression" dxfId="88" priority="3" stopIfTrue="1">
      <formula>$J$52="超过30%"</formula>
    </cfRule>
  </conditionalFormatting>
  <conditionalFormatting sqref="I53">
    <cfRule type="expression" dxfId="87" priority="2" stopIfTrue="1">
      <formula>$J$53="超过20%"</formula>
    </cfRule>
  </conditionalFormatting>
  <conditionalFormatting sqref="I54">
    <cfRule type="expression" dxfId="8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27" zoomScale="110" zoomScaleNormal="110" workbookViewId="0">
      <selection activeCell="F58" sqref="F5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48" t="s">
        <v>3014</v>
      </c>
      <c r="E1" s="506"/>
      <c r="F1" s="2784" t="s">
        <v>3059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f>ROUND(B3*D3/10000,0)</f>
        <v>31145</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518</v>
      </c>
      <c r="B3" s="510">
        <f>C49</f>
        <v>31145</v>
      </c>
      <c r="C3" s="852" t="s">
        <v>721</v>
      </c>
      <c r="D3" s="851">
        <f>SUMIF('数据-汇总表'!$C19:$C33,D1,'数据-汇总表'!$E19:$E33)</f>
        <v>10000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520</v>
      </c>
      <c r="B4" s="513"/>
      <c r="C4" s="3429" t="s">
        <v>521</v>
      </c>
      <c r="D4" s="3430"/>
      <c r="E4" s="3453" t="s">
        <v>522</v>
      </c>
      <c r="F4" s="3454"/>
      <c r="G4" s="3429" t="s">
        <v>523</v>
      </c>
      <c r="H4" s="3430"/>
      <c r="I4" s="3429" t="s">
        <v>524</v>
      </c>
      <c r="J4" s="3430"/>
      <c r="K4" s="514" t="s">
        <v>525</v>
      </c>
      <c r="L4" s="2132"/>
      <c r="M4" s="2133"/>
      <c r="N4" s="2133"/>
      <c r="O4" s="2133"/>
      <c r="P4" s="3431" t="s">
        <v>526</v>
      </c>
      <c r="Q4" s="3432"/>
      <c r="R4" s="3417" t="s">
        <v>522</v>
      </c>
      <c r="S4" s="3418"/>
      <c r="T4" s="3417" t="s">
        <v>523</v>
      </c>
      <c r="U4" s="3418"/>
      <c r="V4" s="3437" t="s">
        <v>524</v>
      </c>
      <c r="W4" s="3437"/>
      <c r="X4" s="1566"/>
      <c r="Y4" s="3417" t="s">
        <v>526</v>
      </c>
      <c r="Z4" s="3418"/>
      <c r="AA4" s="3412" t="s">
        <v>522</v>
      </c>
      <c r="AB4" s="3437" t="s">
        <v>523</v>
      </c>
      <c r="AC4" s="3412" t="s">
        <v>524</v>
      </c>
    </row>
    <row r="5" spans="1:29" ht="15">
      <c r="A5" s="515"/>
      <c r="B5" s="516"/>
      <c r="C5" s="3440" t="str">
        <f>'不动产比较法-住宅'!C5:D5</f>
        <v>朝阳区王四营乡东部道口村柏阳景园</v>
      </c>
      <c r="D5" s="3441"/>
      <c r="E5" s="3507" t="s">
        <v>3079</v>
      </c>
      <c r="F5" s="3456"/>
      <c r="G5" s="3507" t="s">
        <v>3079</v>
      </c>
      <c r="H5" s="3456"/>
      <c r="I5" s="3508" t="s">
        <v>3080</v>
      </c>
      <c r="J5" s="3441"/>
      <c r="K5" s="514"/>
      <c r="L5" s="2132"/>
      <c r="M5" s="2133"/>
      <c r="N5" s="2133"/>
      <c r="O5" s="2133"/>
      <c r="P5" s="3433"/>
      <c r="Q5" s="3434"/>
      <c r="R5" s="3419"/>
      <c r="S5" s="3420"/>
      <c r="T5" s="3419"/>
      <c r="U5" s="3420"/>
      <c r="V5" s="3437"/>
      <c r="W5" s="3437"/>
      <c r="X5" s="1566"/>
      <c r="Y5" s="3419"/>
      <c r="Z5" s="3420"/>
      <c r="AA5" s="3413"/>
      <c r="AB5" s="3437"/>
      <c r="AC5" s="3413"/>
    </row>
    <row r="6" spans="1:29" ht="15.75" thickBot="1">
      <c r="A6" s="517"/>
      <c r="B6" s="518"/>
      <c r="C6" s="3438" t="s">
        <v>2929</v>
      </c>
      <c r="D6" s="3439"/>
      <c r="E6" s="3457" t="s">
        <v>2929</v>
      </c>
      <c r="F6" s="3458"/>
      <c r="G6" s="3438" t="s">
        <v>2929</v>
      </c>
      <c r="H6" s="3439"/>
      <c r="I6" s="3438" t="s">
        <v>2929</v>
      </c>
      <c r="J6" s="3439"/>
      <c r="K6" s="514" t="s">
        <v>527</v>
      </c>
      <c r="L6" s="2132"/>
      <c r="M6" s="2133"/>
      <c r="N6" s="2133"/>
      <c r="O6" s="2133"/>
      <c r="P6" s="3435"/>
      <c r="Q6" s="3436"/>
      <c r="R6" s="3419"/>
      <c r="S6" s="3420"/>
      <c r="T6" s="3421"/>
      <c r="U6" s="3422"/>
      <c r="V6" s="3437"/>
      <c r="W6" s="3437"/>
      <c r="X6" s="1566"/>
      <c r="Y6" s="3421"/>
      <c r="Z6" s="3422"/>
      <c r="AA6" s="3414"/>
      <c r="AB6" s="3437"/>
      <c r="AC6" s="3414"/>
    </row>
    <row r="7" spans="1:29" s="1219" customFormat="1" ht="15.75" thickBot="1">
      <c r="A7" s="2889"/>
      <c r="B7" s="2896" t="s">
        <v>528</v>
      </c>
      <c r="C7" s="519">
        <f>'数据-取费表'!B2</f>
        <v>43528</v>
      </c>
      <c r="D7" s="520">
        <v>100</v>
      </c>
      <c r="E7" s="521">
        <v>43525</v>
      </c>
      <c r="F7" s="522">
        <f>SUMIF(58:58,YEAR(E7)&amp;"-"&amp;MONTH(E7),59:59)</f>
        <v>100</v>
      </c>
      <c r="G7" s="521">
        <v>43525</v>
      </c>
      <c r="H7" s="520">
        <f>SUMIF(58:58,YEAR(G7)&amp;"-"&amp;MONTH(G7),59:59)</f>
        <v>100</v>
      </c>
      <c r="I7" s="521">
        <v>43525</v>
      </c>
      <c r="J7" s="520">
        <f>SUMIF(58:58,YEAR(I7)&amp;"-"&amp;MONTH(I7),59:59)</f>
        <v>100</v>
      </c>
      <c r="K7" s="524"/>
      <c r="L7" s="2134"/>
      <c r="M7" s="2135"/>
      <c r="N7" s="2135"/>
      <c r="O7" s="2135"/>
      <c r="P7" s="3415" t="s">
        <v>529</v>
      </c>
      <c r="Q7" s="3424"/>
      <c r="R7" s="1567" t="s">
        <v>8</v>
      </c>
      <c r="S7" s="1568">
        <f t="shared" ref="S7:S15" si="0">F7</f>
        <v>100</v>
      </c>
      <c r="T7" s="1567" t="s">
        <v>8</v>
      </c>
      <c r="U7" s="1568">
        <f t="shared" ref="U7:U15" si="1">H7</f>
        <v>100</v>
      </c>
      <c r="V7" s="1567" t="s">
        <v>8</v>
      </c>
      <c r="W7" s="1568">
        <f t="shared" ref="W7:W15" si="2">J7</f>
        <v>100</v>
      </c>
      <c r="X7" s="1569"/>
      <c r="Y7" s="3415" t="s">
        <v>529</v>
      </c>
      <c r="Z7" s="3416"/>
      <c r="AA7" s="1570">
        <f>D7/F7</f>
        <v>1</v>
      </c>
      <c r="AB7" s="1570">
        <f>D7/H7</f>
        <v>1</v>
      </c>
      <c r="AC7" s="1570">
        <f>D7/J7</f>
        <v>1</v>
      </c>
    </row>
    <row r="8" spans="1:29" s="1219" customFormat="1" ht="15.75" thickBot="1">
      <c r="A8" s="2890"/>
      <c r="B8" s="2897" t="s">
        <v>530</v>
      </c>
      <c r="C8" s="525" t="s">
        <v>575</v>
      </c>
      <c r="D8" s="520">
        <v>100</v>
      </c>
      <c r="E8" s="525" t="s">
        <v>3031</v>
      </c>
      <c r="F8" s="522">
        <f>SUMIF(61:61,E8,62:62)-SUMIF(61:61,C8,62:62)+100</f>
        <v>100</v>
      </c>
      <c r="G8" s="525" t="s">
        <v>3031</v>
      </c>
      <c r="H8" s="520">
        <f>SUMIF(61:61,G8,62:62)-SUMIF(61:61,C8,62:62)+100</f>
        <v>100</v>
      </c>
      <c r="I8" s="525" t="s">
        <v>3031</v>
      </c>
      <c r="J8" s="520">
        <f>SUMIF(61:61,I8,62:62)-SUMIF(61:61,C8,62:62)+100</f>
        <v>100</v>
      </c>
      <c r="K8" s="524"/>
      <c r="L8" s="2134"/>
      <c r="M8" s="2135"/>
      <c r="N8" s="2135"/>
      <c r="O8" s="2135"/>
      <c r="P8" s="3415" t="s">
        <v>532</v>
      </c>
      <c r="Q8" s="3416"/>
      <c r="R8" s="1567" t="s">
        <v>8</v>
      </c>
      <c r="S8" s="1568">
        <f t="shared" si="0"/>
        <v>100</v>
      </c>
      <c r="T8" s="1567" t="s">
        <v>8</v>
      </c>
      <c r="U8" s="1568">
        <f t="shared" si="1"/>
        <v>100</v>
      </c>
      <c r="V8" s="1567" t="s">
        <v>8</v>
      </c>
      <c r="W8" s="1568">
        <f t="shared" si="2"/>
        <v>100</v>
      </c>
      <c r="X8" s="1569"/>
      <c r="Y8" s="3415" t="s">
        <v>532</v>
      </c>
      <c r="Z8" s="3416"/>
      <c r="AA8" s="1570">
        <f t="shared" ref="AA8:AA46" si="3">D8/F8</f>
        <v>1</v>
      </c>
      <c r="AB8" s="1570">
        <f t="shared" ref="AB8:AB46" si="4">D8/H8</f>
        <v>1</v>
      </c>
      <c r="AC8" s="1570">
        <f t="shared" ref="AC8:AC46" si="5">D8/J8</f>
        <v>1</v>
      </c>
    </row>
    <row r="9" spans="1:29" s="1219" customFormat="1" ht="15">
      <c r="A9" s="2891"/>
      <c r="B9" s="2898" t="s">
        <v>2756</v>
      </c>
      <c r="C9" s="3194" t="s">
        <v>3081</v>
      </c>
      <c r="D9" s="254">
        <v>100</v>
      </c>
      <c r="E9" s="3203" t="s">
        <v>3081</v>
      </c>
      <c r="F9" s="254">
        <f>SUMIF(63:63,E9,64:64)-SUMIF(63:63,C9,64:64)+100</f>
        <v>100</v>
      </c>
      <c r="G9" s="3204" t="s">
        <v>3081</v>
      </c>
      <c r="H9" s="254">
        <f>SUMIF(63:63,G9,64:64)-SUMIF(63:63,C9,64:64)+100</f>
        <v>100</v>
      </c>
      <c r="I9" s="3204" t="s">
        <v>3081</v>
      </c>
      <c r="J9" s="254">
        <f>SUMIF(63:63,I9,64:64)-SUMIF(63:63,C9,64:64)+100</f>
        <v>100</v>
      </c>
      <c r="K9" s="524"/>
      <c r="L9" s="2134"/>
      <c r="M9" s="2135"/>
      <c r="N9" s="2135"/>
      <c r="O9" s="2136"/>
      <c r="P9" s="3423" t="s">
        <v>534</v>
      </c>
      <c r="Q9" s="1150" t="str">
        <f t="shared" ref="Q9:Q15" si="6">B9</f>
        <v>用途</v>
      </c>
      <c r="R9" s="1567" t="s">
        <v>8</v>
      </c>
      <c r="S9" s="1568">
        <f t="shared" si="0"/>
        <v>100</v>
      </c>
      <c r="T9" s="1567" t="s">
        <v>8</v>
      </c>
      <c r="U9" s="1568">
        <f t="shared" si="1"/>
        <v>100</v>
      </c>
      <c r="V9" s="1567" t="s">
        <v>8</v>
      </c>
      <c r="W9" s="1568">
        <f t="shared" si="2"/>
        <v>100</v>
      </c>
      <c r="X9" s="1569"/>
      <c r="Y9" s="3380" t="s">
        <v>535</v>
      </c>
      <c r="Z9" s="1149" t="str">
        <f t="shared" ref="Z9:Z15" si="7">Q9</f>
        <v>用途</v>
      </c>
      <c r="AA9" s="1570">
        <f t="shared" si="3"/>
        <v>1</v>
      </c>
      <c r="AB9" s="1570">
        <f t="shared" si="4"/>
        <v>1</v>
      </c>
      <c r="AC9" s="1570">
        <f t="shared" si="5"/>
        <v>1</v>
      </c>
    </row>
    <row r="10" spans="1:29" s="1337" customFormat="1" ht="27.75" thickBot="1">
      <c r="A10" s="2892"/>
      <c r="B10" s="2897" t="s">
        <v>2757</v>
      </c>
      <c r="C10" s="861" t="s">
        <v>3083</v>
      </c>
      <c r="D10" s="255">
        <v>100</v>
      </c>
      <c r="E10" s="861" t="s">
        <v>3083</v>
      </c>
      <c r="F10" s="255">
        <f>SUMIF(65:65,E10,66:66)-SUMIF(65:65,C10,66:66)+100</f>
        <v>100</v>
      </c>
      <c r="G10" s="862" t="s">
        <v>3083</v>
      </c>
      <c r="H10" s="255">
        <f>SUMIF(65:65,G10,66:66)-SUMIF(65:65,C10,66:66)+100</f>
        <v>100</v>
      </c>
      <c r="I10" s="861" t="s">
        <v>3082</v>
      </c>
      <c r="J10" s="255">
        <f>SUMIF(65:65,I10,66:66)-SUMIF(65:65,C10,66:66)+100</f>
        <v>100.5</v>
      </c>
      <c r="K10" s="584">
        <v>0.5</v>
      </c>
      <c r="L10" s="2137"/>
      <c r="M10" s="2177"/>
      <c r="N10" s="2177"/>
      <c r="O10" s="2138"/>
      <c r="P10" s="3423"/>
      <c r="Q10" s="1150" t="str">
        <f t="shared" si="6"/>
        <v>土地使用年限（年）</v>
      </c>
      <c r="R10" s="1567" t="s">
        <v>8</v>
      </c>
      <c r="S10" s="1568">
        <f t="shared" si="0"/>
        <v>100</v>
      </c>
      <c r="T10" s="1567" t="s">
        <v>8</v>
      </c>
      <c r="U10" s="1568">
        <f t="shared" si="1"/>
        <v>100</v>
      </c>
      <c r="V10" s="1567" t="s">
        <v>8</v>
      </c>
      <c r="W10" s="1568">
        <f t="shared" si="2"/>
        <v>100.5</v>
      </c>
      <c r="X10" s="1569"/>
      <c r="Y10" s="3380"/>
      <c r="Z10" s="1149" t="str">
        <f t="shared" si="7"/>
        <v>土地使用年限（年）</v>
      </c>
      <c r="AA10" s="1570">
        <f t="shared" si="3"/>
        <v>1</v>
      </c>
      <c r="AB10" s="1570">
        <f t="shared" si="4"/>
        <v>1</v>
      </c>
      <c r="AC10" s="1570">
        <f t="shared" si="5"/>
        <v>0.99502487562189057</v>
      </c>
    </row>
    <row r="11" spans="1:29" ht="15" hidden="1">
      <c r="A11" s="2893"/>
      <c r="B11" s="2897" t="s">
        <v>2758</v>
      </c>
      <c r="C11" s="533">
        <v>1</v>
      </c>
      <c r="D11" s="255">
        <v>100</v>
      </c>
      <c r="E11" s="533">
        <v>1</v>
      </c>
      <c r="F11" s="255">
        <f>LOOKUP(E11,68:68,69:69)-LOOKUP(C11,68:68,69:69)+100</f>
        <v>100</v>
      </c>
      <c r="G11" s="534">
        <v>1</v>
      </c>
      <c r="H11" s="255">
        <f>LOOKUP(G11,68:68,69:69)-LOOKUP(C11,68:68,69:69)+100</f>
        <v>100</v>
      </c>
      <c r="I11" s="533">
        <v>1</v>
      </c>
      <c r="J11" s="255">
        <f>LOOKUP(I11,68:68,69:69)-LOOKUP(C11,68:68,69:69)+100</f>
        <v>100</v>
      </c>
      <c r="K11" s="584"/>
      <c r="L11" s="2139"/>
      <c r="M11" s="2133"/>
      <c r="N11" s="2133"/>
      <c r="O11" s="2140"/>
      <c r="P11" s="3423"/>
      <c r="Q11" s="1150" t="str">
        <f t="shared" si="6"/>
        <v>容积率</v>
      </c>
      <c r="R11" s="1567" t="s">
        <v>8</v>
      </c>
      <c r="S11" s="1568">
        <f t="shared" si="0"/>
        <v>100</v>
      </c>
      <c r="T11" s="1567" t="s">
        <v>8</v>
      </c>
      <c r="U11" s="1568">
        <f t="shared" si="1"/>
        <v>100</v>
      </c>
      <c r="V11" s="1567" t="s">
        <v>8</v>
      </c>
      <c r="W11" s="1568">
        <f t="shared" si="2"/>
        <v>100</v>
      </c>
      <c r="X11" s="1569"/>
      <c r="Y11" s="3380"/>
      <c r="Z11" s="1149" t="str">
        <f t="shared" si="7"/>
        <v>容积率</v>
      </c>
      <c r="AA11" s="1570">
        <f t="shared" si="3"/>
        <v>1</v>
      </c>
      <c r="AB11" s="1570">
        <f t="shared" si="4"/>
        <v>1</v>
      </c>
      <c r="AC11" s="1570">
        <f t="shared" si="5"/>
        <v>1</v>
      </c>
    </row>
    <row r="12" spans="1:29" s="1219" customFormat="1" ht="15" hidden="1">
      <c r="A12" s="2894"/>
      <c r="B12" s="2900">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423"/>
      <c r="Q12" s="1150">
        <f t="shared" si="6"/>
        <v>111</v>
      </c>
      <c r="R12" s="1567" t="s">
        <v>8</v>
      </c>
      <c r="S12" s="1568">
        <f t="shared" si="0"/>
        <v>100</v>
      </c>
      <c r="T12" s="1567" t="s">
        <v>8</v>
      </c>
      <c r="U12" s="1568">
        <f t="shared" si="1"/>
        <v>100</v>
      </c>
      <c r="V12" s="1567" t="s">
        <v>8</v>
      </c>
      <c r="W12" s="1568">
        <f t="shared" si="2"/>
        <v>100</v>
      </c>
      <c r="X12" s="1569"/>
      <c r="Y12" s="3380"/>
      <c r="Z12" s="1149">
        <f t="shared" si="7"/>
        <v>111</v>
      </c>
      <c r="AA12" s="1570">
        <f>D12/F12</f>
        <v>1</v>
      </c>
      <c r="AB12" s="1570">
        <f>D12/H12</f>
        <v>1</v>
      </c>
      <c r="AC12" s="1570">
        <f>D12/J12</f>
        <v>1</v>
      </c>
    </row>
    <row r="13" spans="1:29" ht="15" hidden="1">
      <c r="A13" s="2894"/>
      <c r="B13" s="2900">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423"/>
      <c r="Q13" s="1150">
        <f t="shared" si="6"/>
        <v>111</v>
      </c>
      <c r="R13" s="1567" t="s">
        <v>8</v>
      </c>
      <c r="S13" s="1568">
        <f t="shared" si="0"/>
        <v>100</v>
      </c>
      <c r="T13" s="1567" t="s">
        <v>8</v>
      </c>
      <c r="U13" s="1568">
        <f t="shared" si="1"/>
        <v>100</v>
      </c>
      <c r="V13" s="1567" t="s">
        <v>8</v>
      </c>
      <c r="W13" s="1568">
        <f t="shared" si="2"/>
        <v>100</v>
      </c>
      <c r="X13" s="1569"/>
      <c r="Y13" s="3380"/>
      <c r="Z13" s="1149">
        <f t="shared" si="7"/>
        <v>111</v>
      </c>
      <c r="AA13" s="1570">
        <f t="shared" si="3"/>
        <v>1</v>
      </c>
      <c r="AB13" s="1570">
        <f t="shared" si="4"/>
        <v>1</v>
      </c>
      <c r="AC13" s="1570">
        <f t="shared" si="5"/>
        <v>1</v>
      </c>
    </row>
    <row r="14" spans="1:29" ht="15.75" hidden="1" thickBot="1">
      <c r="A14" s="2895"/>
      <c r="B14" s="2901">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423"/>
      <c r="Q14" s="1150">
        <f t="shared" si="6"/>
        <v>111</v>
      </c>
      <c r="R14" s="1567" t="s">
        <v>8</v>
      </c>
      <c r="S14" s="1568">
        <f t="shared" si="0"/>
        <v>100</v>
      </c>
      <c r="T14" s="1567" t="s">
        <v>8</v>
      </c>
      <c r="U14" s="1568">
        <f t="shared" si="1"/>
        <v>100</v>
      </c>
      <c r="V14" s="1567" t="s">
        <v>8</v>
      </c>
      <c r="W14" s="1568">
        <f t="shared" si="2"/>
        <v>100</v>
      </c>
      <c r="X14" s="1569"/>
      <c r="Y14" s="3380"/>
      <c r="Z14" s="1149">
        <f t="shared" si="7"/>
        <v>111</v>
      </c>
      <c r="AA14" s="1570">
        <f t="shared" si="3"/>
        <v>1</v>
      </c>
      <c r="AB14" s="1570">
        <f t="shared" si="4"/>
        <v>1</v>
      </c>
      <c r="AC14" s="1570">
        <f t="shared" si="5"/>
        <v>1</v>
      </c>
    </row>
    <row r="15" spans="1:29" ht="71.25">
      <c r="A15" s="2887" t="s">
        <v>2754</v>
      </c>
      <c r="B15" s="166" t="s">
        <v>540</v>
      </c>
      <c r="C15" s="867" t="str">
        <f>估价对象房地状况!C4</f>
        <v>估价对象位于XX商圈，周边商业氛围成熟，人流量大，商业繁华度一般</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25" t="s">
        <v>539</v>
      </c>
      <c r="Q15" s="1571" t="str">
        <f t="shared" si="6"/>
        <v>商业繁华度</v>
      </c>
      <c r="R15" s="1572" t="s">
        <v>8</v>
      </c>
      <c r="S15" s="1573">
        <f t="shared" si="0"/>
        <v>100</v>
      </c>
      <c r="T15" s="1572" t="s">
        <v>8</v>
      </c>
      <c r="U15" s="1573">
        <f t="shared" si="1"/>
        <v>100</v>
      </c>
      <c r="V15" s="1572" t="s">
        <v>8</v>
      </c>
      <c r="W15" s="1573">
        <f t="shared" si="2"/>
        <v>100</v>
      </c>
      <c r="X15" s="1566"/>
      <c r="Y15" s="3425" t="s">
        <v>539</v>
      </c>
      <c r="Z15" s="1574" t="str">
        <f t="shared" si="7"/>
        <v>商业繁华度</v>
      </c>
      <c r="AA15" s="1575">
        <f t="shared" si="3"/>
        <v>1</v>
      </c>
      <c r="AB15" s="1575">
        <f t="shared" si="4"/>
        <v>1</v>
      </c>
      <c r="AC15" s="1575">
        <f t="shared" si="5"/>
        <v>1</v>
      </c>
    </row>
    <row r="16" spans="1:29" ht="15">
      <c r="A16" s="532"/>
      <c r="B16" s="869"/>
      <c r="C16" s="576" t="s">
        <v>3035</v>
      </c>
      <c r="D16" s="555"/>
      <c r="E16" s="576" t="s">
        <v>3035</v>
      </c>
      <c r="F16" s="557"/>
      <c r="G16" s="576" t="s">
        <v>3035</v>
      </c>
      <c r="H16" s="559"/>
      <c r="I16" s="576" t="s">
        <v>3035</v>
      </c>
      <c r="J16" s="555"/>
      <c r="K16" s="898"/>
      <c r="L16" s="2141"/>
      <c r="M16" s="2133"/>
      <c r="N16" s="2133"/>
      <c r="O16" s="2140"/>
      <c r="P16" s="3426"/>
      <c r="Q16" s="1571"/>
      <c r="R16" s="1572"/>
      <c r="S16" s="1573"/>
      <c r="T16" s="1572"/>
      <c r="U16" s="1573"/>
      <c r="V16" s="1572"/>
      <c r="W16" s="1573"/>
      <c r="X16" s="1566"/>
      <c r="Y16" s="3426"/>
      <c r="Z16" s="1574"/>
      <c r="AA16" s="1575">
        <v>1</v>
      </c>
      <c r="AB16" s="1575">
        <v>1</v>
      </c>
      <c r="AC16" s="1575">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99</v>
      </c>
      <c r="G17" s="564"/>
      <c r="H17" s="565">
        <f>SUMIF(78:78,G18,79:79)-SUMIF(78:78,C18,79:79)+100</f>
        <v>99</v>
      </c>
      <c r="I17" s="562"/>
      <c r="J17" s="565">
        <f>SUMIF(78:78,I18,79:79)-SUMIF(78:78,C18,79:79)+100</f>
        <v>99</v>
      </c>
      <c r="K17" s="897">
        <v>1</v>
      </c>
      <c r="L17" s="2141"/>
      <c r="M17" s="2133"/>
      <c r="N17" s="2133"/>
      <c r="O17" s="2140"/>
      <c r="P17" s="3426"/>
      <c r="Q17" s="1571" t="str">
        <f>B17</f>
        <v>交通便捷度</v>
      </c>
      <c r="R17" s="1572" t="s">
        <v>8</v>
      </c>
      <c r="S17" s="1573">
        <f>F17</f>
        <v>99</v>
      </c>
      <c r="T17" s="1572" t="s">
        <v>8</v>
      </c>
      <c r="U17" s="1573">
        <f>H17</f>
        <v>99</v>
      </c>
      <c r="V17" s="1572" t="s">
        <v>8</v>
      </c>
      <c r="W17" s="1573">
        <f>J17</f>
        <v>99</v>
      </c>
      <c r="X17" s="1566"/>
      <c r="Y17" s="3426"/>
      <c r="Z17" s="1574" t="str">
        <f>Q17</f>
        <v>交通便捷度</v>
      </c>
      <c r="AA17" s="1575">
        <f t="shared" si="3"/>
        <v>1.0101010101010102</v>
      </c>
      <c r="AB17" s="1575">
        <f t="shared" si="4"/>
        <v>1.0101010101010102</v>
      </c>
      <c r="AC17" s="1575">
        <f t="shared" si="5"/>
        <v>1.0101010101010102</v>
      </c>
    </row>
    <row r="18" spans="1:29" ht="15">
      <c r="A18" s="532"/>
      <c r="B18" s="595"/>
      <c r="C18" s="873" t="s">
        <v>3032</v>
      </c>
      <c r="D18" s="559"/>
      <c r="E18" s="568" t="s">
        <v>3035</v>
      </c>
      <c r="F18" s="563"/>
      <c r="G18" s="569" t="s">
        <v>3035</v>
      </c>
      <c r="H18" s="555"/>
      <c r="I18" s="568" t="s">
        <v>3035</v>
      </c>
      <c r="J18" s="555"/>
      <c r="K18" s="898"/>
      <c r="L18" s="2141"/>
      <c r="M18" s="2133"/>
      <c r="N18" s="2133"/>
      <c r="O18" s="2140"/>
      <c r="P18" s="3426"/>
      <c r="Q18" s="1571"/>
      <c r="R18" s="1572"/>
      <c r="S18" s="1573"/>
      <c r="T18" s="1572"/>
      <c r="U18" s="1573"/>
      <c r="V18" s="1572"/>
      <c r="W18" s="1573"/>
      <c r="X18" s="1566"/>
      <c r="Y18" s="3426"/>
      <c r="Z18" s="1574"/>
      <c r="AA18" s="1575">
        <v>1</v>
      </c>
      <c r="AB18" s="1575">
        <v>1</v>
      </c>
      <c r="AC18" s="1575">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26"/>
      <c r="Q19" s="1571" t="str">
        <f>B19</f>
        <v>公共配套设施</v>
      </c>
      <c r="R19" s="1572" t="s">
        <v>8</v>
      </c>
      <c r="S19" s="1573">
        <f>F19</f>
        <v>100</v>
      </c>
      <c r="T19" s="1572" t="s">
        <v>8</v>
      </c>
      <c r="U19" s="1573">
        <f>H19</f>
        <v>100</v>
      </c>
      <c r="V19" s="1572" t="s">
        <v>8</v>
      </c>
      <c r="W19" s="1573">
        <f>J19</f>
        <v>100</v>
      </c>
      <c r="X19" s="1566"/>
      <c r="Y19" s="3426"/>
      <c r="Z19" s="1574" t="str">
        <f>Q19</f>
        <v>公共配套设施</v>
      </c>
      <c r="AA19" s="1575">
        <f t="shared" si="3"/>
        <v>1</v>
      </c>
      <c r="AB19" s="1575">
        <f t="shared" si="4"/>
        <v>1</v>
      </c>
      <c r="AC19" s="1575">
        <f t="shared" si="5"/>
        <v>1</v>
      </c>
    </row>
    <row r="20" spans="1:29" ht="15">
      <c r="A20" s="532"/>
      <c r="B20" s="595"/>
      <c r="C20" s="576" t="s">
        <v>3032</v>
      </c>
      <c r="D20" s="555"/>
      <c r="E20" s="556" t="s">
        <v>3032</v>
      </c>
      <c r="F20" s="557"/>
      <c r="G20" s="558" t="s">
        <v>3032</v>
      </c>
      <c r="H20" s="555"/>
      <c r="I20" s="556" t="s">
        <v>3032</v>
      </c>
      <c r="J20" s="555"/>
      <c r="K20" s="898"/>
      <c r="L20" s="2141"/>
      <c r="M20" s="2133"/>
      <c r="N20" s="2133"/>
      <c r="O20" s="2140"/>
      <c r="P20" s="3426"/>
      <c r="Q20" s="1571"/>
      <c r="R20" s="1572"/>
      <c r="S20" s="1573"/>
      <c r="T20" s="1572"/>
      <c r="U20" s="1573"/>
      <c r="V20" s="1572"/>
      <c r="W20" s="1573"/>
      <c r="X20" s="1566"/>
      <c r="Y20" s="3426"/>
      <c r="Z20" s="1574"/>
      <c r="AA20" s="1575">
        <v>1</v>
      </c>
      <c r="AB20" s="1575">
        <v>1</v>
      </c>
      <c r="AC20" s="1575">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26"/>
      <c r="Q21" s="2557" t="str">
        <f>B21</f>
        <v>基础设施水平</v>
      </c>
      <c r="R21" s="1572" t="s">
        <v>8</v>
      </c>
      <c r="S21" s="1573">
        <f>F21</f>
        <v>100</v>
      </c>
      <c r="T21" s="1572" t="s">
        <v>8</v>
      </c>
      <c r="U21" s="1573">
        <f>H21</f>
        <v>100</v>
      </c>
      <c r="V21" s="1572" t="s">
        <v>8</v>
      </c>
      <c r="W21" s="1573">
        <f>J21</f>
        <v>100</v>
      </c>
      <c r="X21" s="2559"/>
      <c r="Y21" s="3426"/>
      <c r="Z21" s="2558" t="str">
        <f>Q21</f>
        <v>基础设施水平</v>
      </c>
      <c r="AA21" s="1575">
        <f t="shared" ref="AA21" si="8">D21/F21</f>
        <v>1</v>
      </c>
      <c r="AB21" s="1575">
        <f t="shared" ref="AB21" si="9">D21/H21</f>
        <v>1</v>
      </c>
      <c r="AC21" s="1575">
        <f t="shared" ref="AC21" si="10">D21/J21</f>
        <v>1</v>
      </c>
    </row>
    <row r="22" spans="1:29" ht="15">
      <c r="A22" s="532"/>
      <c r="B22" s="921"/>
      <c r="C22" s="873" t="s">
        <v>3034</v>
      </c>
      <c r="D22" s="555"/>
      <c r="E22" s="576" t="s">
        <v>3034</v>
      </c>
      <c r="F22" s="557"/>
      <c r="G22" s="576" t="s">
        <v>3034</v>
      </c>
      <c r="H22" s="555"/>
      <c r="I22" s="576" t="s">
        <v>3034</v>
      </c>
      <c r="J22" s="555"/>
      <c r="K22" s="2580"/>
      <c r="L22" s="2141"/>
      <c r="M22" s="2133"/>
      <c r="N22" s="2133"/>
      <c r="O22" s="2140"/>
      <c r="P22" s="3426"/>
      <c r="Q22" s="2557"/>
      <c r="R22" s="1572"/>
      <c r="S22" s="1573"/>
      <c r="T22" s="1572"/>
      <c r="U22" s="1573"/>
      <c r="V22" s="1572"/>
      <c r="W22" s="1573"/>
      <c r="X22" s="2559"/>
      <c r="Y22" s="3426"/>
      <c r="Z22" s="2558"/>
      <c r="AA22" s="1575">
        <v>1</v>
      </c>
      <c r="AB22" s="1575">
        <v>1</v>
      </c>
      <c r="AC22" s="1575">
        <v>1</v>
      </c>
    </row>
    <row r="23" spans="1:29" ht="57">
      <c r="A23" s="532"/>
      <c r="B23" s="871" t="s">
        <v>296</v>
      </c>
      <c r="C23" s="899"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26"/>
      <c r="Q23" s="1571" t="str">
        <f>B23</f>
        <v>自然及人文环境</v>
      </c>
      <c r="R23" s="1572" t="s">
        <v>8</v>
      </c>
      <c r="S23" s="1573">
        <f>F23</f>
        <v>100</v>
      </c>
      <c r="T23" s="1572" t="s">
        <v>8</v>
      </c>
      <c r="U23" s="1573">
        <f>H23</f>
        <v>100</v>
      </c>
      <c r="V23" s="1572" t="s">
        <v>8</v>
      </c>
      <c r="W23" s="1573">
        <f>J23</f>
        <v>100</v>
      </c>
      <c r="X23" s="1566"/>
      <c r="Y23" s="3426"/>
      <c r="Z23" s="1574" t="str">
        <f>Q23</f>
        <v>自然及人文环境</v>
      </c>
      <c r="AA23" s="1575">
        <f t="shared" si="3"/>
        <v>1</v>
      </c>
      <c r="AB23" s="1575">
        <f t="shared" si="4"/>
        <v>1</v>
      </c>
      <c r="AC23" s="1575">
        <f t="shared" si="5"/>
        <v>1</v>
      </c>
    </row>
    <row r="24" spans="1:29" ht="15">
      <c r="A24" s="532"/>
      <c r="B24" s="595"/>
      <c r="C24" s="576" t="s">
        <v>3032</v>
      </c>
      <c r="D24" s="555"/>
      <c r="E24" s="556" t="s">
        <v>3032</v>
      </c>
      <c r="F24" s="557"/>
      <c r="G24" s="558" t="s">
        <v>3032</v>
      </c>
      <c r="H24" s="555"/>
      <c r="I24" s="556" t="s">
        <v>3032</v>
      </c>
      <c r="J24" s="555"/>
      <c r="K24" s="898"/>
      <c r="L24" s="2141"/>
      <c r="M24" s="2133"/>
      <c r="N24" s="2133"/>
      <c r="O24" s="2140"/>
      <c r="P24" s="3426"/>
      <c r="Q24" s="1571"/>
      <c r="R24" s="1572"/>
      <c r="S24" s="1573"/>
      <c r="T24" s="1572"/>
      <c r="U24" s="1573"/>
      <c r="V24" s="1572"/>
      <c r="W24" s="1573"/>
      <c r="X24" s="1566"/>
      <c r="Y24" s="3426"/>
      <c r="Z24" s="1574"/>
      <c r="AA24" s="1575">
        <v>1</v>
      </c>
      <c r="AB24" s="1575">
        <v>1</v>
      </c>
      <c r="AC24" s="1575">
        <v>1</v>
      </c>
    </row>
    <row r="25" spans="1:29" ht="15">
      <c r="A25" s="532"/>
      <c r="B25" s="527" t="s">
        <v>546</v>
      </c>
      <c r="C25" s="583" t="s">
        <v>3087</v>
      </c>
      <c r="D25" s="540">
        <v>100</v>
      </c>
      <c r="E25" s="583" t="s">
        <v>3087</v>
      </c>
      <c r="F25" s="575">
        <f>SUMIF(86:86,E25,87:87)-SUMIF(86:86,C25,87:87)+100</f>
        <v>100</v>
      </c>
      <c r="G25" s="583" t="s">
        <v>3087</v>
      </c>
      <c r="H25" s="540">
        <f>SUMIF(86:86,G25,87:87)-SUMIF(86:86,C25,87:87)+100</f>
        <v>100</v>
      </c>
      <c r="I25" s="583" t="s">
        <v>3087</v>
      </c>
      <c r="J25" s="540">
        <f>SUMIF(86:86,I25,87:87)-SUMIF(86:86,C25,87:87)+100</f>
        <v>100</v>
      </c>
      <c r="K25" s="584">
        <v>1</v>
      </c>
      <c r="L25" s="2141"/>
      <c r="M25" s="2133"/>
      <c r="N25" s="2133"/>
      <c r="O25" s="2140"/>
      <c r="P25" s="3426"/>
      <c r="Q25" s="1571" t="str">
        <f t="shared" ref="Q25:Q46" si="11">B25</f>
        <v>临街状况</v>
      </c>
      <c r="R25" s="1572" t="s">
        <v>8</v>
      </c>
      <c r="S25" s="1573">
        <f>F25</f>
        <v>100</v>
      </c>
      <c r="T25" s="1572" t="s">
        <v>8</v>
      </c>
      <c r="U25" s="1573">
        <f>H25</f>
        <v>100</v>
      </c>
      <c r="V25" s="1572" t="s">
        <v>8</v>
      </c>
      <c r="W25" s="1573">
        <f>J25</f>
        <v>100</v>
      </c>
      <c r="X25" s="1566"/>
      <c r="Y25" s="3426"/>
      <c r="Z25" s="1574" t="str">
        <f>Q25</f>
        <v>临街状况</v>
      </c>
      <c r="AA25" s="1575">
        <f t="shared" si="3"/>
        <v>1</v>
      </c>
      <c r="AB25" s="1575">
        <f t="shared" si="4"/>
        <v>1</v>
      </c>
      <c r="AC25" s="1575">
        <f t="shared" si="5"/>
        <v>1</v>
      </c>
    </row>
    <row r="26" spans="1:29" ht="15">
      <c r="A26" s="532"/>
      <c r="B26" s="877" t="s">
        <v>757</v>
      </c>
      <c r="C26" s="3205" t="s">
        <v>3089</v>
      </c>
      <c r="D26" s="540">
        <v>100</v>
      </c>
      <c r="E26" s="3205" t="s">
        <v>3089</v>
      </c>
      <c r="F26" s="575">
        <f>SUMIF(88:88,E26,89:89)-SUMIF(88:88,C26,89:89)+100</f>
        <v>100</v>
      </c>
      <c r="G26" s="3205" t="s">
        <v>3089</v>
      </c>
      <c r="H26" s="540">
        <f>SUMIF(88:88,G26,89:89)-SUMIF(88:88,C26,89:89)+100</f>
        <v>100</v>
      </c>
      <c r="I26" s="3205" t="s">
        <v>3089</v>
      </c>
      <c r="J26" s="540">
        <f>SUMIF(88:88,I26,89:89)-SUMIF(88:88,C26,89:89)+100</f>
        <v>100</v>
      </c>
      <c r="K26" s="581"/>
      <c r="L26" s="2141"/>
      <c r="M26" s="2133"/>
      <c r="N26" s="2133"/>
      <c r="O26" s="2140"/>
      <c r="P26" s="3426"/>
      <c r="Q26" s="1571" t="str">
        <f t="shared" si="11"/>
        <v>平面位置/可视性</v>
      </c>
      <c r="R26" s="1572" t="s">
        <v>8</v>
      </c>
      <c r="S26" s="1573">
        <f>F26</f>
        <v>100</v>
      </c>
      <c r="T26" s="1572" t="s">
        <v>8</v>
      </c>
      <c r="U26" s="1573">
        <f>H26</f>
        <v>100</v>
      </c>
      <c r="V26" s="1572" t="s">
        <v>8</v>
      </c>
      <c r="W26" s="1573">
        <f>J26</f>
        <v>100</v>
      </c>
      <c r="X26" s="1566"/>
      <c r="Y26" s="3426"/>
      <c r="Z26" s="1574" t="str">
        <f>Q26</f>
        <v>平面位置/可视性</v>
      </c>
      <c r="AA26" s="1575">
        <f t="shared" si="3"/>
        <v>1</v>
      </c>
      <c r="AB26" s="1575">
        <f t="shared" si="4"/>
        <v>1</v>
      </c>
      <c r="AC26" s="1575">
        <f t="shared" si="5"/>
        <v>1</v>
      </c>
    </row>
    <row r="27" spans="1:29" s="1219" customFormat="1" ht="15">
      <c r="A27" s="536"/>
      <c r="B27" s="871" t="s">
        <v>758</v>
      </c>
      <c r="C27" s="900" t="s">
        <v>3035</v>
      </c>
      <c r="D27" s="875">
        <v>100</v>
      </c>
      <c r="E27" s="900" t="s">
        <v>3035</v>
      </c>
      <c r="F27" s="876">
        <f>SUMIF(90:90,E27,91:91)-SUMIF(90:90,C27,91:91)+100</f>
        <v>100</v>
      </c>
      <c r="G27" s="900" t="s">
        <v>3035</v>
      </c>
      <c r="H27" s="875">
        <f>SUMIF(90:90,G27,91:91)-SUMIF(90:90,C27,91:91)+100</f>
        <v>100</v>
      </c>
      <c r="I27" s="900" t="s">
        <v>3035</v>
      </c>
      <c r="J27" s="875">
        <f>SUMIF(90:90,I27,91:91)-SUMIF(90:90,C27,91:91)+100</f>
        <v>100</v>
      </c>
      <c r="K27" s="584">
        <v>1</v>
      </c>
      <c r="L27" s="2134"/>
      <c r="M27" s="2135"/>
      <c r="N27" s="2135"/>
      <c r="O27" s="2136"/>
      <c r="P27" s="3426"/>
      <c r="Q27" s="1150" t="str">
        <f t="shared" si="11"/>
        <v>人流量</v>
      </c>
      <c r="R27" s="1567" t="s">
        <v>8</v>
      </c>
      <c r="S27" s="1568">
        <f>F27</f>
        <v>100</v>
      </c>
      <c r="T27" s="1567" t="s">
        <v>8</v>
      </c>
      <c r="U27" s="1568">
        <f>H27</f>
        <v>100</v>
      </c>
      <c r="V27" s="1567" t="s">
        <v>8</v>
      </c>
      <c r="W27" s="1568">
        <f>J27</f>
        <v>100</v>
      </c>
      <c r="X27" s="1569"/>
      <c r="Y27" s="3426"/>
      <c r="Z27" s="1149" t="str">
        <f>Q27</f>
        <v>人流量</v>
      </c>
      <c r="AA27" s="1575">
        <f>D27/F27</f>
        <v>1</v>
      </c>
      <c r="AB27" s="1575">
        <f>D27/H27</f>
        <v>1</v>
      </c>
      <c r="AC27" s="1575">
        <f>D27/J27</f>
        <v>1</v>
      </c>
    </row>
    <row r="28" spans="1:29" ht="15">
      <c r="A28" s="532"/>
      <c r="B28" s="527" t="s">
        <v>760</v>
      </c>
      <c r="C28" s="583" t="s">
        <v>3094</v>
      </c>
      <c r="D28" s="540">
        <v>100</v>
      </c>
      <c r="E28" s="583" t="s">
        <v>3094</v>
      </c>
      <c r="F28" s="575">
        <f>SUMIF(92:92,E28,93:93)-SUMIF(92:92,C28,93:93)+100</f>
        <v>100</v>
      </c>
      <c r="G28" s="583" t="s">
        <v>3094</v>
      </c>
      <c r="H28" s="540">
        <f>SUMIF(92:92,G28,93:93)-SUMIF(92:92,C28,93:93)+100</f>
        <v>100</v>
      </c>
      <c r="I28" s="583" t="s">
        <v>3094</v>
      </c>
      <c r="J28" s="540">
        <f>SUMIF(92:92,I28,93:93)-SUMIF(92:92,C28,93:93)+100</f>
        <v>100</v>
      </c>
      <c r="K28" s="581"/>
      <c r="L28" s="2141"/>
      <c r="M28" s="2133"/>
      <c r="N28" s="2133"/>
      <c r="O28" s="2140"/>
      <c r="P28" s="342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6"/>
      <c r="Z28" s="1574" t="str">
        <f t="shared" ref="Z28:Z46" si="15">Q28</f>
        <v>楼层</v>
      </c>
      <c r="AA28" s="1575">
        <f t="shared" si="3"/>
        <v>1</v>
      </c>
      <c r="AB28" s="1575">
        <f t="shared" si="4"/>
        <v>1</v>
      </c>
      <c r="AC28" s="1575">
        <f t="shared" si="5"/>
        <v>1</v>
      </c>
    </row>
    <row r="29" spans="1:29" ht="27.75" thickBot="1">
      <c r="A29" s="532"/>
      <c r="B29" s="3198" t="s">
        <v>3109</v>
      </c>
      <c r="C29" s="3207" t="s">
        <v>3038</v>
      </c>
      <c r="D29" s="540">
        <v>100</v>
      </c>
      <c r="E29" s="3205" t="s">
        <v>3084</v>
      </c>
      <c r="F29" s="575">
        <f>SUMIF(94:94,E29,95:95)-SUMIF(94:94,C29,95:95)+100</f>
        <v>98</v>
      </c>
      <c r="G29" s="3205" t="s">
        <v>3084</v>
      </c>
      <c r="H29" s="540">
        <f>SUMIF(94:94,G29,95:95)-SUMIF(94:94,C29,95:95)+100</f>
        <v>98</v>
      </c>
      <c r="I29" s="3205" t="s">
        <v>3085</v>
      </c>
      <c r="J29" s="540">
        <f>SUMIF(94:94,I29,95:95)-SUMIF(94:94,C29,95:95)+100</f>
        <v>98</v>
      </c>
      <c r="K29" s="581"/>
      <c r="L29" s="2141"/>
      <c r="M29" s="2133"/>
      <c r="N29" s="2133"/>
      <c r="O29" s="2140"/>
      <c r="P29" s="3426"/>
      <c r="Q29" s="1571" t="str">
        <f t="shared" si="11"/>
        <v>临路状况</v>
      </c>
      <c r="R29" s="1572" t="s">
        <v>8</v>
      </c>
      <c r="S29" s="1573">
        <f t="shared" si="12"/>
        <v>98</v>
      </c>
      <c r="T29" s="1572" t="s">
        <v>8</v>
      </c>
      <c r="U29" s="1573">
        <f t="shared" si="13"/>
        <v>98</v>
      </c>
      <c r="V29" s="1572" t="s">
        <v>8</v>
      </c>
      <c r="W29" s="1573">
        <f t="shared" si="14"/>
        <v>98</v>
      </c>
      <c r="X29" s="1566"/>
      <c r="Y29" s="3426"/>
      <c r="Z29" s="1574" t="str">
        <f t="shared" si="15"/>
        <v>临路状况</v>
      </c>
      <c r="AA29" s="1575">
        <f t="shared" si="3"/>
        <v>1.0204081632653061</v>
      </c>
      <c r="AB29" s="1575">
        <f t="shared" si="4"/>
        <v>1.0204081632653061</v>
      </c>
      <c r="AC29" s="1575">
        <f t="shared" si="5"/>
        <v>1.0204081632653061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26"/>
      <c r="Q30" s="1571">
        <f t="shared" si="11"/>
        <v>111</v>
      </c>
      <c r="R30" s="1572" t="s">
        <v>8</v>
      </c>
      <c r="S30" s="1573">
        <f t="shared" si="12"/>
        <v>100</v>
      </c>
      <c r="T30" s="1572" t="s">
        <v>8</v>
      </c>
      <c r="U30" s="1573">
        <f t="shared" si="13"/>
        <v>100</v>
      </c>
      <c r="V30" s="1572" t="s">
        <v>8</v>
      </c>
      <c r="W30" s="1573">
        <f t="shared" si="14"/>
        <v>100</v>
      </c>
      <c r="X30" s="1566"/>
      <c r="Y30" s="3426"/>
      <c r="Z30" s="1574">
        <f t="shared" si="15"/>
        <v>111</v>
      </c>
      <c r="AA30" s="1575">
        <f t="shared" si="3"/>
        <v>1</v>
      </c>
      <c r="AB30" s="1575">
        <f t="shared" si="4"/>
        <v>1</v>
      </c>
      <c r="AC30" s="1575">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26"/>
      <c r="Q31" s="1571">
        <f t="shared" si="11"/>
        <v>111</v>
      </c>
      <c r="R31" s="1572" t="s">
        <v>8</v>
      </c>
      <c r="S31" s="1573">
        <f t="shared" si="12"/>
        <v>100</v>
      </c>
      <c r="T31" s="1572" t="s">
        <v>8</v>
      </c>
      <c r="U31" s="1573">
        <f t="shared" si="13"/>
        <v>100</v>
      </c>
      <c r="V31" s="1572" t="s">
        <v>8</v>
      </c>
      <c r="W31" s="1573">
        <f t="shared" si="14"/>
        <v>100</v>
      </c>
      <c r="X31" s="1566"/>
      <c r="Y31" s="3426"/>
      <c r="Z31" s="1574">
        <f t="shared" si="15"/>
        <v>111</v>
      </c>
      <c r="AA31" s="1575">
        <f t="shared" si="3"/>
        <v>1</v>
      </c>
      <c r="AB31" s="1575">
        <f t="shared" si="4"/>
        <v>1</v>
      </c>
      <c r="AC31" s="1575">
        <f t="shared" si="5"/>
        <v>1</v>
      </c>
    </row>
    <row r="32" spans="1:29" ht="15">
      <c r="A32" s="2884" t="s">
        <v>2755</v>
      </c>
      <c r="B32" s="172" t="s">
        <v>761</v>
      </c>
      <c r="C32" s="878" t="s">
        <v>3100</v>
      </c>
      <c r="D32" s="597">
        <v>100</v>
      </c>
      <c r="E32" s="878" t="s">
        <v>3096</v>
      </c>
      <c r="F32" s="575">
        <f>SUMIF(100:100,E32,101:101)-SUMIF(100:100,C32,101:101)+100</f>
        <v>98</v>
      </c>
      <c r="G32" s="878" t="s">
        <v>3096</v>
      </c>
      <c r="H32" s="540">
        <f>SUMIF(100:100,G32,101:101)-SUMIF(100:100,C32,101:101)+100</f>
        <v>98</v>
      </c>
      <c r="I32" s="878" t="s">
        <v>3098</v>
      </c>
      <c r="J32" s="597">
        <f>SUMIF(100:100,I32,101:101)-SUMIF(100:100,C32,101:101)+100</f>
        <v>99</v>
      </c>
      <c r="K32" s="584">
        <v>1</v>
      </c>
      <c r="L32" s="2141"/>
      <c r="M32" s="2133"/>
      <c r="N32" s="2133"/>
      <c r="O32" s="2140"/>
      <c r="P32" s="3427" t="s">
        <v>549</v>
      </c>
      <c r="Q32" s="1571" t="str">
        <f t="shared" si="11"/>
        <v>商业类型</v>
      </c>
      <c r="R32" s="1572" t="s">
        <v>8</v>
      </c>
      <c r="S32" s="1573">
        <f t="shared" si="12"/>
        <v>98</v>
      </c>
      <c r="T32" s="1572" t="s">
        <v>8</v>
      </c>
      <c r="U32" s="1573">
        <f t="shared" si="13"/>
        <v>98</v>
      </c>
      <c r="V32" s="1572" t="s">
        <v>8</v>
      </c>
      <c r="W32" s="1573">
        <f t="shared" si="14"/>
        <v>99</v>
      </c>
      <c r="X32" s="1566"/>
      <c r="Y32" s="3428" t="s">
        <v>549</v>
      </c>
      <c r="Z32" s="1574" t="str">
        <f t="shared" si="15"/>
        <v>商业类型</v>
      </c>
      <c r="AA32" s="1575">
        <f t="shared" si="3"/>
        <v>1.0204081632653061</v>
      </c>
      <c r="AB32" s="1575">
        <f t="shared" si="4"/>
        <v>1.0204081632653061</v>
      </c>
      <c r="AC32" s="1575">
        <f t="shared" si="5"/>
        <v>1.0101010101010102</v>
      </c>
    </row>
    <row r="33" spans="1:29" s="1338" customFormat="1" ht="15">
      <c r="A33" s="603"/>
      <c r="B33" s="527" t="s">
        <v>725</v>
      </c>
      <c r="C33" s="879">
        <v>15426.7</v>
      </c>
      <c r="D33" s="255">
        <v>100</v>
      </c>
      <c r="E33" s="534">
        <v>700</v>
      </c>
      <c r="F33" s="863">
        <f>LOOKUP(E33,103:103,104:104)-LOOKUP(C33,103:103,104:104)+100</f>
        <v>101.5</v>
      </c>
      <c r="G33" s="533">
        <v>240</v>
      </c>
      <c r="H33" s="255">
        <f>LOOKUP(G33,103:103,104:104)-LOOKUP(C33,103:103,104:104)+100</f>
        <v>102</v>
      </c>
      <c r="I33" s="533">
        <v>474</v>
      </c>
      <c r="J33" s="255">
        <f>LOOKUP(I33,103:103,104:104)-LOOKUP(C33,103:103,104:104)+100</f>
        <v>102</v>
      </c>
      <c r="K33" s="581"/>
      <c r="L33" s="2139"/>
      <c r="M33" s="2170"/>
      <c r="N33" s="2170"/>
      <c r="O33" s="2142"/>
      <c r="P33" s="3428"/>
      <c r="Q33" s="1604" t="str">
        <f t="shared" si="11"/>
        <v>项目建筑规模</v>
      </c>
      <c r="R33" s="1576" t="s">
        <v>8</v>
      </c>
      <c r="S33" s="1577">
        <f t="shared" si="12"/>
        <v>101.5</v>
      </c>
      <c r="T33" s="1576" t="s">
        <v>8</v>
      </c>
      <c r="U33" s="1577">
        <f t="shared" si="13"/>
        <v>102</v>
      </c>
      <c r="V33" s="1576" t="s">
        <v>8</v>
      </c>
      <c r="W33" s="1577">
        <f t="shared" si="14"/>
        <v>102</v>
      </c>
      <c r="X33" s="1578"/>
      <c r="Y33" s="3428"/>
      <c r="Z33" s="1579" t="str">
        <f t="shared" si="15"/>
        <v>项目建筑规模</v>
      </c>
      <c r="AA33" s="1575">
        <f t="shared" si="3"/>
        <v>0.98522167487684731</v>
      </c>
      <c r="AB33" s="1575">
        <f t="shared" si="4"/>
        <v>0.98039215686274506</v>
      </c>
      <c r="AC33" s="1575">
        <f t="shared" si="5"/>
        <v>0.98039215686274506</v>
      </c>
    </row>
    <row r="34" spans="1:29" ht="15">
      <c r="A34" s="594"/>
      <c r="B34" s="527" t="s">
        <v>726</v>
      </c>
      <c r="C34" s="880" t="s">
        <v>3049</v>
      </c>
      <c r="D34" s="540">
        <v>100</v>
      </c>
      <c r="E34" s="881" t="s">
        <v>3049</v>
      </c>
      <c r="F34" s="575">
        <f>SUMIF(105:105,E34,106:106)-SUMIF(105:105,C34,106:106)+100</f>
        <v>100</v>
      </c>
      <c r="G34" s="880" t="s">
        <v>3049</v>
      </c>
      <c r="H34" s="540">
        <f>SUMIF(105:105,G34,106:106)-SUMIF(105:105,C34,106:106)+100</f>
        <v>100</v>
      </c>
      <c r="I34" s="880" t="s">
        <v>3049</v>
      </c>
      <c r="J34" s="540">
        <f>SUMIF(105:105,I34,106:106)-SUMIF(105:105,C34,106:106)+100</f>
        <v>100</v>
      </c>
      <c r="K34" s="584"/>
      <c r="L34" s="2141"/>
      <c r="M34" s="2133"/>
      <c r="N34" s="2133"/>
      <c r="O34" s="2140"/>
      <c r="P34" s="3428"/>
      <c r="Q34" s="1571" t="str">
        <f t="shared" si="11"/>
        <v>建筑结构</v>
      </c>
      <c r="R34" s="1572" t="s">
        <v>8</v>
      </c>
      <c r="S34" s="1573">
        <f t="shared" si="12"/>
        <v>100</v>
      </c>
      <c r="T34" s="1572" t="s">
        <v>8</v>
      </c>
      <c r="U34" s="1573">
        <f t="shared" si="13"/>
        <v>100</v>
      </c>
      <c r="V34" s="1572" t="s">
        <v>8</v>
      </c>
      <c r="W34" s="1573">
        <f t="shared" si="14"/>
        <v>100</v>
      </c>
      <c r="X34" s="1566"/>
      <c r="Y34" s="3428"/>
      <c r="Z34" s="1574" t="str">
        <f t="shared" si="15"/>
        <v>建筑结构</v>
      </c>
      <c r="AA34" s="1575">
        <f t="shared" si="3"/>
        <v>1</v>
      </c>
      <c r="AB34" s="1575">
        <f t="shared" si="4"/>
        <v>1</v>
      </c>
      <c r="AC34" s="1575">
        <f t="shared" si="5"/>
        <v>1</v>
      </c>
    </row>
    <row r="35" spans="1:29" ht="15">
      <c r="A35" s="594"/>
      <c r="B35" s="527" t="s">
        <v>762</v>
      </c>
      <c r="C35" s="599" t="s">
        <v>3051</v>
      </c>
      <c r="D35" s="540">
        <v>100</v>
      </c>
      <c r="E35" s="599" t="s">
        <v>3051</v>
      </c>
      <c r="F35" s="575">
        <f>SUMIF(107:107,E35,108:108)-SUMIF(107:107,C35,108:108)+100</f>
        <v>100</v>
      </c>
      <c r="G35" s="599" t="s">
        <v>3051</v>
      </c>
      <c r="H35" s="540">
        <f>SUMIF(107:107,G35,108:108)-SUMIF(107:107,C35,108:108)+100</f>
        <v>100</v>
      </c>
      <c r="I35" s="599" t="s">
        <v>3051</v>
      </c>
      <c r="J35" s="540">
        <f>SUMIF(107:107,I35,108:108)-SUMIF(107:107,C35,108:108)+100</f>
        <v>100</v>
      </c>
      <c r="K35" s="584"/>
      <c r="L35" s="2141"/>
      <c r="M35" s="2133"/>
      <c r="N35" s="2133"/>
      <c r="O35" s="2140"/>
      <c r="P35" s="3428"/>
      <c r="Q35" s="1571" t="str">
        <f t="shared" si="11"/>
        <v>公共部分装修</v>
      </c>
      <c r="R35" s="1572" t="s">
        <v>8</v>
      </c>
      <c r="S35" s="1573">
        <f t="shared" si="12"/>
        <v>100</v>
      </c>
      <c r="T35" s="1572" t="s">
        <v>8</v>
      </c>
      <c r="U35" s="1573">
        <f t="shared" si="13"/>
        <v>100</v>
      </c>
      <c r="V35" s="1572" t="s">
        <v>8</v>
      </c>
      <c r="W35" s="1573">
        <f t="shared" si="14"/>
        <v>100</v>
      </c>
      <c r="X35" s="1566"/>
      <c r="Y35" s="3428"/>
      <c r="Z35" s="1574" t="str">
        <f t="shared" si="15"/>
        <v>公共部分装修</v>
      </c>
      <c r="AA35" s="1575">
        <f t="shared" si="3"/>
        <v>1</v>
      </c>
      <c r="AB35" s="1575">
        <f t="shared" si="4"/>
        <v>1</v>
      </c>
      <c r="AC35" s="1575">
        <f t="shared" si="5"/>
        <v>1</v>
      </c>
    </row>
    <row r="36" spans="1:29" ht="15">
      <c r="A36" s="594"/>
      <c r="B36" s="527" t="s">
        <v>763</v>
      </c>
      <c r="C36" s="882">
        <v>0.8</v>
      </c>
      <c r="D36" s="540">
        <v>100</v>
      </c>
      <c r="E36" s="882">
        <v>0.8</v>
      </c>
      <c r="F36" s="575">
        <f>LOOKUP(E36,110:110,111:111)-LOOKUP(C36,110:110,111:111)+100</f>
        <v>100</v>
      </c>
      <c r="G36" s="882">
        <v>0.8</v>
      </c>
      <c r="H36" s="575">
        <f>LOOKUP(G36,110:110,111:111)-LOOKUP(C36,110:110,111:111)+100</f>
        <v>100</v>
      </c>
      <c r="I36" s="882">
        <v>0.9</v>
      </c>
      <c r="J36" s="540">
        <f>LOOKUP(I36,110:110,111:111)-LOOKUP(C36,110:110,111:111)+100</f>
        <v>101</v>
      </c>
      <c r="K36" s="584">
        <v>1</v>
      </c>
      <c r="L36" s="2141"/>
      <c r="M36" s="2133"/>
      <c r="N36" s="2133"/>
      <c r="O36" s="2140"/>
      <c r="P36" s="3428"/>
      <c r="Q36" s="1571" t="str">
        <f t="shared" si="11"/>
        <v>成新度</v>
      </c>
      <c r="R36" s="1572" t="s">
        <v>8</v>
      </c>
      <c r="S36" s="1573">
        <f t="shared" si="12"/>
        <v>100</v>
      </c>
      <c r="T36" s="1572" t="s">
        <v>8</v>
      </c>
      <c r="U36" s="1573">
        <f t="shared" si="13"/>
        <v>100</v>
      </c>
      <c r="V36" s="1572" t="s">
        <v>8</v>
      </c>
      <c r="W36" s="1573">
        <f t="shared" si="14"/>
        <v>101</v>
      </c>
      <c r="X36" s="1566"/>
      <c r="Y36" s="3428"/>
      <c r="Z36" s="1574" t="str">
        <f t="shared" si="15"/>
        <v>成新度</v>
      </c>
      <c r="AA36" s="1575">
        <f t="shared" si="3"/>
        <v>1</v>
      </c>
      <c r="AB36" s="1575">
        <f t="shared" si="4"/>
        <v>1</v>
      </c>
      <c r="AC36" s="1575">
        <f t="shared" si="5"/>
        <v>0.99009900990099009</v>
      </c>
    </row>
    <row r="37" spans="1:29" s="1219" customFormat="1" ht="15">
      <c r="A37" s="600"/>
      <c r="B37" s="1894" t="s">
        <v>2565</v>
      </c>
      <c r="C37" s="599" t="s">
        <v>3106</v>
      </c>
      <c r="D37" s="255">
        <v>100</v>
      </c>
      <c r="E37" s="599" t="s">
        <v>3106</v>
      </c>
      <c r="F37" s="575">
        <f>SUMIF(112:112,E37,113:113)-SUMIF(112:112,C37,113:113)+100</f>
        <v>100</v>
      </c>
      <c r="G37" s="599" t="s">
        <v>3106</v>
      </c>
      <c r="H37" s="540">
        <f>SUMIF(112:112,G37,113:113)-SUMIF(112:112,C37,113:113)+100</f>
        <v>100</v>
      </c>
      <c r="I37" s="599" t="s">
        <v>3106</v>
      </c>
      <c r="J37" s="540">
        <f>SUMIF(112:112,I37,113:113)-SUMIF(112:112,C37,113:113)+100</f>
        <v>100</v>
      </c>
      <c r="K37" s="584"/>
      <c r="L37" s="2134"/>
      <c r="M37" s="2135"/>
      <c r="N37" s="2135"/>
      <c r="O37" s="2136"/>
      <c r="P37" s="3428"/>
      <c r="Q37" s="1150" t="str">
        <f t="shared" si="11"/>
        <v>市政基础设施</v>
      </c>
      <c r="R37" s="1567" t="s">
        <v>8</v>
      </c>
      <c r="S37" s="1568">
        <f t="shared" si="12"/>
        <v>100</v>
      </c>
      <c r="T37" s="1567" t="s">
        <v>8</v>
      </c>
      <c r="U37" s="1568">
        <f t="shared" si="13"/>
        <v>100</v>
      </c>
      <c r="V37" s="1567" t="s">
        <v>8</v>
      </c>
      <c r="W37" s="1568">
        <f t="shared" si="14"/>
        <v>100</v>
      </c>
      <c r="X37" s="1569"/>
      <c r="Y37" s="3428"/>
      <c r="Z37" s="1149" t="str">
        <f t="shared" si="15"/>
        <v>市政基础设施</v>
      </c>
      <c r="AA37" s="1570">
        <f t="shared" si="3"/>
        <v>1</v>
      </c>
      <c r="AB37" s="1570">
        <f t="shared" si="4"/>
        <v>1</v>
      </c>
      <c r="AC37" s="1570">
        <f t="shared" si="5"/>
        <v>1</v>
      </c>
    </row>
    <row r="38" spans="1:29" ht="15" hidden="1">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8" t="s">
        <v>765</v>
      </c>
      <c r="Q38" s="1571" t="str">
        <f t="shared" si="11"/>
        <v>业态</v>
      </c>
      <c r="R38" s="1572" t="s">
        <v>8</v>
      </c>
      <c r="S38" s="1573">
        <f t="shared" si="12"/>
        <v>100</v>
      </c>
      <c r="T38" s="1572" t="s">
        <v>8</v>
      </c>
      <c r="U38" s="1573">
        <f t="shared" si="13"/>
        <v>100</v>
      </c>
      <c r="V38" s="1572" t="s">
        <v>8</v>
      </c>
      <c r="W38" s="1573">
        <f t="shared" si="14"/>
        <v>100</v>
      </c>
      <c r="X38" s="1566"/>
      <c r="Y38" s="3428" t="s">
        <v>765</v>
      </c>
      <c r="Z38" s="1574" t="str">
        <f t="shared" si="15"/>
        <v>业态</v>
      </c>
      <c r="AA38" s="1575">
        <f t="shared" si="3"/>
        <v>1</v>
      </c>
      <c r="AB38" s="1575">
        <f t="shared" si="4"/>
        <v>1</v>
      </c>
      <c r="AC38" s="1575">
        <f t="shared" si="5"/>
        <v>1</v>
      </c>
    </row>
    <row r="39" spans="1:29" ht="15" hidden="1">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8"/>
      <c r="Q39" s="1571" t="str">
        <f t="shared" si="11"/>
        <v>层高</v>
      </c>
      <c r="R39" s="1572" t="s">
        <v>8</v>
      </c>
      <c r="S39" s="1573">
        <f t="shared" si="12"/>
        <v>100</v>
      </c>
      <c r="T39" s="1572" t="s">
        <v>8</v>
      </c>
      <c r="U39" s="1573">
        <f t="shared" si="13"/>
        <v>100</v>
      </c>
      <c r="V39" s="1572" t="s">
        <v>8</v>
      </c>
      <c r="W39" s="1573">
        <f t="shared" si="14"/>
        <v>100</v>
      </c>
      <c r="X39" s="1566"/>
      <c r="Y39" s="3428"/>
      <c r="Z39" s="1574" t="str">
        <f t="shared" si="15"/>
        <v>层高</v>
      </c>
      <c r="AA39" s="1575">
        <f t="shared" si="3"/>
        <v>1</v>
      </c>
      <c r="AB39" s="1575">
        <f t="shared" si="4"/>
        <v>1</v>
      </c>
      <c r="AC39" s="1575">
        <f t="shared" si="5"/>
        <v>1</v>
      </c>
    </row>
    <row r="40" spans="1:29" ht="15" hidden="1">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28"/>
      <c r="Q40" s="1571" t="str">
        <f t="shared" si="11"/>
        <v>单套建筑面积</v>
      </c>
      <c r="R40" s="1572" t="s">
        <v>8</v>
      </c>
      <c r="S40" s="1573">
        <f t="shared" si="12"/>
        <v>100</v>
      </c>
      <c r="T40" s="1572" t="s">
        <v>8</v>
      </c>
      <c r="U40" s="1573">
        <f t="shared" si="13"/>
        <v>100</v>
      </c>
      <c r="V40" s="1572" t="s">
        <v>8</v>
      </c>
      <c r="W40" s="1573">
        <f t="shared" si="14"/>
        <v>100</v>
      </c>
      <c r="X40" s="1566"/>
      <c r="Y40" s="3428"/>
      <c r="Z40" s="1574" t="str">
        <f t="shared" si="15"/>
        <v>单套建筑面积</v>
      </c>
      <c r="AA40" s="1575">
        <f t="shared" si="3"/>
        <v>1</v>
      </c>
      <c r="AB40" s="1575">
        <f t="shared" si="4"/>
        <v>1</v>
      </c>
      <c r="AC40" s="1575">
        <f t="shared" si="5"/>
        <v>1</v>
      </c>
    </row>
    <row r="41" spans="1:29" s="1338" customFormat="1" ht="15" hidden="1">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8"/>
      <c r="Q41" s="1604" t="str">
        <f t="shared" si="11"/>
        <v>进深比</v>
      </c>
      <c r="R41" s="1576" t="s">
        <v>8</v>
      </c>
      <c r="S41" s="1577">
        <f t="shared" si="12"/>
        <v>100</v>
      </c>
      <c r="T41" s="1576" t="s">
        <v>8</v>
      </c>
      <c r="U41" s="1577">
        <f t="shared" si="13"/>
        <v>100</v>
      </c>
      <c r="V41" s="1576" t="s">
        <v>8</v>
      </c>
      <c r="W41" s="1577">
        <f t="shared" si="14"/>
        <v>100</v>
      </c>
      <c r="X41" s="1578"/>
      <c r="Y41" s="3428"/>
      <c r="Z41" s="1579" t="str">
        <f t="shared" si="15"/>
        <v>进深比</v>
      </c>
      <c r="AA41" s="1575">
        <f t="shared" si="3"/>
        <v>1</v>
      </c>
      <c r="AB41" s="1575">
        <f t="shared" si="4"/>
        <v>1</v>
      </c>
      <c r="AC41" s="1575">
        <f t="shared" si="5"/>
        <v>1</v>
      </c>
    </row>
    <row r="42" spans="1:29" ht="15">
      <c r="A42" s="594"/>
      <c r="B42" s="527" t="s">
        <v>769</v>
      </c>
      <c r="C42" s="599" t="s">
        <v>3051</v>
      </c>
      <c r="D42" s="540">
        <v>100</v>
      </c>
      <c r="E42" s="599" t="s">
        <v>3051</v>
      </c>
      <c r="F42" s="575">
        <f>SUMIF(122:122,E42,123:123)-SUMIF(122:122,C42,123:123)+100</f>
        <v>100</v>
      </c>
      <c r="G42" s="599" t="s">
        <v>3051</v>
      </c>
      <c r="H42" s="540">
        <f>SUMIF(122:122,G42,123:123)-SUMIF(122:122,C42,123:123)+100</f>
        <v>100</v>
      </c>
      <c r="I42" s="599" t="s">
        <v>3051</v>
      </c>
      <c r="J42" s="540">
        <f>SUMIF(122:122,I42,123:123)-SUMIF(122:122,C42,123:123)+100</f>
        <v>100</v>
      </c>
      <c r="K42" s="584"/>
      <c r="L42" s="2141"/>
      <c r="M42" s="2133"/>
      <c r="N42" s="2133"/>
      <c r="O42" s="2140"/>
      <c r="P42" s="3428"/>
      <c r="Q42" s="1571" t="str">
        <f t="shared" si="11"/>
        <v>内部装修</v>
      </c>
      <c r="R42" s="1572" t="s">
        <v>8</v>
      </c>
      <c r="S42" s="1573">
        <f t="shared" si="12"/>
        <v>100</v>
      </c>
      <c r="T42" s="1572" t="s">
        <v>8</v>
      </c>
      <c r="U42" s="1573">
        <f t="shared" si="13"/>
        <v>100</v>
      </c>
      <c r="V42" s="1572" t="s">
        <v>8</v>
      </c>
      <c r="W42" s="1573">
        <f t="shared" si="14"/>
        <v>100</v>
      </c>
      <c r="X42" s="1566"/>
      <c r="Y42" s="3428"/>
      <c r="Z42" s="1574" t="str">
        <f t="shared" si="15"/>
        <v>内部装修</v>
      </c>
      <c r="AA42" s="1575">
        <f t="shared" si="3"/>
        <v>1</v>
      </c>
      <c r="AB42" s="1575">
        <f t="shared" si="4"/>
        <v>1</v>
      </c>
      <c r="AC42" s="1575">
        <f t="shared" si="5"/>
        <v>1</v>
      </c>
    </row>
    <row r="43" spans="1:29" ht="27.75" thickBot="1">
      <c r="A43" s="594"/>
      <c r="B43" s="527" t="s">
        <v>734</v>
      </c>
      <c r="C43" s="599" t="s">
        <v>3032</v>
      </c>
      <c r="D43" s="540">
        <v>100</v>
      </c>
      <c r="E43" s="599" t="s">
        <v>3032</v>
      </c>
      <c r="F43" s="575">
        <f>SUMIF(124:124,E43,125:125)-SUMIF(124:124,C43,125:125)+100</f>
        <v>100</v>
      </c>
      <c r="G43" s="599" t="s">
        <v>3032</v>
      </c>
      <c r="H43" s="540">
        <f>SUMIF(124:124,G43,125:125)-SUMIF(124:124,C43,125:125)+100</f>
        <v>100</v>
      </c>
      <c r="I43" s="599" t="s">
        <v>3032</v>
      </c>
      <c r="J43" s="540">
        <f>SUMIF(124:124,I43,125:125)-SUMIF(124:124,C43,125:125)+100</f>
        <v>100</v>
      </c>
      <c r="K43" s="584"/>
      <c r="L43" s="2141"/>
      <c r="M43" s="2133"/>
      <c r="N43" s="2133"/>
      <c r="O43" s="2140"/>
      <c r="P43" s="3428"/>
      <c r="Q43" s="1571" t="str">
        <f t="shared" si="11"/>
        <v>内部装修维护情况</v>
      </c>
      <c r="R43" s="1572" t="s">
        <v>8</v>
      </c>
      <c r="S43" s="1573">
        <f t="shared" si="12"/>
        <v>100</v>
      </c>
      <c r="T43" s="1572" t="s">
        <v>8</v>
      </c>
      <c r="U43" s="1573">
        <f t="shared" si="13"/>
        <v>100</v>
      </c>
      <c r="V43" s="1572" t="s">
        <v>8</v>
      </c>
      <c r="W43" s="1573">
        <f t="shared" si="14"/>
        <v>100</v>
      </c>
      <c r="X43" s="1566"/>
      <c r="Y43" s="3428"/>
      <c r="Z43" s="1574" t="str">
        <f t="shared" si="15"/>
        <v>内部装修维护情况</v>
      </c>
      <c r="AA43" s="1575">
        <f t="shared" si="3"/>
        <v>1</v>
      </c>
      <c r="AB43" s="1575">
        <f t="shared" si="4"/>
        <v>1</v>
      </c>
      <c r="AC43" s="1575">
        <f t="shared" si="5"/>
        <v>1</v>
      </c>
    </row>
    <row r="44" spans="1:29" s="1219" customFormat="1" ht="15.75" hidden="1" customHeight="1">
      <c r="A44" s="600"/>
      <c r="B44" s="3198">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8"/>
      <c r="Q44" s="1150">
        <f t="shared" si="11"/>
        <v>111</v>
      </c>
      <c r="R44" s="1567" t="s">
        <v>8</v>
      </c>
      <c r="S44" s="1568">
        <f t="shared" si="12"/>
        <v>100</v>
      </c>
      <c r="T44" s="1567" t="s">
        <v>8</v>
      </c>
      <c r="U44" s="1568">
        <f t="shared" si="13"/>
        <v>100</v>
      </c>
      <c r="V44" s="1567" t="s">
        <v>8</v>
      </c>
      <c r="W44" s="1568">
        <f t="shared" si="14"/>
        <v>100</v>
      </c>
      <c r="X44" s="1569"/>
      <c r="Y44" s="3428"/>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8"/>
      <c r="Q45" s="1571">
        <f t="shared" si="11"/>
        <v>111</v>
      </c>
      <c r="R45" s="1572" t="s">
        <v>8</v>
      </c>
      <c r="S45" s="1573">
        <f t="shared" si="12"/>
        <v>100</v>
      </c>
      <c r="T45" s="1572" t="s">
        <v>8</v>
      </c>
      <c r="U45" s="1573">
        <f t="shared" si="13"/>
        <v>100</v>
      </c>
      <c r="V45" s="1572" t="s">
        <v>8</v>
      </c>
      <c r="W45" s="1573">
        <f t="shared" si="14"/>
        <v>100</v>
      </c>
      <c r="X45" s="1566"/>
      <c r="Y45" s="3428"/>
      <c r="Z45" s="1574">
        <f t="shared" si="15"/>
        <v>111</v>
      </c>
      <c r="AA45" s="1575">
        <f t="shared" si="3"/>
        <v>1</v>
      </c>
      <c r="AB45" s="1575">
        <f t="shared" si="4"/>
        <v>1</v>
      </c>
      <c r="AC45" s="1575">
        <f t="shared" si="5"/>
        <v>1</v>
      </c>
    </row>
    <row r="46" spans="1:29" ht="15.75" hidden="1"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11"/>
      <c r="Q46" s="1571">
        <f t="shared" si="11"/>
        <v>111</v>
      </c>
      <c r="R46" s="1572" t="s">
        <v>8</v>
      </c>
      <c r="S46" s="1573">
        <f t="shared" si="12"/>
        <v>100</v>
      </c>
      <c r="T46" s="1572" t="s">
        <v>8</v>
      </c>
      <c r="U46" s="1573">
        <f t="shared" si="13"/>
        <v>100</v>
      </c>
      <c r="V46" s="1572" t="s">
        <v>8</v>
      </c>
      <c r="W46" s="1573">
        <f t="shared" si="14"/>
        <v>100</v>
      </c>
      <c r="X46" s="1566"/>
      <c r="Y46" s="3511"/>
      <c r="Z46" s="1574">
        <f t="shared" si="15"/>
        <v>111</v>
      </c>
      <c r="AA46" s="1575">
        <f t="shared" si="3"/>
        <v>1</v>
      </c>
      <c r="AB46" s="1575">
        <f t="shared" si="4"/>
        <v>1</v>
      </c>
      <c r="AC46" s="1575">
        <f t="shared" si="5"/>
        <v>1</v>
      </c>
    </row>
    <row r="47" spans="1:29" ht="15">
      <c r="A47" s="607" t="s">
        <v>735</v>
      </c>
      <c r="B47" s="886"/>
      <c r="C47" s="2605" t="s">
        <v>1</v>
      </c>
      <c r="D47" s="2606"/>
      <c r="E47" s="2607">
        <v>30000</v>
      </c>
      <c r="F47" s="2608"/>
      <c r="G47" s="2609">
        <v>31250</v>
      </c>
      <c r="H47" s="2610"/>
      <c r="I47" s="2607">
        <v>29958</v>
      </c>
      <c r="J47" s="2610"/>
      <c r="K47" s="1610"/>
      <c r="L47" s="2143"/>
      <c r="M47" s="2144"/>
      <c r="N47" s="2133"/>
      <c r="O47" s="2144"/>
      <c r="P47" s="3423" t="str">
        <f>A47</f>
        <v>成交单价（元/平方米）</v>
      </c>
      <c r="Q47" s="3423"/>
      <c r="R47" s="3510">
        <f>E47</f>
        <v>30000</v>
      </c>
      <c r="S47" s="3510"/>
      <c r="T47" s="3510">
        <f>G47</f>
        <v>31250</v>
      </c>
      <c r="U47" s="3510"/>
      <c r="V47" s="3510">
        <f>I47</f>
        <v>29958</v>
      </c>
      <c r="W47" s="3510"/>
      <c r="X47" s="1558"/>
      <c r="Y47" s="1580"/>
      <c r="Z47" s="1558"/>
      <c r="AA47" s="1558"/>
      <c r="AB47" s="1558"/>
      <c r="AC47" s="1558"/>
    </row>
    <row r="48" spans="1:29" ht="15.75" thickBot="1">
      <c r="A48" s="615" t="s">
        <v>2760</v>
      </c>
      <c r="B48" s="887"/>
      <c r="C48" s="2611">
        <f>R49</f>
        <v>31145</v>
      </c>
      <c r="D48" s="2612"/>
      <c r="E48" s="2613">
        <f>R48</f>
        <v>31086</v>
      </c>
      <c r="F48" s="2613"/>
      <c r="G48" s="2611">
        <f>T48</f>
        <v>32223</v>
      </c>
      <c r="H48" s="2612"/>
      <c r="I48" s="2613">
        <f>V48</f>
        <v>30125</v>
      </c>
      <c r="J48" s="2612"/>
      <c r="K48" s="1611"/>
      <c r="L48" s="2143"/>
      <c r="M48" s="2144"/>
      <c r="N48" s="2133"/>
      <c r="O48" s="2144"/>
      <c r="P48" s="3423" t="str">
        <f>A48</f>
        <v>比较价格（元/平方米）</v>
      </c>
      <c r="Q48" s="3423"/>
      <c r="R48" s="3510">
        <f>IF(F1="售价",ROUND(PRODUCT(R47,AA7:AA46),0),ROUND(PRODUCT(R47,AA7:AA46),1))</f>
        <v>31086</v>
      </c>
      <c r="S48" s="3510"/>
      <c r="T48" s="3510">
        <f>IF(F1="售价",ROUND(PRODUCT(T47,AB7:AB46),0),ROUND(PRODUCT(T47,AB7:AB46),1))</f>
        <v>32223</v>
      </c>
      <c r="U48" s="3510"/>
      <c r="V48" s="3510">
        <f>IF(F1="售价",ROUND(PRODUCT(V47,AC7:AC46),0),ROUND(PRODUCT(V47,AC7:AC46),1))</f>
        <v>30125</v>
      </c>
      <c r="W48" s="3510"/>
      <c r="X48" s="1558"/>
      <c r="Y48" s="1558"/>
      <c r="Z48" s="1558"/>
      <c r="AA48" s="1558"/>
      <c r="AB48" s="1558"/>
      <c r="AC48" s="1558"/>
    </row>
    <row r="49" spans="1:29" ht="15.75" thickBot="1">
      <c r="A49" s="621" t="s">
        <v>2931</v>
      </c>
      <c r="B49" s="622"/>
      <c r="C49" s="2614">
        <f>R49</f>
        <v>31145</v>
      </c>
      <c r="D49" s="2614"/>
      <c r="E49" s="2614"/>
      <c r="F49" s="2614"/>
      <c r="G49" s="2614"/>
      <c r="H49" s="2614"/>
      <c r="I49" s="2614"/>
      <c r="J49" s="2614"/>
      <c r="K49" s="1612"/>
      <c r="L49" s="2143"/>
      <c r="M49" s="2144"/>
      <c r="N49" s="2133"/>
      <c r="O49" s="2144"/>
      <c r="P49" s="3444" t="str">
        <f>A49</f>
        <v>估价对象XX用房的比较价格（楼面单价，元/平方米）</v>
      </c>
      <c r="Q49" s="3445"/>
      <c r="R49" s="3509">
        <f>IF(F1="售价",ROUND(AVERAGE(R48:V48),0),ROUND(AVERAGE(R48:V48),1))</f>
        <v>31145</v>
      </c>
      <c r="S49" s="3509"/>
      <c r="T49" s="3509"/>
      <c r="U49" s="3509"/>
      <c r="V49" s="3509"/>
      <c r="W49" s="3509"/>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f>IF(E47&lt;E48,E48/E47-1,E47/E48-1)</f>
        <v>3.620000000000001E-2</v>
      </c>
      <c r="F52" s="627" t="str">
        <f>IF(OR(E52&gt;=0.3,E52&lt;=-0.3),"超过30%","")</f>
        <v/>
      </c>
      <c r="G52" s="626">
        <f>IF(G47&lt;G48,G48/G47-1,G47/G48-1)</f>
        <v>3.1136000000000053E-2</v>
      </c>
      <c r="H52" s="627" t="str">
        <f>IF(OR(G52&gt;=0.3,G52&lt;=-0.3),"超过30%","")</f>
        <v/>
      </c>
      <c r="I52" s="626">
        <f>IF(I47&lt;I48,I48/I47-1,I47/I48-1)</f>
        <v>5.574470925963082E-3</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f>IF(E48&lt;G48,G48/E48-1,E48/G48-1)</f>
        <v>3.6575950588689343E-2</v>
      </c>
      <c r="F53" s="627" t="str">
        <f>IF(OR(E53&gt;=0.2,E53&lt;=-0.2),"超过20%","")</f>
        <v/>
      </c>
      <c r="G53" s="626">
        <f>IF(G48&lt;I48,I48/G48-1,G48/I48-1)</f>
        <v>6.9643153526971036E-2</v>
      </c>
      <c r="H53" s="627" t="str">
        <f>IF(OR(G53&gt;=0.2,G53&lt;=-0.2),"超过20%","")</f>
        <v/>
      </c>
      <c r="I53" s="626">
        <f>IF(I48&lt;E48,E48/I48-1,I48/E48-1)</f>
        <v>3.1900414937759303E-2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558</v>
      </c>
      <c r="D54" s="628"/>
      <c r="E54" s="626">
        <f>IF(E47&lt;G47,G47/E47-1,E47/G47-1)</f>
        <v>4.1666666666666741E-2</v>
      </c>
      <c r="F54" s="627" t="str">
        <f>IF(OR(E54&gt;=0.3,E54&lt;=-0.3),"超过30%","")</f>
        <v/>
      </c>
      <c r="G54" s="626">
        <f>IF(G47&lt;I47,I47/G47-1,G47/I47-1)</f>
        <v>4.3127044529007286E-2</v>
      </c>
      <c r="H54" s="627" t="str">
        <f>IF(OR(G54&gt;=0.3,G54&lt;=-0.3),"超过30%","")</f>
        <v/>
      </c>
      <c r="I54" s="626">
        <f>IF(I47&lt;E47,E47/I47-1,I47/E47-1)</f>
        <v>1.4019627478469854E-3</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573</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528</v>
      </c>
      <c r="B58" s="646"/>
      <c r="C58" s="2779"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576</v>
      </c>
      <c r="B63" s="665" t="s">
        <v>533</v>
      </c>
      <c r="C63" s="704" t="str">
        <f>C9</f>
        <v>商业</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99.5</v>
      </c>
      <c r="H66" s="679">
        <f>G66-$K10</f>
        <v>99</v>
      </c>
      <c r="I66" s="679">
        <f>H66-$K10</f>
        <v>98.5</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1（含）-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1</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99</v>
      </c>
      <c r="E79" s="679">
        <f>D79-$K17</f>
        <v>98</v>
      </c>
      <c r="F79" s="679">
        <f>E79-$K17</f>
        <v>97</v>
      </c>
      <c r="G79" s="679">
        <f>F79-$K17</f>
        <v>96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770</v>
      </c>
      <c r="C86" s="3196" t="s">
        <v>3088</v>
      </c>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99</v>
      </c>
      <c r="E87" s="679">
        <f t="shared" si="19"/>
        <v>98</v>
      </c>
      <c r="F87" s="679">
        <f t="shared" si="19"/>
        <v>97</v>
      </c>
      <c r="G87" s="679">
        <f t="shared" si="19"/>
        <v>96</v>
      </c>
      <c r="H87" s="679">
        <f t="shared" si="19"/>
        <v>95</v>
      </c>
      <c r="I87" s="679">
        <f t="shared" si="19"/>
        <v>94</v>
      </c>
      <c r="J87" s="679">
        <f t="shared" si="19"/>
        <v>93</v>
      </c>
      <c r="K87" s="679">
        <f t="shared" si="19"/>
        <v>92</v>
      </c>
      <c r="L87" s="679">
        <f t="shared" si="19"/>
        <v>91</v>
      </c>
      <c r="M87" s="679">
        <f t="shared" si="19"/>
        <v>90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3196" t="s">
        <v>3090</v>
      </c>
      <c r="D90" s="3196" t="s">
        <v>3091</v>
      </c>
      <c r="E90" s="3196" t="s">
        <v>3089</v>
      </c>
      <c r="F90" s="3196" t="s">
        <v>3092</v>
      </c>
      <c r="G90" s="3196" t="s">
        <v>3093</v>
      </c>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99</v>
      </c>
      <c r="E91" s="679">
        <f t="shared" ref="E91:M91" si="20">D91-$K27</f>
        <v>98</v>
      </c>
      <c r="F91" s="679">
        <f t="shared" si="20"/>
        <v>97</v>
      </c>
      <c r="G91" s="679">
        <f t="shared" si="20"/>
        <v>96</v>
      </c>
      <c r="H91" s="679">
        <f t="shared" si="20"/>
        <v>95</v>
      </c>
      <c r="I91" s="679">
        <f t="shared" si="20"/>
        <v>94</v>
      </c>
      <c r="J91" s="679">
        <f t="shared" si="20"/>
        <v>93</v>
      </c>
      <c r="K91" s="679">
        <f t="shared" si="20"/>
        <v>92</v>
      </c>
      <c r="L91" s="679">
        <f t="shared" si="20"/>
        <v>91</v>
      </c>
      <c r="M91" s="679">
        <f t="shared" si="20"/>
        <v>90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3196" t="s">
        <v>3095</v>
      </c>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29.25" thickTop="1">
      <c r="A94" s="669"/>
      <c r="B94" s="673" t="str">
        <f>B29</f>
        <v>临路状况</v>
      </c>
      <c r="C94" s="688" t="s">
        <v>3038</v>
      </c>
      <c r="D94" s="3205" t="s">
        <v>3084</v>
      </c>
      <c r="E94" s="3205" t="s">
        <v>3085</v>
      </c>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v>100</v>
      </c>
      <c r="D95" s="671">
        <v>98</v>
      </c>
      <c r="E95" s="671">
        <v>98</v>
      </c>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771</v>
      </c>
      <c r="C100" s="3199" t="s">
        <v>3101</v>
      </c>
      <c r="D100" s="3199" t="s">
        <v>3099</v>
      </c>
      <c r="E100" s="3199" t="s">
        <v>3097</v>
      </c>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99</v>
      </c>
      <c r="E101" s="679">
        <f t="shared" si="21"/>
        <v>98</v>
      </c>
      <c r="F101" s="679">
        <f t="shared" si="21"/>
        <v>97</v>
      </c>
      <c r="G101" s="679">
        <f t="shared" si="21"/>
        <v>96</v>
      </c>
      <c r="H101" s="679">
        <f t="shared" si="21"/>
        <v>95</v>
      </c>
      <c r="I101" s="679">
        <f t="shared" si="21"/>
        <v>94</v>
      </c>
      <c r="J101" s="679">
        <f t="shared" si="21"/>
        <v>93</v>
      </c>
      <c r="K101" s="679">
        <f t="shared" si="21"/>
        <v>92</v>
      </c>
      <c r="L101" s="679">
        <f t="shared" si="21"/>
        <v>91</v>
      </c>
      <c r="M101" s="680">
        <f t="shared" si="21"/>
        <v>90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747</v>
      </c>
      <c r="C102" s="708" t="str">
        <f>C103&amp;"(含)"&amp;"-"&amp;D103</f>
        <v>1(含)-500</v>
      </c>
      <c r="D102" s="708" t="str">
        <f t="shared" ref="D102:L102" si="22">D103&amp;"(含)"&amp;"-"&amp;E103</f>
        <v>500(含)-2000</v>
      </c>
      <c r="E102" s="708" t="str">
        <f t="shared" si="22"/>
        <v>2000(含)-5000</v>
      </c>
      <c r="F102" s="708" t="str">
        <f t="shared" si="22"/>
        <v>5000(含)-10000</v>
      </c>
      <c r="G102" s="708" t="str">
        <f t="shared" si="22"/>
        <v>10000(含)-20000</v>
      </c>
      <c r="H102" s="708" t="str">
        <f t="shared" si="22"/>
        <v>20000(含)-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1</v>
      </c>
      <c r="D103" s="730">
        <v>500</v>
      </c>
      <c r="E103" s="730">
        <v>2000</v>
      </c>
      <c r="F103" s="730">
        <v>5000</v>
      </c>
      <c r="G103" s="730">
        <v>10000</v>
      </c>
      <c r="H103" s="730">
        <v>20000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99.5</v>
      </c>
      <c r="E104" s="671">
        <v>99</v>
      </c>
      <c r="F104" s="671">
        <v>98.5</v>
      </c>
      <c r="G104" s="671">
        <v>98</v>
      </c>
      <c r="H104" s="671">
        <v>97.5</v>
      </c>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3196" t="s">
        <v>3102</v>
      </c>
      <c r="D105" s="3196"/>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6" t="s">
        <v>3103</v>
      </c>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2556</v>
      </c>
      <c r="C112" s="3196" t="s">
        <v>3104</v>
      </c>
      <c r="D112" s="3196" t="s">
        <v>3105</v>
      </c>
      <c r="E112" s="3196" t="s">
        <v>3107</v>
      </c>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772</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773</v>
      </c>
      <c r="C116" s="3196" t="s">
        <v>3108</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774</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775</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3196" t="s">
        <v>3103</v>
      </c>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5" priority="17" stopIfTrue="1" operator="containsText" text="超过">
      <formula>NOT(ISERROR(SEARCH("超过",F52)))</formula>
    </cfRule>
  </conditionalFormatting>
  <conditionalFormatting sqref="H54">
    <cfRule type="containsText" dxfId="84" priority="15" stopIfTrue="1" operator="containsText" text="超过">
      <formula>NOT(ISERROR(SEARCH("超过",H54)))</formula>
    </cfRule>
  </conditionalFormatting>
  <conditionalFormatting sqref="F54">
    <cfRule type="containsText" dxfId="83" priority="14" stopIfTrue="1" operator="containsText" text="超过">
      <formula>NOT(ISERROR(SEARCH("超过",F54)))</formula>
    </cfRule>
  </conditionalFormatting>
  <conditionalFormatting sqref="F53 H53">
    <cfRule type="containsText" dxfId="82" priority="13" stopIfTrue="1" operator="containsText" text="超过">
      <formula>NOT(ISERROR(SEARCH("超过",F53)))</formula>
    </cfRule>
  </conditionalFormatting>
  <conditionalFormatting sqref="E52">
    <cfRule type="expression" dxfId="81" priority="12" stopIfTrue="1">
      <formula>$F$52="超过30%"</formula>
    </cfRule>
  </conditionalFormatting>
  <conditionalFormatting sqref="E53">
    <cfRule type="expression" dxfId="80" priority="11" stopIfTrue="1">
      <formula>$F$53="超过20%"</formula>
    </cfRule>
  </conditionalFormatting>
  <conditionalFormatting sqref="E54">
    <cfRule type="expression" dxfId="79" priority="10" stopIfTrue="1">
      <formula>$F$54="超过30%"</formula>
    </cfRule>
  </conditionalFormatting>
  <conditionalFormatting sqref="G54">
    <cfRule type="expression" dxfId="78" priority="9" stopIfTrue="1">
      <formula>$H$54="超过30%"</formula>
    </cfRule>
  </conditionalFormatting>
  <conditionalFormatting sqref="G52">
    <cfRule type="expression" dxfId="77" priority="8" stopIfTrue="1">
      <formula>$H$52="超过30%"</formula>
    </cfRule>
  </conditionalFormatting>
  <conditionalFormatting sqref="G53">
    <cfRule type="expression" dxfId="76" priority="7" stopIfTrue="1">
      <formula>$H$53="超过20%"</formula>
    </cfRule>
  </conditionalFormatting>
  <conditionalFormatting sqref="J52">
    <cfRule type="containsText" dxfId="75" priority="6" stopIfTrue="1" operator="containsText" text="超过">
      <formula>NOT(ISERROR(SEARCH("超过",J52)))</formula>
    </cfRule>
  </conditionalFormatting>
  <conditionalFormatting sqref="J54">
    <cfRule type="containsText" dxfId="74" priority="5" stopIfTrue="1" operator="containsText" text="超过">
      <formula>NOT(ISERROR(SEARCH("超过",J54)))</formula>
    </cfRule>
  </conditionalFormatting>
  <conditionalFormatting sqref="J53">
    <cfRule type="containsText" dxfId="73" priority="4" stopIfTrue="1" operator="containsText" text="超过">
      <formula>NOT(ISERROR(SEARCH("超过",J53)))</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N118"/>
  <sheetViews>
    <sheetView tabSelected="1" topLeftCell="A13" zoomScaleNormal="100" workbookViewId="0">
      <selection activeCell="D39" sqref="D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28880.9</v>
      </c>
      <c r="E1" s="1405" t="s">
        <v>2427</v>
      </c>
      <c r="F1" s="2430"/>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3" t="s">
        <v>2761</v>
      </c>
      <c r="S1" s="2913" t="s">
        <v>2762</v>
      </c>
      <c r="T1" s="2913" t="s">
        <v>2783</v>
      </c>
      <c r="U1" s="2913" t="s">
        <v>2784</v>
      </c>
      <c r="V1" s="2913" t="s">
        <v>2785</v>
      </c>
      <c r="W1" s="2188"/>
      <c r="X1" s="2188"/>
      <c r="Y1" s="2188"/>
      <c r="Z1" s="2188"/>
      <c r="AA1" s="2188"/>
      <c r="AB1" s="2188"/>
      <c r="AC1" s="2189"/>
    </row>
    <row r="2" spans="1:39" ht="15.75">
      <c r="A2" s="1405" t="s">
        <v>919</v>
      </c>
      <c r="B2" s="1037">
        <f ca="1">C26</f>
        <v>24452</v>
      </c>
      <c r="C2" s="1406" t="s">
        <v>920</v>
      </c>
      <c r="D2" s="1407" t="s">
        <v>921</v>
      </c>
      <c r="E2" s="1408" t="s">
        <v>922</v>
      </c>
      <c r="F2" s="1407" t="s">
        <v>923</v>
      </c>
      <c r="G2" s="1651" t="str">
        <f>IF(E2="商业",项目基本情况!B43,IF(E2="办公",项目基本情况!C43,IF(E2="住宅",项目基本情况!D43,项目基本情况!E43)))</f>
        <v>六级</v>
      </c>
      <c r="H2" s="1407" t="s">
        <v>925</v>
      </c>
      <c r="I2" s="1652" t="str">
        <f>IF(E2="商业",项目基本情况!B44,IF(E2="办公",项目基本情况!C44,IF(E2="住宅",项目基本情况!D44,项目基本情况!E44)))</f>
        <v>Ⅵ-18</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1.8629</v>
      </c>
      <c r="T2" s="2914">
        <f ca="1">ROUND($C$5*$C$18*$C$19*$C$20*S2*$C$24,0)</f>
        <v>35068</v>
      </c>
      <c r="U2" s="2903"/>
      <c r="V2" s="2914">
        <f ca="1">ROUND(T2*U2/10000,0)</f>
        <v>0</v>
      </c>
      <c r="W2" s="2188"/>
      <c r="X2" s="2188"/>
      <c r="Y2" s="2188"/>
      <c r="Z2" s="2188"/>
      <c r="AA2" s="2188"/>
      <c r="AB2" s="2188"/>
      <c r="AC2" s="2189"/>
    </row>
    <row r="3" spans="1:39" ht="24">
      <c r="A3" s="1410" t="s">
        <v>1687</v>
      </c>
      <c r="B3" s="1037">
        <f ca="1">ROUND(B2*10000/D1,0)</f>
        <v>8466</v>
      </c>
      <c r="C3" s="1406" t="s">
        <v>926</v>
      </c>
      <c r="D3" s="1407" t="s">
        <v>927</v>
      </c>
      <c r="E3" s="1411" t="s">
        <v>3026</v>
      </c>
      <c r="F3" s="1412" t="s">
        <v>3069</v>
      </c>
      <c r="G3" s="1038">
        <f>IF(F3="宗地容积率",'数据-汇总表'!I4,IF(F3="估价对象容积率",'数据-汇总表'!I6,'数据-汇总表'!I7))</f>
        <v>1.44</v>
      </c>
      <c r="H3" s="1413" t="s">
        <v>928</v>
      </c>
      <c r="I3" s="1039">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1.3371999999999999</v>
      </c>
      <c r="T3" s="2914">
        <f t="shared" ref="T3:T16" ca="1" si="0">ROUND($C$5*$C$18*$C$19*$C$20*S3*$C$24,0)</f>
        <v>25172</v>
      </c>
      <c r="U3" s="2903"/>
      <c r="V3" s="2914">
        <f t="shared" ref="V3:V16" ca="1" si="1">ROUND(T3*U3/10000,0)</f>
        <v>0</v>
      </c>
      <c r="W3" s="2188"/>
      <c r="X3" s="2188"/>
      <c r="Y3" s="2188"/>
      <c r="Z3" s="2188"/>
      <c r="AA3" s="2188"/>
      <c r="AB3" s="2188"/>
      <c r="AC3" s="2189"/>
    </row>
    <row r="4" spans="1:39" ht="28.5">
      <c r="A4" s="1890" t="s">
        <v>2280</v>
      </c>
      <c r="B4" s="2431"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1.0788</v>
      </c>
      <c r="T4" s="2914">
        <f t="shared" ca="1" si="0"/>
        <v>20308</v>
      </c>
      <c r="U4" s="2903"/>
      <c r="V4" s="2914">
        <f t="shared" ca="1" si="1"/>
        <v>0</v>
      </c>
      <c r="W4" s="2188"/>
      <c r="X4" s="2188"/>
      <c r="Y4" s="2188"/>
      <c r="Z4" s="2188"/>
      <c r="AA4" s="2188"/>
      <c r="AB4" s="2188"/>
      <c r="AC4" s="2189"/>
    </row>
    <row r="5" spans="1:39" s="1420" customFormat="1" ht="15.75" thickBot="1">
      <c r="A5" s="1637" t="s">
        <v>1823</v>
      </c>
      <c r="B5" s="1414" t="s">
        <v>930</v>
      </c>
      <c r="C5" s="1040">
        <f>ROUND(IF(E2="商业",IF(F16="增加",C6*C7+C16,C6*C7-C16),IF(E2="住宅",IF(F16="增加",C6*C12+C16,C6*C12-C16),IF(F16="增加",C6+C16,C6-C16))),0)</f>
        <v>11385</v>
      </c>
      <c r="D5" s="3094">
        <f>ROUND(IF(F16="增加",C6+C16,C6-C16),0)</f>
        <v>10350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0.86560000000000004</v>
      </c>
      <c r="T5" s="2914">
        <f t="shared" ca="1" si="0"/>
        <v>16294</v>
      </c>
      <c r="U5" s="2903"/>
      <c r="V5" s="2914">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1">
        <f>SUMIF(L1:L12,'基准地价-住宅'!G2,M1:M12)</f>
        <v>10350</v>
      </c>
      <c r="D6" s="1422" t="s">
        <v>1695</v>
      </c>
      <c r="E6" s="1423"/>
      <c r="F6" s="1423"/>
      <c r="G6" s="1424"/>
      <c r="H6" s="1424"/>
      <c r="I6" s="1424"/>
      <c r="J6" s="1425"/>
      <c r="K6" s="1594"/>
      <c r="L6" s="1884" t="s">
        <v>2243</v>
      </c>
      <c r="M6" s="1885">
        <f>SUMPRODUCT((区片价!B110:B157=I2)*(区片价!C3:F3=E2)*(区片价!C110:F157))</f>
        <v>10350</v>
      </c>
      <c r="N6" s="1886">
        <f>SUMPRODUCT((因素修正幅度!B110:B157=I2)*(因素修正幅度!C3:F3=E2)*(因素修正幅度!C110:F157))</f>
        <v>0.121</v>
      </c>
      <c r="O6" s="2188"/>
      <c r="P6" s="2188"/>
      <c r="Q6" s="2188"/>
      <c r="R6" s="2914">
        <v>5</v>
      </c>
      <c r="S6" s="2914">
        <f>ROUND(IF(G3&gt;1,IF(R6&lt;7,SUMPRODUCT((B93:B98=R6)*(C92:N92=G2)*(C93:N98)),SUMIF(C92:N92,G2,C100:N100)),IF(R6&lt;7,SUMPRODUCT((B102:B107=R6)*(C92:N92=G2)*(C102:N107)),SUMIF(C92:N92,G2,C109:N109))),4)</f>
        <v>0.73709999999999998</v>
      </c>
      <c r="T6" s="2914">
        <f t="shared" ca="1" si="0"/>
        <v>13875</v>
      </c>
      <c r="U6" s="2903"/>
      <c r="V6" s="2914">
        <f t="shared" ca="1" si="1"/>
        <v>0</v>
      </c>
      <c r="W6" s="2188"/>
      <c r="X6" s="2188"/>
      <c r="Y6" s="2188"/>
      <c r="Z6" s="2188"/>
      <c r="AA6" s="2188"/>
      <c r="AB6" s="2188"/>
      <c r="AC6" s="2190"/>
      <c r="AD6" s="1418"/>
      <c r="AE6" s="1418"/>
      <c r="AF6" s="1418"/>
      <c r="AG6" s="1418"/>
      <c r="AH6" s="1418"/>
      <c r="AI6" s="1418"/>
      <c r="AJ6" s="1419"/>
    </row>
    <row r="7" spans="1:39" ht="24">
      <c r="A7" s="3513" t="str">
        <f>IF(E2="商业",IF(C8="不临58条商业街","",2),"")</f>
        <v/>
      </c>
      <c r="B7" s="1426" t="s">
        <v>931</v>
      </c>
      <c r="C7" s="1042">
        <f>IF(C8="不临58条商业街",1,ROUND(1+(1.6*E8+1.2*E9+0.8*E10+0.4*E11)*C9,4))</f>
        <v>1</v>
      </c>
      <c r="D7" s="1427" t="s">
        <v>932</v>
      </c>
      <c r="E7" s="1043">
        <v>60</v>
      </c>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0.6482</v>
      </c>
      <c r="T7" s="2914">
        <f t="shared" ca="1" si="0"/>
        <v>12202</v>
      </c>
      <c r="U7" s="2903"/>
      <c r="V7" s="2914">
        <f t="shared" ca="1" si="1"/>
        <v>0</v>
      </c>
      <c r="W7" s="2912" t="s">
        <v>2764</v>
      </c>
      <c r="X7" s="2904" t="str">
        <f>G2</f>
        <v>六级</v>
      </c>
      <c r="Y7" s="2904" t="s">
        <v>2765</v>
      </c>
      <c r="Z7" s="2905">
        <f>G3</f>
        <v>1.44</v>
      </c>
      <c r="AA7" s="2191"/>
      <c r="AB7" s="2191"/>
      <c r="AC7" s="2192"/>
      <c r="AD7" s="2906"/>
      <c r="AE7" s="2906"/>
      <c r="AF7" s="2906"/>
      <c r="AG7" s="2906"/>
      <c r="AH7" s="2906"/>
      <c r="AI7" s="2906"/>
      <c r="AJ7" s="2907"/>
    </row>
    <row r="8" spans="1:39" ht="15">
      <c r="A8" s="3514"/>
      <c r="B8" s="1413" t="s">
        <v>933</v>
      </c>
      <c r="C8" s="1528"/>
      <c r="D8" s="1044" t="s">
        <v>934</v>
      </c>
      <c r="E8" s="1045">
        <f>ROUND(C11/E7,4)</f>
        <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4">
        <v>7</v>
      </c>
      <c r="S8" s="2903"/>
      <c r="T8" s="2914">
        <f t="shared" ca="1" si="0"/>
        <v>0</v>
      </c>
      <c r="U8" s="2903"/>
      <c r="V8" s="2914">
        <f t="shared" ca="1" si="1"/>
        <v>0</v>
      </c>
      <c r="W8" s="3521" t="s">
        <v>2782</v>
      </c>
      <c r="X8" s="3522"/>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514"/>
      <c r="B9" s="1413" t="s">
        <v>936</v>
      </c>
      <c r="C9" s="1046">
        <f>SUMIF(修正!C59:C119,C8,修正!E59:E119)</f>
        <v>0</v>
      </c>
      <c r="D9" s="1047" t="s">
        <v>937</v>
      </c>
      <c r="E9" s="1047">
        <f>ROUND(C11/E7,4)</f>
        <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4">
        <v>8</v>
      </c>
      <c r="S9" s="2903"/>
      <c r="T9" s="2914">
        <f t="shared" ca="1" si="0"/>
        <v>0</v>
      </c>
      <c r="U9" s="2903"/>
      <c r="V9" s="2914">
        <f t="shared" ca="1" si="1"/>
        <v>0</v>
      </c>
      <c r="W9" s="3520" t="s">
        <v>2778</v>
      </c>
      <c r="X9" s="2908" t="s">
        <v>2779</v>
      </c>
      <c r="Y9" s="3072"/>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514"/>
      <c r="B10" s="1413" t="s">
        <v>939</v>
      </c>
      <c r="C10" s="1047">
        <f>SUMIF(修正!C59:C119,C8,修正!F59:F119)</f>
        <v>0</v>
      </c>
      <c r="D10" s="1047" t="s">
        <v>940</v>
      </c>
      <c r="E10" s="1047">
        <f>ROUND(C11/E7,4)</f>
        <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f t="shared" ca="1" si="0"/>
        <v>0</v>
      </c>
      <c r="U10" s="2903"/>
      <c r="V10" s="2914">
        <f t="shared" ca="1" si="1"/>
        <v>0</v>
      </c>
      <c r="W10" s="3520"/>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514"/>
      <c r="B11" s="1434" t="s">
        <v>942</v>
      </c>
      <c r="C11" s="1048">
        <f>C10/4</f>
        <v>0</v>
      </c>
      <c r="D11" s="1048" t="s">
        <v>943</v>
      </c>
      <c r="E11" s="1048">
        <f>ROUND(C11/E7,4)</f>
        <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f t="shared" ca="1" si="0"/>
        <v>0</v>
      </c>
      <c r="U11" s="2903"/>
      <c r="V11" s="2914">
        <f t="shared" ca="1" si="1"/>
        <v>0</v>
      </c>
      <c r="W11" s="3520" t="s">
        <v>2780</v>
      </c>
      <c r="X11" s="1047" t="s">
        <v>2765</v>
      </c>
      <c r="Y11" s="1652">
        <f>$G$3</f>
        <v>1.44</v>
      </c>
      <c r="Z11" s="1652">
        <f t="shared" ref="Z11:AJ11" si="3">$G$3</f>
        <v>1.44</v>
      </c>
      <c r="AA11" s="1652">
        <f t="shared" si="3"/>
        <v>1.44</v>
      </c>
      <c r="AB11" s="1652">
        <f t="shared" si="3"/>
        <v>1.44</v>
      </c>
      <c r="AC11" s="1652">
        <f t="shared" si="3"/>
        <v>1.44</v>
      </c>
      <c r="AD11" s="1652">
        <f t="shared" si="3"/>
        <v>1.44</v>
      </c>
      <c r="AE11" s="1652">
        <f t="shared" si="3"/>
        <v>1.44</v>
      </c>
      <c r="AF11" s="1652">
        <f t="shared" si="3"/>
        <v>1.44</v>
      </c>
      <c r="AG11" s="1652">
        <f t="shared" si="3"/>
        <v>1.44</v>
      </c>
      <c r="AH11" s="1652">
        <f t="shared" si="3"/>
        <v>1.44</v>
      </c>
      <c r="AI11" s="1652">
        <f t="shared" si="3"/>
        <v>1.44</v>
      </c>
      <c r="AJ11" s="1652">
        <f t="shared" si="3"/>
        <v>1.44</v>
      </c>
    </row>
    <row r="12" spans="1:39" ht="25.5" thickBot="1">
      <c r="A12" s="3513" t="s">
        <v>1871</v>
      </c>
      <c r="B12" s="1438" t="s">
        <v>945</v>
      </c>
      <c r="C12" s="1042">
        <f>ROUND(C15*D15*E15*F15*G15*H15*I15*J15,4)</f>
        <v>1.1000000000000001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f t="shared" ca="1" si="0"/>
        <v>0</v>
      </c>
      <c r="U12" s="2903"/>
      <c r="V12" s="2914">
        <f t="shared" ca="1" si="1"/>
        <v>0</v>
      </c>
      <c r="W12" s="3520"/>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515"/>
      <c r="B13" s="1443" t="s">
        <v>1696</v>
      </c>
      <c r="C13" s="1444" t="s">
        <v>1697</v>
      </c>
      <c r="D13" s="1088" t="s">
        <v>1698</v>
      </c>
      <c r="E13" s="1088" t="s">
        <v>1699</v>
      </c>
      <c r="F13" s="1445" t="s">
        <v>947</v>
      </c>
      <c r="G13" s="1446" t="s">
        <v>1642</v>
      </c>
      <c r="H13" s="1447" t="s">
        <v>1642</v>
      </c>
      <c r="I13" s="1448" t="s">
        <v>1642</v>
      </c>
      <c r="J13" s="1449" t="s">
        <v>1642</v>
      </c>
      <c r="K13" s="1400"/>
      <c r="L13" s="2188"/>
      <c r="M13" s="2188"/>
      <c r="N13" s="2188"/>
      <c r="O13" s="2188"/>
      <c r="P13" s="2188"/>
      <c r="Q13" s="2188"/>
      <c r="R13" s="2914">
        <v>12</v>
      </c>
      <c r="S13" s="2903"/>
      <c r="T13" s="2914">
        <f t="shared" ca="1" si="0"/>
        <v>0</v>
      </c>
      <c r="U13" s="2903"/>
      <c r="V13" s="2914">
        <f t="shared" ca="1" si="1"/>
        <v>0</v>
      </c>
      <c r="W13" s="3520"/>
      <c r="X13" s="2911"/>
      <c r="Y13" s="2910">
        <f>(-0.163*(Y12^2)-0.59*Y12+7617)*(10^(-4))/Y11</f>
        <v>0.52895833333333342</v>
      </c>
      <c r="Z13" s="2910">
        <f t="shared" ref="Z13:AJ13" si="5">(-0.163*(Z12^2)-0.59*Z12+7617)*(10^(-4))/Z11</f>
        <v>0.52895833333333342</v>
      </c>
      <c r="AA13" s="2910">
        <f t="shared" si="5"/>
        <v>0.52895833333333342</v>
      </c>
      <c r="AB13" s="2910">
        <f t="shared" si="5"/>
        <v>0.52895833333333342</v>
      </c>
      <c r="AC13" s="2910">
        <f t="shared" si="5"/>
        <v>0.52895833333333342</v>
      </c>
      <c r="AD13" s="2910">
        <f t="shared" si="5"/>
        <v>0.52895833333333342</v>
      </c>
      <c r="AE13" s="2910">
        <f t="shared" si="5"/>
        <v>0.52895833333333342</v>
      </c>
      <c r="AF13" s="2910">
        <f t="shared" si="5"/>
        <v>0.52895833333333342</v>
      </c>
      <c r="AG13" s="2910">
        <f t="shared" si="5"/>
        <v>0.52895833333333342</v>
      </c>
      <c r="AH13" s="2910">
        <f t="shared" si="5"/>
        <v>0.52895833333333342</v>
      </c>
      <c r="AI13" s="2910">
        <f t="shared" si="5"/>
        <v>0.52895833333333342</v>
      </c>
      <c r="AJ13" s="2910">
        <f t="shared" si="5"/>
        <v>0.52895833333333342</v>
      </c>
    </row>
    <row r="14" spans="1:39" ht="12.75" customHeight="1" thickBot="1">
      <c r="A14" s="3515"/>
      <c r="B14" s="1450"/>
      <c r="C14" s="1451" t="s">
        <v>3064</v>
      </c>
      <c r="D14" s="1452" t="s">
        <v>3063</v>
      </c>
      <c r="E14" s="1452" t="s">
        <v>3064</v>
      </c>
      <c r="F14" s="1453" t="s">
        <v>3065</v>
      </c>
      <c r="G14" s="1454" t="s">
        <v>948</v>
      </c>
      <c r="H14" s="1455"/>
      <c r="I14" s="1456"/>
      <c r="J14" s="1457"/>
      <c r="K14" s="1400"/>
      <c r="L14" s="2188"/>
      <c r="M14" s="2188"/>
      <c r="N14" s="2188"/>
      <c r="O14" s="2188"/>
      <c r="P14" s="2188"/>
      <c r="Q14" s="2188"/>
      <c r="R14" s="2914">
        <v>13</v>
      </c>
      <c r="S14" s="2903"/>
      <c r="T14" s="2914">
        <f t="shared" ca="1" si="0"/>
        <v>0</v>
      </c>
      <c r="U14" s="2903"/>
      <c r="V14" s="2914">
        <f t="shared" ca="1" si="1"/>
        <v>0</v>
      </c>
      <c r="W14" s="2188"/>
      <c r="X14" s="2188"/>
      <c r="Y14" s="2188"/>
      <c r="Z14" s="2188"/>
      <c r="AA14" s="2188"/>
      <c r="AB14" s="2188"/>
      <c r="AC14" s="2189"/>
    </row>
    <row r="15" spans="1:39" ht="13.5" customHeight="1" thickBot="1">
      <c r="A15" s="3516"/>
      <c r="B15" s="1458" t="s">
        <v>1700</v>
      </c>
      <c r="C15" s="1050">
        <f>IF(C14="有",1.1,1)</f>
        <v>1</v>
      </c>
      <c r="D15" s="1050">
        <f>IF(D14="有",1.1,1)</f>
        <v>1.1000000000000001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8"/>
      <c r="R15" s="2914">
        <v>14</v>
      </c>
      <c r="S15" s="2903"/>
      <c r="T15" s="2914">
        <f t="shared" ca="1" si="0"/>
        <v>0</v>
      </c>
      <c r="U15" s="2903"/>
      <c r="V15" s="2914">
        <f t="shared" ca="1" si="1"/>
        <v>0</v>
      </c>
      <c r="W15" s="2188"/>
      <c r="X15" s="2188"/>
      <c r="Y15" s="2188"/>
      <c r="Z15" s="2188"/>
      <c r="AA15" s="2188"/>
      <c r="AB15" s="2188"/>
      <c r="AC15" s="2189"/>
    </row>
    <row r="16" spans="1:39" ht="24">
      <c r="A16" s="3513" t="s">
        <v>1838</v>
      </c>
      <c r="B16" s="1426" t="s">
        <v>949</v>
      </c>
      <c r="C16" s="1053">
        <f>ROUND(SUM(G17:J17)/C17,0)</f>
        <v>0</v>
      </c>
      <c r="D16" s="1459" t="s">
        <v>950</v>
      </c>
      <c r="E16" s="1460" t="s">
        <v>3066</v>
      </c>
      <c r="F16" s="1461" t="s">
        <v>2991</v>
      </c>
      <c r="G16" s="1462"/>
      <c r="H16" s="1462"/>
      <c r="I16" s="1462"/>
      <c r="J16" s="1462"/>
      <c r="K16" s="1400"/>
      <c r="L16" s="1463" t="s">
        <v>987</v>
      </c>
      <c r="M16" s="1046">
        <v>0.25</v>
      </c>
      <c r="N16" s="1046">
        <v>0.2</v>
      </c>
      <c r="O16" s="1046">
        <v>0.15</v>
      </c>
      <c r="P16" s="1538">
        <v>0.1</v>
      </c>
      <c r="Q16" s="2191"/>
      <c r="R16" s="2914">
        <v>15</v>
      </c>
      <c r="S16" s="2903"/>
      <c r="T16" s="2914">
        <f t="shared" ca="1" si="0"/>
        <v>0</v>
      </c>
      <c r="U16" s="2903"/>
      <c r="V16" s="2914">
        <f t="shared" ca="1" si="1"/>
        <v>0</v>
      </c>
      <c r="W16" s="2191"/>
      <c r="X16" s="2191"/>
      <c r="Y16" s="2191"/>
      <c r="Z16" s="2191"/>
      <c r="AA16" s="2191"/>
      <c r="AB16" s="2191"/>
      <c r="AC16" s="2192"/>
    </row>
    <row r="17" spans="1:40" ht="13.5" thickBot="1">
      <c r="A17" s="3514"/>
      <c r="B17" s="1464" t="s">
        <v>952</v>
      </c>
      <c r="C17" s="1054">
        <f>SUMPRODUCT((修正!A2:A5=E2)*(修正!B1:M1=G2)*(修正!B2:M5))</f>
        <v>2.5</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1829</v>
      </c>
      <c r="B18" s="2749" t="s">
        <v>955</v>
      </c>
      <c r="C18" s="2750">
        <f>SUMIF(修正!C18:C39,E3,修正!E18:E39)</f>
        <v>1</v>
      </c>
      <c r="D18" s="2751"/>
      <c r="E18" s="2752"/>
      <c r="F18" s="2753"/>
      <c r="G18" s="2747"/>
      <c r="H18" s="2747"/>
      <c r="I18" s="2747"/>
      <c r="J18" s="2754"/>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1835</v>
      </c>
      <c r="B19" s="1469" t="s">
        <v>956</v>
      </c>
      <c r="C19" s="1056">
        <f>ROUND(IF(H19="按公示增长率计算",SUMPRODUCT((地价!A3:A25=YEAR(G19)&amp;"-"&amp;ROUNDUP(MONTH(G19)/3,0))*(地价!X2:AB2=E2)*(地价!X3:AB25)),IF(H19="地价指数",M20/M19,(1+I19)^O19)),4)</f>
        <v>1.6196999999999999</v>
      </c>
      <c r="D19" s="1473" t="s">
        <v>957</v>
      </c>
      <c r="E19" s="1057">
        <v>41640</v>
      </c>
      <c r="F19" s="1473" t="s">
        <v>958</v>
      </c>
      <c r="G19" s="1058">
        <f>'数据-取费表'!B2</f>
        <v>43528</v>
      </c>
      <c r="H19" s="1474" t="s">
        <v>3067</v>
      </c>
      <c r="I19" s="2761" t="str">
        <f>IF(H19="季度增幅（自定义）",SUMIF(N21:N24,E2,O21:O24),"")</f>
        <v/>
      </c>
      <c r="J19" s="1470"/>
      <c r="K19" s="1480"/>
      <c r="L19" s="3014" t="s">
        <v>2840</v>
      </c>
      <c r="M19" s="3015">
        <f>ROUND(SUMIF(地价!B2:F2,E2,地价!B25:F25),0)</f>
        <v>423</v>
      </c>
      <c r="N19" s="2763" t="s">
        <v>1676</v>
      </c>
      <c r="O19" s="2762">
        <f>ROUNDDOWN(DATEDIF(E19,G19,"M")/3,0)</f>
        <v>20</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5" t="s">
        <v>1836</v>
      </c>
      <c r="B20" s="2756" t="s">
        <v>971</v>
      </c>
      <c r="C20" s="2757">
        <f ca="1">ROUND(POWER(1+G20,J20-I20)*(POWER(1+G20,I20)-1)/(POWER(1+G20,J20)-1),4)</f>
        <v>0.96350000000000002</v>
      </c>
      <c r="D20" s="2758" t="s">
        <v>972</v>
      </c>
      <c r="E20" s="3069">
        <f ca="1">存贷款利率!I4/100</f>
        <v>4.3499999999999997E-2</v>
      </c>
      <c r="F20" s="2758" t="s">
        <v>973</v>
      </c>
      <c r="G20" s="2759">
        <f ca="1">SUMIF(M15:P15,E2,M17:P17)</f>
        <v>0.05</v>
      </c>
      <c r="H20" s="2758" t="s">
        <v>974</v>
      </c>
      <c r="I20" s="2748">
        <f>SUMIF('数据-取费表'!C6:C15,E2,'数据-取费表'!F6:F15)/COUNTIF('数据-取费表'!C6:C15,E2)</f>
        <v>55.04</v>
      </c>
      <c r="J20" s="2760">
        <f>IF(E2="住宅",70,IF(E2="商业",40,50))</f>
        <v>70</v>
      </c>
      <c r="K20" s="1480"/>
      <c r="L20" s="3016" t="s">
        <v>2841</v>
      </c>
      <c r="M20" s="3017">
        <f>ROUND(SUMPRODUCT((地价!A4:A25=YEAR(G19)&amp;"-"&amp;ROUNDUP(MONTH(G19)/3,0))*(地价!B2:F2=E2)*(地价!B4:F25)),0)</f>
        <v>663</v>
      </c>
      <c r="N20" s="2766" t="s">
        <v>2645</v>
      </c>
      <c r="O20" s="2764" t="s">
        <v>2644</v>
      </c>
      <c r="P20" s="2765" t="s">
        <v>2650</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25">
      <c r="A21" s="1641" t="s">
        <v>1837</v>
      </c>
      <c r="B21" s="1479" t="s">
        <v>3068</v>
      </c>
      <c r="C21" s="1157">
        <f>IF(B21="容积率修正",IF(G3&lt;=10,D22,J22),C23)</f>
        <v>1.1486000000000001</v>
      </c>
      <c r="D21" s="1480"/>
      <c r="E21" s="1480"/>
      <c r="F21" s="1480"/>
      <c r="G21" s="1480"/>
      <c r="H21" s="1480"/>
      <c r="I21" s="1480"/>
      <c r="J21" s="1481"/>
      <c r="K21" s="1480"/>
      <c r="L21" s="1480"/>
      <c r="M21" s="1480"/>
      <c r="N21" s="1477" t="s">
        <v>975</v>
      </c>
      <c r="O21" s="1541"/>
      <c r="P21" s="2746">
        <f>SUMPRODUCT((地价!A3:A25=YEAR(G19)&amp;"-"&amp;ROUNDUP(MONTH(G19)/3,0))*(地价!AD2:AH2=N21)*(地价!AD3:AH25))</f>
        <v>1.5100000000000001E-2</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9" t="s">
        <v>1702</v>
      </c>
      <c r="D22" s="1059">
        <f>IF(E22=G22,F22,IF(G3&lt;=10,ROUND(F22+(H22-F22)*(G3-E22)/(G22-E22),4),"——"))</f>
        <v>1.1486000000000001</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1.1557999999999999</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1.1377999999999999</v>
      </c>
      <c r="I22" s="1059" t="s">
        <v>977</v>
      </c>
      <c r="J22" s="1059" t="str">
        <f>IF(G3&gt;10,D113,"——")</f>
        <v>——</v>
      </c>
      <c r="K22" s="1480"/>
      <c r="L22" s="1480"/>
      <c r="M22" s="1480"/>
      <c r="N22" s="1477" t="s">
        <v>978</v>
      </c>
      <c r="O22" s="1541"/>
      <c r="P22" s="2746">
        <f>SUMPRODUCT((地价!A3:A25=YEAR(G19)&amp;"-"&amp;ROUNDUP(MONTH(G19)/3,0))*(地价!AD2:AH2=N22)*(地价!AD3:AH25))</f>
        <v>1.5100000000000001E-2</v>
      </c>
      <c r="R22" s="2902"/>
      <c r="S22" s="2902"/>
      <c r="T22" s="2902"/>
      <c r="U22" s="2902"/>
      <c r="V22" s="2902"/>
      <c r="W22" s="2194"/>
      <c r="X22" s="2194"/>
      <c r="Y22" s="2194"/>
      <c r="Z22" s="2194"/>
      <c r="AA22" s="2194"/>
      <c r="AB22" s="2194"/>
      <c r="AC22" s="2194"/>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0.64629999999999999</v>
      </c>
      <c r="D23" s="1529"/>
      <c r="E23" s="1529"/>
      <c r="F23" s="1530"/>
      <c r="G23" s="1531"/>
      <c r="H23" s="1532"/>
      <c r="I23" s="1533"/>
      <c r="J23" s="1533"/>
      <c r="K23" s="1400"/>
      <c r="L23" s="1400"/>
      <c r="M23" s="1400"/>
      <c r="N23" s="1477" t="s">
        <v>922</v>
      </c>
      <c r="O23" s="1541"/>
      <c r="P23" s="2746">
        <f>SUMPRODUCT((地价!A3:A25=YEAR(G19)&amp;"-"&amp;ROUNDUP(MONTH(G19)/3,0))*(地价!AD2:AH2=N23)*(地价!AD3:AH25))</f>
        <v>2.3400000000000001E-2</v>
      </c>
      <c r="R23" s="2902"/>
      <c r="S23" s="2902"/>
      <c r="T23" s="2902"/>
      <c r="U23" s="2902"/>
      <c r="V23" s="2902"/>
      <c r="W23" s="2194"/>
      <c r="X23" s="2194"/>
      <c r="Y23" s="2194"/>
      <c r="Z23" s="2194"/>
      <c r="AA23" s="2194"/>
      <c r="AB23" s="2194"/>
      <c r="AC23" s="2194"/>
      <c r="AN23" s="1403"/>
    </row>
    <row r="24" spans="1:40" s="1420" customFormat="1" ht="15.75" thickBot="1">
      <c r="A24" s="1640" t="s">
        <v>1872</v>
      </c>
      <c r="B24" s="1414" t="s">
        <v>980</v>
      </c>
      <c r="C24" s="1061">
        <f>SUMIF(A44:A87,E2,B44:B87)</f>
        <v>1.0594999999999999</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4" t="s">
        <v>2648</v>
      </c>
      <c r="O25" s="2194"/>
      <c r="P25" s="1540">
        <f>SUMPRODUCT((地价!A3:A25=YEAR(G19)&amp;"-"&amp;ROUNDUP(MONTH(G19)/3,0))*(地价!AD2:AH2=N25)*(地价!AD3:AH25))</f>
        <v>2.1299999999999999E-2</v>
      </c>
      <c r="R25" s="2902"/>
      <c r="S25" s="2902"/>
      <c r="T25" s="2902"/>
      <c r="U25" s="2902"/>
      <c r="V25" s="2902"/>
      <c r="W25" s="2194"/>
      <c r="X25" s="2194"/>
      <c r="Y25" s="2194"/>
      <c r="Z25" s="2194"/>
      <c r="AA25" s="2194"/>
      <c r="AB25" s="2194"/>
      <c r="AC25" s="2194"/>
    </row>
    <row r="26" spans="1:40" ht="14.25">
      <c r="A26" s="1488"/>
      <c r="B26" s="1482" t="s">
        <v>986</v>
      </c>
      <c r="C26" s="1062">
        <f ca="1">E29+SUM(E33:E39)</f>
        <v>24452</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988</v>
      </c>
      <c r="C27" s="1063">
        <f ca="1">E30+SUM(I33:I39)</f>
        <v>6114</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993</v>
      </c>
      <c r="C29" s="1062">
        <f ca="1">ROUND(C5*C18*C19*C20*C21*C24,0)</f>
        <v>21622</v>
      </c>
      <c r="D29" s="1503">
        <f>'数据-基础表'!I13</f>
        <v>10000</v>
      </c>
      <c r="E29" s="1848">
        <f ca="1">ROUND(C29*D29/10000,0)</f>
        <v>21622</v>
      </c>
      <c r="F29" s="1504" t="s">
        <v>1701</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75" thickBot="1">
      <c r="A30" s="1507"/>
      <c r="B30" s="1508" t="s">
        <v>994</v>
      </c>
      <c r="C30" s="1050">
        <f ca="1">ROUND(IF(E2="工业",C29*M39,C29*M38),0)</f>
        <v>5406</v>
      </c>
      <c r="D30" s="1509">
        <v>10000</v>
      </c>
      <c r="E30" s="1848">
        <f ca="1">ROUND(C30*D30/10000,0)</f>
        <v>5406</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517" t="s">
        <v>2957</v>
      </c>
      <c r="B33" s="1523" t="s">
        <v>999</v>
      </c>
      <c r="C33" s="1062">
        <f ca="1">ROUND(D5*C19*C20*C24*F33,0)</f>
        <v>11979</v>
      </c>
      <c r="D33" s="1536"/>
      <c r="E33" s="1047">
        <f ca="1">ROUND(C33*D33/10000,0)</f>
        <v>0</v>
      </c>
      <c r="F33" s="1047">
        <f>SUMIF(修正!A45:A56,G2,修正!B45:B56)</f>
        <v>0.7</v>
      </c>
      <c r="G33" s="1047">
        <f t="shared" ref="G33" ca="1" si="6">ROUND(IF(E2="工业",C33*$M$39,C33*$M$38),0)</f>
        <v>2995</v>
      </c>
      <c r="H33" s="1047">
        <f>D33</f>
        <v>0</v>
      </c>
      <c r="I33" s="1047">
        <f ca="1">ROUND(G33*H33/10000,0)</f>
        <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518"/>
      <c r="B34" s="1444" t="s">
        <v>1000</v>
      </c>
      <c r="C34" s="1062">
        <f ca="1">ROUND(D5*C19*C20*C24*F34,0)</f>
        <v>6845</v>
      </c>
      <c r="D34" s="1536"/>
      <c r="E34" s="1047">
        <f t="shared" ref="E34:E39" ca="1" si="7">ROUND(C34*D34/10000,0)</f>
        <v>0</v>
      </c>
      <c r="F34" s="1047">
        <f>SUMIF(修正!A45:A56,G2,修正!C45:C56)</f>
        <v>0.4</v>
      </c>
      <c r="G34" s="1047">
        <f ca="1">ROUND(IF(E2="工业",C34*$M$39,C34*$M$38),0)</f>
        <v>1711</v>
      </c>
      <c r="H34" s="1047">
        <f t="shared" ref="H34:H39" si="8">D34</f>
        <v>0</v>
      </c>
      <c r="I34" s="1047">
        <f t="shared" ref="I34:I39" ca="1" si="9">ROUND(G34*H34/10000,0)</f>
        <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518"/>
      <c r="B35" s="1444" t="s">
        <v>1001</v>
      </c>
      <c r="C35" s="1062">
        <f ca="1">ROUND(D5*C19*C20*C24*F35,0)</f>
        <v>4792</v>
      </c>
      <c r="D35" s="1536"/>
      <c r="E35" s="1047">
        <f t="shared" ca="1" si="7"/>
        <v>0</v>
      </c>
      <c r="F35" s="1047">
        <f>SUMIF(修正!A45:A56,G2,修正!D45:D56)</f>
        <v>0.28000000000000003</v>
      </c>
      <c r="G35" s="1047">
        <f ca="1">ROUND(IF(E2="工业",C35*$M$39,C35*$M$38),0)</f>
        <v>1198</v>
      </c>
      <c r="H35" s="1047">
        <f t="shared" si="8"/>
        <v>0</v>
      </c>
      <c r="I35" s="1047">
        <f t="shared" ca="1" si="9"/>
        <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519"/>
      <c r="B36" s="1444" t="s">
        <v>1002</v>
      </c>
      <c r="C36" s="1062">
        <f ca="1">ROUND(D5*C19*C20*C24*F36,0)</f>
        <v>4278</v>
      </c>
      <c r="D36" s="1536"/>
      <c r="E36" s="1047">
        <f t="shared" ca="1" si="7"/>
        <v>0</v>
      </c>
      <c r="F36" s="1047">
        <f>SUMIF(修正!A45:A56,G2,修正!E45:E56)</f>
        <v>0.25</v>
      </c>
      <c r="G36" s="1047">
        <f ca="1">ROUND(IF(E2="工业",C36*$M$39,C36*$M$38),0)</f>
        <v>1070</v>
      </c>
      <c r="H36" s="1047">
        <f t="shared" si="8"/>
        <v>0</v>
      </c>
      <c r="I36" s="1047">
        <f t="shared" ca="1" si="9"/>
        <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7">
        <f ca="1">ROUND(D5*C19*C20*C24*F37,0)</f>
        <v>4278</v>
      </c>
      <c r="D37" s="1536"/>
      <c r="E37" s="1047">
        <f t="shared" ca="1" si="7"/>
        <v>0</v>
      </c>
      <c r="F37" s="1062">
        <f>SUMIF(修正!A45:A56,G2,修正!F45:F56)</f>
        <v>0.25</v>
      </c>
      <c r="G37" s="1047">
        <f ca="1">ROUND(IF(E2="工业",C37*$M$39,C37*$M$38),0)</f>
        <v>1070</v>
      </c>
      <c r="H37" s="1047">
        <f t="shared" si="8"/>
        <v>0</v>
      </c>
      <c r="I37" s="1047">
        <f t="shared" ca="1" si="9"/>
        <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7">
        <f ca="1">ROUND(D5*C19*C41*C24*F38,0)</f>
        <v>3984</v>
      </c>
      <c r="D38" s="1536"/>
      <c r="E38" s="1047">
        <f t="shared" ca="1" si="7"/>
        <v>0</v>
      </c>
      <c r="F38" s="1062">
        <f>SUMIF(修正!A45:A56,G2,修正!G45:G56)</f>
        <v>0.25</v>
      </c>
      <c r="G38" s="1047">
        <f ca="1">ROUND(IF(E2="工业",C38*$M$39,C38*$M$38),0)</f>
        <v>996</v>
      </c>
      <c r="H38" s="1047">
        <f t="shared" si="8"/>
        <v>0</v>
      </c>
      <c r="I38" s="1047">
        <f t="shared" ca="1" si="9"/>
        <v>0</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50">
        <f ca="1">ROUND(D5*C19*C41*C24*F39,0)</f>
        <v>3187</v>
      </c>
      <c r="D39" s="1537">
        <f>'数据-基础表'!O16</f>
        <v>8880.9</v>
      </c>
      <c r="E39" s="1050">
        <f t="shared" ca="1" si="7"/>
        <v>2830</v>
      </c>
      <c r="F39" s="1064">
        <f>SUMIF(修正!A45:A56,G2,修正!H45:H56)</f>
        <v>0.2</v>
      </c>
      <c r="G39" s="1050">
        <f ca="1">ROUND(IF(E2="工业",C39*$M$39,C39*$M$38),0)</f>
        <v>797</v>
      </c>
      <c r="H39" s="1050">
        <f t="shared" si="8"/>
        <v>8880.9</v>
      </c>
      <c r="I39" s="1050">
        <f t="shared" ca="1" si="9"/>
        <v>708</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2984</v>
      </c>
      <c r="C41" s="839">
        <f ca="1">ROUND(POWER(1+E41,H41-G41)*(POWER(1+E41,G41)-1)/(POWER(1+E41,H41)-1),4)</f>
        <v>0.8972</v>
      </c>
      <c r="D41" s="378" t="s">
        <v>2982</v>
      </c>
      <c r="E41" s="3171">
        <f ca="1">G20</f>
        <v>0.05</v>
      </c>
      <c r="F41" s="378" t="s">
        <v>2983</v>
      </c>
      <c r="G41" s="396">
        <f>项目基本情况!H19</f>
        <v>35.03</v>
      </c>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hidden="1">
      <c r="A45" s="2402" t="s">
        <v>1007</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hidden="1">
      <c r="A46" s="1066" t="s">
        <v>1008</v>
      </c>
      <c r="B46" s="2386" t="s">
        <v>1009</v>
      </c>
      <c r="C46" s="2408" t="s">
        <v>1010</v>
      </c>
      <c r="D46" s="2409" t="s">
        <v>1011</v>
      </c>
      <c r="E46" s="2410" t="s">
        <v>1013</v>
      </c>
      <c r="F46" s="2411" t="s">
        <v>2250</v>
      </c>
      <c r="G46" s="2409" t="s">
        <v>1014</v>
      </c>
      <c r="H46" s="2392" t="s">
        <v>2418</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hidden="1">
      <c r="A47" s="1066" t="s">
        <v>1020</v>
      </c>
      <c r="B47" s="2389" t="str">
        <f>估价对象房地状况!C16</f>
        <v>估价对象位于XX商圈，周边商业氛围成熟，人流量大，商业繁华度一般</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hidden="1">
      <c r="A48" s="1066" t="s">
        <v>1021</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hidden="1">
      <c r="A49" s="1066" t="s">
        <v>1022</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hidden="1">
      <c r="A50" s="1066" t="s">
        <v>1023</v>
      </c>
      <c r="B50" s="3071" t="s">
        <v>2933</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hidden="1">
      <c r="A51" s="1066" t="s">
        <v>1024</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hidden="1">
      <c r="A52" s="1066" t="s">
        <v>1025</v>
      </c>
      <c r="B52" s="3070" t="s">
        <v>2932</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hidden="1">
      <c r="A53" s="2418" t="s">
        <v>1026</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hidden="1">
      <c r="A54" s="2418" t="s">
        <v>1027</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hidden="1" thickBot="1">
      <c r="A55" s="2419" t="s">
        <v>1028</v>
      </c>
      <c r="B55" s="2390" t="str">
        <f>估价对象房地状况!C20</f>
        <v>区域自然环境：；人文环境；综合评价环境状况较好</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hidden="1">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6" t="s">
        <v>1008</v>
      </c>
      <c r="B57" s="2386"/>
      <c r="C57" s="2408" t="s">
        <v>1010</v>
      </c>
      <c r="D57" s="2409" t="s">
        <v>1011</v>
      </c>
      <c r="E57" s="2410" t="s">
        <v>1013</v>
      </c>
      <c r="F57" s="2411" t="s">
        <v>2251</v>
      </c>
      <c r="G57" s="2409" t="s">
        <v>1014</v>
      </c>
      <c r="H57" s="2392" t="s">
        <v>2418</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hidden="1">
      <c r="A58" s="1066" t="s">
        <v>1030</v>
      </c>
      <c r="B58" s="2389" t="str">
        <f>估价对象房地状况!C17</f>
        <v>估价对象位于XX商圈，周边办公楼项目较多，入驻率高，办公集聚程度一般</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hidden="1">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6" t="s">
        <v>1023</v>
      </c>
      <c r="B61" s="3071" t="s">
        <v>2934</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6" t="s">
        <v>1025</v>
      </c>
      <c r="B63" s="3070" t="s">
        <v>2932</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hidden="1" thickBot="1">
      <c r="A66" s="2419" t="s">
        <v>1028</v>
      </c>
      <c r="B66" s="2391" t="str">
        <f>估价对象房地状况!C20</f>
        <v>区域自然环境：；人文环境；综合评价环境状况较好</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2" t="s">
        <v>1031</v>
      </c>
      <c r="B67" s="2403">
        <f>1+E69</f>
        <v>1.0594999999999999</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1008</v>
      </c>
      <c r="B68" s="2386"/>
      <c r="C68" s="2408" t="s">
        <v>1010</v>
      </c>
      <c r="D68" s="2409" t="s">
        <v>1011</v>
      </c>
      <c r="E68" s="2410" t="s">
        <v>1013</v>
      </c>
      <c r="F68" s="2411" t="s">
        <v>2252</v>
      </c>
      <c r="G68" s="2409" t="s">
        <v>1014</v>
      </c>
      <c r="H68" s="2392" t="s">
        <v>2418</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59.25" customHeight="1">
      <c r="A69" s="1066" t="s">
        <v>1032</v>
      </c>
      <c r="B69" s="2389" t="str">
        <f>估价对象房地状况!C15</f>
        <v>估价对象周边居住用地比例、居住小区规模和社区发展完善程度，综合评价居住社区成熟度较好</v>
      </c>
      <c r="C69" s="1158" t="s">
        <v>3032</v>
      </c>
      <c r="D69" s="2395">
        <f t="shared" ref="D69:D77" si="20">SUMIF($J$68:$N$68,C69,J69:N69)</f>
        <v>8.3999999999999995E-3</v>
      </c>
      <c r="E69" s="2414">
        <f>ROUND(SUM(D69:D77),4)</f>
        <v>5.9499999999999997E-2</v>
      </c>
      <c r="F69" s="2415">
        <f>IF(E2="住宅",SUMIF(L1:L12,G2,N1:N12),"——")</f>
        <v>0.121</v>
      </c>
      <c r="G69" s="2396">
        <v>8.3999999999999995E-3</v>
      </c>
      <c r="H69" s="2440">
        <f t="shared" ref="H69:H77" si="21">IFERROR(ROUNDDOWN($F$69*I69/2,4),"——")</f>
        <v>8.3999999999999995E-3</v>
      </c>
      <c r="I69" s="2413">
        <v>0.14000000000000001</v>
      </c>
      <c r="J69" s="2416">
        <f t="shared" ref="J69:J77" si="22">K69+$G69</f>
        <v>1.6799999999999999E-2</v>
      </c>
      <c r="K69" s="2416">
        <f t="shared" ref="K69:K77" si="23">$L69+$G69</f>
        <v>8.3999999999999995E-3</v>
      </c>
      <c r="L69" s="2416">
        <v>0</v>
      </c>
      <c r="M69" s="2416">
        <f t="shared" ref="M69:N77" si="24">L69-$G69</f>
        <v>-8.3999999999999995E-3</v>
      </c>
      <c r="N69" s="2416">
        <f t="shared" si="24"/>
        <v>-1.6799999999999999E-2</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1033</v>
      </c>
      <c r="B70" s="2386" t="str">
        <f>估价对象房地状况!C18</f>
        <v>估价对象周边道路状况、公共交通通达情况、停车便捷程度，综合评价交通便捷度较好</v>
      </c>
      <c r="C70" s="1158" t="s">
        <v>3032</v>
      </c>
      <c r="D70" s="2395">
        <f t="shared" si="20"/>
        <v>1.8100000000000002E-2</v>
      </c>
      <c r="E70" s="2423"/>
      <c r="F70" s="2424"/>
      <c r="G70" s="2396">
        <v>1.8100000000000002E-2</v>
      </c>
      <c r="H70" s="2440">
        <f t="shared" si="21"/>
        <v>1.8100000000000002E-2</v>
      </c>
      <c r="I70" s="2413">
        <v>0.3</v>
      </c>
      <c r="J70" s="2416">
        <f t="shared" si="22"/>
        <v>3.6200000000000003E-2</v>
      </c>
      <c r="K70" s="2416">
        <f t="shared" si="23"/>
        <v>1.8100000000000002E-2</v>
      </c>
      <c r="L70" s="2416">
        <v>0</v>
      </c>
      <c r="M70" s="2416">
        <f t="shared" si="24"/>
        <v>-1.8100000000000002E-2</v>
      </c>
      <c r="N70" s="2416">
        <f t="shared" si="24"/>
        <v>-3.6200000000000003E-2</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1022</v>
      </c>
      <c r="B71" s="2386">
        <f>估价对象房地状况!C19</f>
        <v>0</v>
      </c>
      <c r="C71" s="1158" t="s">
        <v>3035</v>
      </c>
      <c r="D71" s="2395">
        <f t="shared" si="20"/>
        <v>0</v>
      </c>
      <c r="E71" s="2423"/>
      <c r="F71" s="2424"/>
      <c r="G71" s="2396">
        <v>4.7999999999999996E-3</v>
      </c>
      <c r="H71" s="2440">
        <f t="shared" si="21"/>
        <v>4.7999999999999996E-3</v>
      </c>
      <c r="I71" s="2413">
        <v>0.08</v>
      </c>
      <c r="J71" s="2416">
        <f t="shared" si="22"/>
        <v>9.5999999999999992E-3</v>
      </c>
      <c r="K71" s="2416">
        <f t="shared" si="23"/>
        <v>4.7999999999999996E-3</v>
      </c>
      <c r="L71" s="2416">
        <v>0</v>
      </c>
      <c r="M71" s="2416">
        <f t="shared" si="24"/>
        <v>-4.7999999999999996E-3</v>
      </c>
      <c r="N71" s="2416">
        <f t="shared" si="24"/>
        <v>-9.5999999999999992E-3</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1034</v>
      </c>
      <c r="B72" s="2386">
        <f>估价对象房地状况!C24</f>
        <v>0</v>
      </c>
      <c r="C72" s="3243" t="s">
        <v>3070</v>
      </c>
      <c r="D72" s="2395">
        <f t="shared" si="20"/>
        <v>4.7999999999999996E-3</v>
      </c>
      <c r="E72" s="2423"/>
      <c r="F72" s="2424"/>
      <c r="G72" s="2396">
        <v>2.3999999999999998E-3</v>
      </c>
      <c r="H72" s="2440">
        <f t="shared" si="21"/>
        <v>2.3999999999999998E-3</v>
      </c>
      <c r="I72" s="2413">
        <v>0.04</v>
      </c>
      <c r="J72" s="2416">
        <f t="shared" si="22"/>
        <v>4.7999999999999996E-3</v>
      </c>
      <c r="K72" s="2416">
        <f t="shared" si="23"/>
        <v>2.3999999999999998E-3</v>
      </c>
      <c r="L72" s="2416">
        <v>0</v>
      </c>
      <c r="M72" s="2416">
        <f t="shared" si="24"/>
        <v>-2.3999999999999998E-3</v>
      </c>
      <c r="N72" s="2416">
        <f t="shared" si="24"/>
        <v>-4.7999999999999996E-3</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1026</v>
      </c>
      <c r="B73" s="2387" t="str">
        <f>估价对象房地状况!C21</f>
        <v>估价对象所在区域公共配套设施齐备情况</v>
      </c>
      <c r="C73" s="1158" t="str">
        <f>'[1]基准地价-70住宅'!$C$73</f>
        <v>较好</v>
      </c>
      <c r="D73" s="2395">
        <f t="shared" si="20"/>
        <v>4.7999999999999996E-3</v>
      </c>
      <c r="E73" s="2423"/>
      <c r="F73" s="2424"/>
      <c r="G73" s="2396">
        <v>4.7999999999999996E-3</v>
      </c>
      <c r="H73" s="2440">
        <f t="shared" si="21"/>
        <v>4.7999999999999996E-3</v>
      </c>
      <c r="I73" s="2413">
        <v>0.08</v>
      </c>
      <c r="J73" s="2416">
        <f t="shared" si="22"/>
        <v>9.5999999999999992E-3</v>
      </c>
      <c r="K73" s="2416">
        <f t="shared" si="23"/>
        <v>4.7999999999999996E-3</v>
      </c>
      <c r="L73" s="2416">
        <v>0</v>
      </c>
      <c r="M73" s="2416">
        <f t="shared" si="24"/>
        <v>-4.7999999999999996E-3</v>
      </c>
      <c r="N73" s="2416">
        <f t="shared" si="24"/>
        <v>-9.5999999999999992E-3</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1027</v>
      </c>
      <c r="B74" s="2387" t="str">
        <f>估价对象房地状况!C22</f>
        <v>估价对象所在区域基础设施水平</v>
      </c>
      <c r="C74" s="1158" t="s">
        <v>3070</v>
      </c>
      <c r="D74" s="2395">
        <f t="shared" si="20"/>
        <v>1.44E-2</v>
      </c>
      <c r="E74" s="2423"/>
      <c r="F74" s="2424"/>
      <c r="G74" s="2396">
        <v>7.1999999999999998E-3</v>
      </c>
      <c r="H74" s="2440">
        <f t="shared" si="21"/>
        <v>7.1999999999999998E-3</v>
      </c>
      <c r="I74" s="2413">
        <v>0.12</v>
      </c>
      <c r="J74" s="2416">
        <f t="shared" si="22"/>
        <v>1.44E-2</v>
      </c>
      <c r="K74" s="2416">
        <f t="shared" si="23"/>
        <v>7.1999999999999998E-3</v>
      </c>
      <c r="L74" s="2416">
        <v>0</v>
      </c>
      <c r="M74" s="2416">
        <f t="shared" si="24"/>
        <v>-7.1999999999999998E-3</v>
      </c>
      <c r="N74" s="2416">
        <f t="shared" si="24"/>
        <v>-1.44E-2</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1025</v>
      </c>
      <c r="B75" s="3070" t="s">
        <v>2932</v>
      </c>
      <c r="C75" s="1158" t="s">
        <v>3035</v>
      </c>
      <c r="D75" s="2395">
        <f t="shared" si="20"/>
        <v>0</v>
      </c>
      <c r="E75" s="2423"/>
      <c r="F75" s="2424"/>
      <c r="G75" s="2396">
        <v>3.0000000000000001E-3</v>
      </c>
      <c r="H75" s="2440">
        <f t="shared" si="21"/>
        <v>3.0000000000000001E-3</v>
      </c>
      <c r="I75" s="2413">
        <v>0.05</v>
      </c>
      <c r="J75" s="2416">
        <f t="shared" si="22"/>
        <v>6.0000000000000001E-3</v>
      </c>
      <c r="K75" s="2416">
        <f t="shared" si="23"/>
        <v>3.0000000000000001E-3</v>
      </c>
      <c r="L75" s="2416">
        <v>0</v>
      </c>
      <c r="M75" s="2416">
        <f t="shared" si="24"/>
        <v>-3.0000000000000001E-3</v>
      </c>
      <c r="N75" s="2416">
        <f t="shared" si="24"/>
        <v>-6.0000000000000001E-3</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1028</v>
      </c>
      <c r="B76" s="2389" t="str">
        <f>估价对象房地状况!C20</f>
        <v>区域自然环境：；人文环境；综合评价环境状况较好</v>
      </c>
      <c r="C76" s="1158" t="s">
        <v>3032</v>
      </c>
      <c r="D76" s="2395">
        <f t="shared" si="20"/>
        <v>8.9999999999999993E-3</v>
      </c>
      <c r="E76" s="2423"/>
      <c r="F76" s="2424"/>
      <c r="G76" s="2396">
        <v>8.9999999999999993E-3</v>
      </c>
      <c r="H76" s="2440">
        <f t="shared" si="21"/>
        <v>8.9999999999999993E-3</v>
      </c>
      <c r="I76" s="2413">
        <v>0.15</v>
      </c>
      <c r="J76" s="2416">
        <f t="shared" si="22"/>
        <v>1.7999999999999999E-2</v>
      </c>
      <c r="K76" s="2416">
        <f t="shared" si="23"/>
        <v>8.9999999999999993E-3</v>
      </c>
      <c r="L76" s="2416">
        <v>0</v>
      </c>
      <c r="M76" s="2416">
        <f t="shared" si="24"/>
        <v>-8.9999999999999993E-3</v>
      </c>
      <c r="N76" s="2416">
        <f t="shared" si="24"/>
        <v>-1.7999999999999999E-2</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9" t="s">
        <v>1035</v>
      </c>
      <c r="B77" s="1849"/>
      <c r="C77" s="1158" t="s">
        <v>3035</v>
      </c>
      <c r="D77" s="2395">
        <f t="shared" si="20"/>
        <v>0</v>
      </c>
      <c r="E77" s="2425"/>
      <c r="F77" s="2424"/>
      <c r="G77" s="2396">
        <v>2.3999999999999998E-3</v>
      </c>
      <c r="H77" s="2440">
        <f t="shared" si="21"/>
        <v>2.3999999999999998E-3</v>
      </c>
      <c r="I77" s="2420">
        <v>0.04</v>
      </c>
      <c r="J77" s="2416">
        <f t="shared" si="22"/>
        <v>4.7999999999999996E-3</v>
      </c>
      <c r="K77" s="2416">
        <f t="shared" si="23"/>
        <v>2.3999999999999998E-3</v>
      </c>
      <c r="L77" s="2416">
        <v>0</v>
      </c>
      <c r="M77" s="2416">
        <f t="shared" si="24"/>
        <v>-2.3999999999999998E-3</v>
      </c>
      <c r="N77" s="2416">
        <f t="shared" si="24"/>
        <v>-4.7999999999999996E-3</v>
      </c>
      <c r="AC77" s="1404"/>
      <c r="AD77" s="1403"/>
      <c r="AJ77" s="1402"/>
      <c r="AN77" s="1403"/>
    </row>
    <row r="78" spans="1:40" ht="15" hidden="1">
      <c r="A78" s="2402" t="s">
        <v>1036</v>
      </c>
      <c r="B78" s="2403">
        <f>1+E80</f>
        <v>1</v>
      </c>
      <c r="C78" s="2422"/>
      <c r="D78" s="2405"/>
      <c r="E78" s="2406"/>
      <c r="F78" s="2407"/>
      <c r="G78" s="2401"/>
      <c r="H78" s="2401"/>
      <c r="I78" s="2401"/>
      <c r="J78" s="1065"/>
      <c r="K78" s="1065"/>
      <c r="L78" s="1065"/>
      <c r="M78" s="1065"/>
      <c r="N78" s="1065"/>
      <c r="AC78" s="1404"/>
      <c r="AD78" s="1403"/>
      <c r="AJ78" s="1402"/>
      <c r="AN78" s="1403"/>
    </row>
    <row r="79" spans="1:40" ht="24" hidden="1">
      <c r="A79" s="1066" t="s">
        <v>1008</v>
      </c>
      <c r="B79" s="2386"/>
      <c r="C79" s="2408" t="s">
        <v>1010</v>
      </c>
      <c r="D79" s="2409" t="s">
        <v>1011</v>
      </c>
      <c r="E79" s="2410" t="s">
        <v>1013</v>
      </c>
      <c r="F79" s="2411" t="s">
        <v>2253</v>
      </c>
      <c r="G79" s="2409" t="s">
        <v>1014</v>
      </c>
      <c r="H79" s="2392" t="s">
        <v>2418</v>
      </c>
      <c r="I79" s="2409" t="s">
        <v>1012</v>
      </c>
      <c r="J79" s="2412" t="s">
        <v>1015</v>
      </c>
      <c r="K79" s="2412" t="s">
        <v>1016</v>
      </c>
      <c r="L79" s="2412" t="s">
        <v>1017</v>
      </c>
      <c r="M79" s="2412" t="s">
        <v>1018</v>
      </c>
      <c r="N79" s="2412" t="s">
        <v>1019</v>
      </c>
      <c r="AC79" s="1404"/>
      <c r="AD79" s="1403"/>
      <c r="AJ79" s="1402"/>
      <c r="AN79" s="1403"/>
    </row>
    <row r="80" spans="1:40" ht="36" hidden="1">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hidden="1">
      <c r="A81" s="1066" t="s">
        <v>1033</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hidden="1">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hidden="1">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hidden="1">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hidden="1">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hidden="1">
      <c r="A86" s="1066" t="s">
        <v>1025</v>
      </c>
      <c r="B86" s="3070" t="s">
        <v>2932</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hidden="1"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460" t="s">
        <v>1633</v>
      </c>
      <c r="B90" s="3460"/>
      <c r="C90" s="3460"/>
      <c r="D90" s="3460"/>
      <c r="E90" s="3460"/>
      <c r="F90" s="3460"/>
      <c r="G90" s="3460"/>
      <c r="H90" s="3460"/>
      <c r="I90" s="3460"/>
      <c r="J90" s="3460"/>
      <c r="K90" s="2428"/>
      <c r="L90" s="2428"/>
      <c r="M90" s="2428"/>
      <c r="N90" s="2428"/>
    </row>
    <row r="91" spans="1:40">
      <c r="A91" s="3459" t="s">
        <v>1443</v>
      </c>
      <c r="B91" s="3459" t="s">
        <v>1634</v>
      </c>
      <c r="C91" s="1139" t="s">
        <v>1635</v>
      </c>
      <c r="D91" s="1140"/>
      <c r="E91" s="1140"/>
      <c r="F91" s="1140"/>
      <c r="G91" s="1140"/>
      <c r="H91" s="1140"/>
      <c r="I91" s="1140"/>
      <c r="J91" s="1141"/>
      <c r="K91" s="1133"/>
      <c r="L91" s="1133"/>
      <c r="M91" s="1133"/>
      <c r="N91" s="1133"/>
    </row>
    <row r="92" spans="1:40">
      <c r="A92" s="3459"/>
      <c r="B92" s="3459"/>
      <c r="C92" s="2427" t="s">
        <v>906</v>
      </c>
      <c r="D92" s="2427" t="s">
        <v>884</v>
      </c>
      <c r="E92" s="2427" t="s">
        <v>885</v>
      </c>
      <c r="F92" s="2427" t="s">
        <v>909</v>
      </c>
      <c r="G92" s="2427" t="s">
        <v>887</v>
      </c>
      <c r="H92" s="2427" t="s">
        <v>888</v>
      </c>
      <c r="I92" s="2427" t="s">
        <v>889</v>
      </c>
      <c r="J92" s="2427" t="s">
        <v>890</v>
      </c>
      <c r="K92" s="2427" t="s">
        <v>914</v>
      </c>
      <c r="L92" s="2427" t="s">
        <v>892</v>
      </c>
      <c r="M92" s="2427" t="s">
        <v>893</v>
      </c>
      <c r="N92" s="2427" t="s">
        <v>917</v>
      </c>
    </row>
    <row r="93" spans="1:40">
      <c r="A93" s="3523"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52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52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52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52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52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524"/>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52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523" t="s">
        <v>1637</v>
      </c>
      <c r="B101" s="1146" t="s">
        <v>905</v>
      </c>
      <c r="C101" s="1147">
        <f>$G$3</f>
        <v>1.44</v>
      </c>
      <c r="D101" s="1147">
        <f t="shared" ref="D101:N101" si="31">$G$3</f>
        <v>1.44</v>
      </c>
      <c r="E101" s="1147">
        <f t="shared" si="31"/>
        <v>1.44</v>
      </c>
      <c r="F101" s="1147">
        <f t="shared" si="31"/>
        <v>1.44</v>
      </c>
      <c r="G101" s="1147">
        <f t="shared" si="31"/>
        <v>1.44</v>
      </c>
      <c r="H101" s="1147">
        <f t="shared" si="31"/>
        <v>1.44</v>
      </c>
      <c r="I101" s="1147">
        <f t="shared" si="31"/>
        <v>1.44</v>
      </c>
      <c r="J101" s="1147">
        <f t="shared" si="31"/>
        <v>1.44</v>
      </c>
      <c r="K101" s="1147">
        <f t="shared" si="31"/>
        <v>1.44</v>
      </c>
      <c r="L101" s="1147">
        <f t="shared" si="31"/>
        <v>1.44</v>
      </c>
      <c r="M101" s="1147">
        <f t="shared" si="31"/>
        <v>1.44</v>
      </c>
      <c r="N101" s="1147">
        <f t="shared" si="31"/>
        <v>1.44</v>
      </c>
    </row>
    <row r="102" spans="1:14">
      <c r="A102" s="3524"/>
      <c r="B102" s="1142">
        <v>1</v>
      </c>
      <c r="C102" s="1143">
        <f>1.9362/C101</f>
        <v>1.3445833333333332</v>
      </c>
      <c r="D102" s="1143">
        <f>1.9362/D101</f>
        <v>1.3445833333333332</v>
      </c>
      <c r="E102" s="1143">
        <f>1.8629/E101</f>
        <v>1.2936805555555555</v>
      </c>
      <c r="F102" s="1143">
        <f>1.8629/F101</f>
        <v>1.2936805555555555</v>
      </c>
      <c r="G102" s="1143">
        <f>1.8629/G101</f>
        <v>1.2936805555555555</v>
      </c>
      <c r="H102" s="1143">
        <f>1.8629/H101</f>
        <v>1.2936805555555555</v>
      </c>
      <c r="I102" s="1143">
        <f>1.8629/I101</f>
        <v>1.2936805555555555</v>
      </c>
      <c r="J102" s="1143">
        <f>1.942/J101</f>
        <v>1.3486111111111112</v>
      </c>
      <c r="K102" s="1143">
        <f>1.942/K101</f>
        <v>1.3486111111111112</v>
      </c>
      <c r="L102" s="1143">
        <f>1.942/L101</f>
        <v>1.3486111111111112</v>
      </c>
      <c r="M102" s="1143">
        <f>1.942/M101</f>
        <v>1.3486111111111112</v>
      </c>
      <c r="N102" s="1143">
        <f>1.942/N101</f>
        <v>1.3486111111111112</v>
      </c>
    </row>
    <row r="103" spans="1:14">
      <c r="A103" s="3524"/>
      <c r="B103" s="1142">
        <v>2</v>
      </c>
      <c r="C103" s="1143">
        <f>1.4198/C101</f>
        <v>0.98597222222222225</v>
      </c>
      <c r="D103" s="1143">
        <f>1.4198/D101</f>
        <v>0.98597222222222225</v>
      </c>
      <c r="E103" s="1143">
        <f>1.3372/E101</f>
        <v>0.92861111111111105</v>
      </c>
      <c r="F103" s="1143">
        <f>1.3372/F101</f>
        <v>0.92861111111111105</v>
      </c>
      <c r="G103" s="1143">
        <f>1.3372/G101</f>
        <v>0.92861111111111105</v>
      </c>
      <c r="H103" s="1143">
        <f>1.3372/H101</f>
        <v>0.92861111111111105</v>
      </c>
      <c r="I103" s="1143">
        <f>1.3372/I101</f>
        <v>0.92861111111111105</v>
      </c>
      <c r="J103" s="1143">
        <f>1.2799/J101</f>
        <v>0.8888194444444445</v>
      </c>
      <c r="K103" s="1143">
        <f>1.2799/K101</f>
        <v>0.8888194444444445</v>
      </c>
      <c r="L103" s="1143">
        <f>1.2799/L101</f>
        <v>0.8888194444444445</v>
      </c>
      <c r="M103" s="1143">
        <f>1.2799/M101</f>
        <v>0.8888194444444445</v>
      </c>
      <c r="N103" s="1143">
        <f>1.2799/N101</f>
        <v>0.8888194444444445</v>
      </c>
    </row>
    <row r="104" spans="1:14">
      <c r="A104" s="3524"/>
      <c r="B104" s="1142">
        <v>3</v>
      </c>
      <c r="C104" s="1143">
        <f>1.1594/C101</f>
        <v>0.80513888888888896</v>
      </c>
      <c r="D104" s="1143">
        <f>1.1594/D101</f>
        <v>0.80513888888888896</v>
      </c>
      <c r="E104" s="1143">
        <f>1.0788/E101</f>
        <v>0.74916666666666665</v>
      </c>
      <c r="F104" s="1143">
        <f>1.0788/F101</f>
        <v>0.74916666666666665</v>
      </c>
      <c r="G104" s="1143">
        <f>1.0788/G101</f>
        <v>0.74916666666666665</v>
      </c>
      <c r="H104" s="1143">
        <f>1.0788/H101</f>
        <v>0.74916666666666665</v>
      </c>
      <c r="I104" s="1143">
        <f>1.0788/I101</f>
        <v>0.74916666666666665</v>
      </c>
      <c r="J104" s="1143">
        <f>1.0072/J101</f>
        <v>0.69944444444444454</v>
      </c>
      <c r="K104" s="1143">
        <f>1.0072/K101</f>
        <v>0.69944444444444454</v>
      </c>
      <c r="L104" s="1143">
        <f>1.0072/L101</f>
        <v>0.69944444444444454</v>
      </c>
      <c r="M104" s="1143">
        <f>1.0072/M101</f>
        <v>0.69944444444444454</v>
      </c>
      <c r="N104" s="1143">
        <f>1.0072/N101</f>
        <v>0.69944444444444454</v>
      </c>
    </row>
    <row r="105" spans="1:14">
      <c r="A105" s="3524"/>
      <c r="B105" s="1142">
        <v>4</v>
      </c>
      <c r="C105" s="1143">
        <f>0.9622/C101</f>
        <v>0.66819444444444454</v>
      </c>
      <c r="D105" s="1143">
        <f>0.9622/D101</f>
        <v>0.66819444444444454</v>
      </c>
      <c r="E105" s="1143">
        <f>0.8656/E101</f>
        <v>0.60111111111111115</v>
      </c>
      <c r="F105" s="1143">
        <f>0.8656/F101</f>
        <v>0.60111111111111115</v>
      </c>
      <c r="G105" s="1143">
        <f>0.8656/G101</f>
        <v>0.60111111111111115</v>
      </c>
      <c r="H105" s="1143">
        <f>0.8656/H101</f>
        <v>0.60111111111111115</v>
      </c>
      <c r="I105" s="1143">
        <f>0.8656/I101</f>
        <v>0.60111111111111115</v>
      </c>
      <c r="J105" s="1143">
        <f>0.7525/J101</f>
        <v>0.52256944444444442</v>
      </c>
      <c r="K105" s="1143">
        <f>0.7525/K101</f>
        <v>0.52256944444444442</v>
      </c>
      <c r="L105" s="1143">
        <f>0.7525/L101</f>
        <v>0.52256944444444442</v>
      </c>
      <c r="M105" s="1143">
        <f>0.7525/M101</f>
        <v>0.52256944444444442</v>
      </c>
      <c r="N105" s="1143">
        <f>0.7525/N101</f>
        <v>0.52256944444444442</v>
      </c>
    </row>
    <row r="106" spans="1:14">
      <c r="A106" s="3524"/>
      <c r="B106" s="1142">
        <v>5</v>
      </c>
      <c r="C106" s="1143">
        <f>0.8417/C101</f>
        <v>0.58451388888888889</v>
      </c>
      <c r="D106" s="1143">
        <f>0.8417/D101</f>
        <v>0.58451388888888889</v>
      </c>
      <c r="E106" s="1143">
        <f>0.7371/E101</f>
        <v>0.51187499999999997</v>
      </c>
      <c r="F106" s="1143">
        <f>0.7371/F101</f>
        <v>0.51187499999999997</v>
      </c>
      <c r="G106" s="1143">
        <f>0.7371/G101</f>
        <v>0.51187499999999997</v>
      </c>
      <c r="H106" s="1143">
        <f>0.7371/H101</f>
        <v>0.51187499999999997</v>
      </c>
      <c r="I106" s="1143">
        <f>0.7371/I101</f>
        <v>0.51187499999999997</v>
      </c>
      <c r="J106" s="1143">
        <f>0.5659/J101</f>
        <v>0.39298611111111109</v>
      </c>
      <c r="K106" s="1143">
        <f>0.5659/K101</f>
        <v>0.39298611111111109</v>
      </c>
      <c r="L106" s="1143">
        <f>0.5659/L101</f>
        <v>0.39298611111111109</v>
      </c>
      <c r="M106" s="1143">
        <f>0.5659/M101</f>
        <v>0.39298611111111109</v>
      </c>
      <c r="N106" s="1143">
        <f>0.5659/N101</f>
        <v>0.39298611111111109</v>
      </c>
    </row>
    <row r="107" spans="1:14">
      <c r="A107" s="3524"/>
      <c r="B107" s="1142">
        <v>6</v>
      </c>
      <c r="C107" s="1143">
        <f>0.7608/C101</f>
        <v>0.52833333333333332</v>
      </c>
      <c r="D107" s="1143">
        <f>0.7608/D101</f>
        <v>0.52833333333333332</v>
      </c>
      <c r="E107" s="1143">
        <f>0.6482/E101</f>
        <v>0.45013888888888892</v>
      </c>
      <c r="F107" s="1143">
        <f>0.6482/F101</f>
        <v>0.45013888888888892</v>
      </c>
      <c r="G107" s="1143">
        <f>0.6482/G101</f>
        <v>0.45013888888888892</v>
      </c>
      <c r="H107" s="1143">
        <f>0.6482/H101</f>
        <v>0.45013888888888892</v>
      </c>
      <c r="I107" s="1143">
        <f>0.6482/I101</f>
        <v>0.45013888888888892</v>
      </c>
      <c r="J107" s="1143">
        <f>0.4525/J101</f>
        <v>0.3142361111111111</v>
      </c>
      <c r="K107" s="1143">
        <f>0.4525/K101</f>
        <v>0.3142361111111111</v>
      </c>
      <c r="L107" s="1143">
        <f>0.4525/L101</f>
        <v>0.3142361111111111</v>
      </c>
      <c r="M107" s="1143">
        <f>0.4525/M101</f>
        <v>0.3142361111111111</v>
      </c>
      <c r="N107" s="1143">
        <f>0.4525/N101</f>
        <v>0.3142361111111111</v>
      </c>
    </row>
    <row r="108" spans="1:14">
      <c r="A108" s="3524"/>
      <c r="B108" s="3526"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525"/>
      <c r="B109" s="3527"/>
      <c r="C109" s="1145">
        <f>(-0.163*(C108^2)-0.59*C108+7617)*(10^(-4))/C101</f>
        <v>0.52790611111111108</v>
      </c>
      <c r="D109" s="1145">
        <f>(-0.163*(D108^2)-0.59*D108+7617)*(10^(-4))/D101</f>
        <v>0.52790611111111108</v>
      </c>
      <c r="E109" s="1145">
        <f>(-0.161*(E108^2)-7.509*E108+6533)*(10^(-4))/E101</f>
        <v>0.44879333333333338</v>
      </c>
      <c r="F109" s="1145">
        <f>(-0.161*(F108^2)-7.509*F108+6533)*(10^(-4))/F101</f>
        <v>0.44879333333333338</v>
      </c>
      <c r="G109" s="1145">
        <f>(-0.161*(G108^2)-7.509*G108+6533)*(10^(-4))/G101</f>
        <v>0.44879333333333338</v>
      </c>
      <c r="H109" s="1145">
        <f>(-0.161*(H108^2)-7.509*H108+6533)*(10^(-4))/H101</f>
        <v>0.44879333333333338</v>
      </c>
      <c r="I109" s="1145">
        <f>(-0.161*(I108^2)-7.509*I108+6533)*(10^(-4))/I101</f>
        <v>0.44879333333333338</v>
      </c>
      <c r="J109" s="1145">
        <f>(-0.214*(J108^2)-21.991*J108+4665)*(10^(-4))/J101</f>
        <v>0.31079000000000001</v>
      </c>
      <c r="K109" s="1145">
        <f>(-0.214*(K108^2)-21.991*K108+4665)*(10^(-4))/K101</f>
        <v>0.31079000000000001</v>
      </c>
      <c r="L109" s="1145">
        <f>(-0.214*(L108^2)-21.991*L108+4665)*(10^(-4))/L101</f>
        <v>0.31079000000000001</v>
      </c>
      <c r="M109" s="1145">
        <f>(-0.214*(M108^2)-21.991*M108+4665)*(10^(-4))/M101</f>
        <v>0.31079000000000001</v>
      </c>
      <c r="N109" s="1145">
        <f>(-0.214*(N108^2)-21.991*N108+4665)*(10^(-4))/N101</f>
        <v>0.31079000000000001</v>
      </c>
    </row>
    <row r="110" spans="1:14">
      <c r="A110" s="3512" t="s">
        <v>1639</v>
      </c>
      <c r="B110" s="3512"/>
      <c r="C110" s="3512"/>
      <c r="D110" s="3512"/>
      <c r="E110" s="3512"/>
      <c r="F110" s="3512"/>
      <c r="G110" s="3512"/>
      <c r="H110" s="3512"/>
      <c r="I110" s="3512"/>
      <c r="J110" s="3512"/>
      <c r="K110" s="2426"/>
      <c r="L110" s="2426"/>
      <c r="M110" s="2426"/>
      <c r="N110" s="2426"/>
    </row>
    <row r="112" spans="1:14" ht="12.75" thickBot="1"/>
    <row r="113" spans="1:13" ht="25.5" thickBot="1">
      <c r="A113" s="1015" t="s">
        <v>895</v>
      </c>
      <c r="B113" s="2429">
        <f>G3</f>
        <v>1.44</v>
      </c>
      <c r="C113" s="1016" t="s">
        <v>896</v>
      </c>
      <c r="D113" s="1017">
        <f>SUMPRODUCT((A115:A118=F113)*(B114:M114=H113)*B115:M118)</f>
        <v>0.86329999999999996</v>
      </c>
      <c r="E113" s="1018" t="s">
        <v>897</v>
      </c>
      <c r="F113" s="1019" t="str">
        <f>E2</f>
        <v>住宅</v>
      </c>
      <c r="G113" s="1018" t="s">
        <v>898</v>
      </c>
      <c r="H113" s="1019" t="str">
        <f>G2</f>
        <v>六级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v>
      </c>
      <c r="C115" s="1029">
        <f>B115</f>
        <v>0.92</v>
      </c>
      <c r="D115" s="1029">
        <f>ROUND(0.8331-0.0109*B113,4)</f>
        <v>0.81740000000000002</v>
      </c>
      <c r="E115" s="1029">
        <f>D115</f>
        <v>0.81740000000000002</v>
      </c>
      <c r="F115" s="1029">
        <f>E115</f>
        <v>0.81740000000000002</v>
      </c>
      <c r="G115" s="1029">
        <f>F115</f>
        <v>0.81740000000000002</v>
      </c>
      <c r="H115" s="1029">
        <f>G115</f>
        <v>0.81740000000000002</v>
      </c>
      <c r="I115" s="1029">
        <f>ROUND(0.689-0.0155*B113,4)</f>
        <v>0.66669999999999996</v>
      </c>
      <c r="J115" s="1029">
        <f t="shared" ref="J115:M118" si="33">I115</f>
        <v>0.66669999999999996</v>
      </c>
      <c r="K115" s="1029">
        <f t="shared" si="33"/>
        <v>0.66669999999999996</v>
      </c>
      <c r="L115" s="1029">
        <f t="shared" si="33"/>
        <v>0.66669999999999996</v>
      </c>
      <c r="M115" s="1030">
        <f t="shared" si="33"/>
        <v>0.66669999999999996</v>
      </c>
    </row>
    <row r="116" spans="1:13" ht="12.75">
      <c r="A116" s="1028" t="s">
        <v>900</v>
      </c>
      <c r="B116" s="1029">
        <f>ROUND(0.949-0.012*B113,4)</f>
        <v>0.93169999999999997</v>
      </c>
      <c r="C116" s="1029">
        <f>B116</f>
        <v>0.93169999999999997</v>
      </c>
      <c r="D116" s="1029">
        <f>ROUND(0.8567-0.013*B113,4)</f>
        <v>0.83799999999999997</v>
      </c>
      <c r="E116" s="1029">
        <f t="shared" ref="E116:H117" si="34">D116</f>
        <v>0.83799999999999997</v>
      </c>
      <c r="F116" s="1029">
        <f t="shared" si="34"/>
        <v>0.83799999999999997</v>
      </c>
      <c r="G116" s="1029">
        <f t="shared" si="34"/>
        <v>0.83799999999999997</v>
      </c>
      <c r="H116" s="1029">
        <f t="shared" si="34"/>
        <v>0.83799999999999997</v>
      </c>
      <c r="I116" s="1029">
        <f>ROUND(0.7694-0.014*B113,4)</f>
        <v>0.74919999999999998</v>
      </c>
      <c r="J116" s="1029">
        <f t="shared" si="33"/>
        <v>0.74919999999999998</v>
      </c>
      <c r="K116" s="1029">
        <f t="shared" si="33"/>
        <v>0.74919999999999998</v>
      </c>
      <c r="L116" s="1029">
        <f t="shared" si="33"/>
        <v>0.74919999999999998</v>
      </c>
      <c r="M116" s="1030">
        <f t="shared" si="33"/>
        <v>0.74919999999999998</v>
      </c>
    </row>
    <row r="117" spans="1:13" ht="12.75">
      <c r="A117" s="1031" t="s">
        <v>901</v>
      </c>
      <c r="B117" s="1029">
        <f>ROUND(0.8808-0.006*B113,4)</f>
        <v>0.87219999999999998</v>
      </c>
      <c r="C117" s="1029">
        <f>B117</f>
        <v>0.87219999999999998</v>
      </c>
      <c r="D117" s="1029">
        <f>ROUND(0.8748-0.008*B113,4)</f>
        <v>0.86329999999999996</v>
      </c>
      <c r="E117" s="1029">
        <f t="shared" si="34"/>
        <v>0.86329999999999996</v>
      </c>
      <c r="F117" s="1029">
        <f t="shared" si="34"/>
        <v>0.86329999999999996</v>
      </c>
      <c r="G117" s="1029">
        <f t="shared" si="34"/>
        <v>0.86329999999999996</v>
      </c>
      <c r="H117" s="1029">
        <f t="shared" si="34"/>
        <v>0.86329999999999996</v>
      </c>
      <c r="I117" s="1029">
        <f>ROUND(0.7412-0.0095*B113,4)</f>
        <v>0.72750000000000004</v>
      </c>
      <c r="J117" s="1029">
        <f t="shared" si="33"/>
        <v>0.72750000000000004</v>
      </c>
      <c r="K117" s="1029">
        <f t="shared" si="33"/>
        <v>0.72750000000000004</v>
      </c>
      <c r="L117" s="1029">
        <f t="shared" si="33"/>
        <v>0.72750000000000004</v>
      </c>
      <c r="M117" s="1030">
        <f t="shared" si="33"/>
        <v>0.72750000000000004</v>
      </c>
    </row>
    <row r="118" spans="1:13" ht="13.5" thickBot="1">
      <c r="A118" s="1032" t="s">
        <v>902</v>
      </c>
      <c r="B118" s="1033">
        <f>ROUND(0.7275-0.01*B113,4)</f>
        <v>0.71309999999999996</v>
      </c>
      <c r="C118" s="1033">
        <f>B118</f>
        <v>0.71309999999999996</v>
      </c>
      <c r="D118" s="1033">
        <f>ROUND(0.7043-0.012*B113,4)</f>
        <v>0.68700000000000006</v>
      </c>
      <c r="E118" s="1033">
        <f>D118</f>
        <v>0.68700000000000006</v>
      </c>
      <c r="F118" s="1033">
        <f>E118</f>
        <v>0.68700000000000006</v>
      </c>
      <c r="G118" s="1033">
        <f>ROUND(0.6299-0.0122*B113,4)</f>
        <v>0.61229999999999996</v>
      </c>
      <c r="H118" s="1033">
        <f>G118</f>
        <v>0.61229999999999996</v>
      </c>
      <c r="I118" s="1033">
        <f>ROUND(0.5667-0.0136*B113,4)</f>
        <v>0.54710000000000003</v>
      </c>
      <c r="J118" s="1033">
        <f t="shared" si="33"/>
        <v>0.54710000000000003</v>
      </c>
      <c r="K118" s="1033">
        <f t="shared" si="33"/>
        <v>0.54710000000000003</v>
      </c>
      <c r="L118" s="1033">
        <f t="shared" si="33"/>
        <v>0.54710000000000003</v>
      </c>
      <c r="M118" s="1034">
        <f t="shared" si="33"/>
        <v>0.54710000000000003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4" type="noConversion"/>
  <conditionalFormatting sqref="F47">
    <cfRule type="cellIs" dxfId="69" priority="5" stopIfTrue="1" operator="notEqual">
      <formula>"——"</formula>
    </cfRule>
  </conditionalFormatting>
  <conditionalFormatting sqref="F58">
    <cfRule type="cellIs" dxfId="68" priority="4" stopIfTrue="1" operator="notEqual">
      <formula>"——"</formula>
    </cfRule>
  </conditionalFormatting>
  <conditionalFormatting sqref="F69">
    <cfRule type="cellIs" dxfId="67" priority="3" stopIfTrue="1" operator="notEqual">
      <formula>"——"</formula>
    </cfRule>
  </conditionalFormatting>
  <conditionalFormatting sqref="F80">
    <cfRule type="cellIs" dxfId="66" priority="2" stopIfTrue="1" operator="notEqual">
      <formula>"——"</formula>
    </cfRule>
  </conditionalFormatting>
  <conditionalFormatting sqref="H58:H66 H47:H55 H69:H77 H80:H87">
    <cfRule type="cellIs" dxfId="6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N118"/>
  <sheetViews>
    <sheetView topLeftCell="A22" zoomScale="110" zoomScaleNormal="110" workbookViewId="0">
      <selection activeCell="E18" sqref="E18"/>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20000</v>
      </c>
      <c r="E1" s="1405" t="s">
        <v>2427</v>
      </c>
      <c r="F1" s="2430"/>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3" t="s">
        <v>2761</v>
      </c>
      <c r="S1" s="2913" t="s">
        <v>2762</v>
      </c>
      <c r="T1" s="2913" t="s">
        <v>2783</v>
      </c>
      <c r="U1" s="2913" t="s">
        <v>2784</v>
      </c>
      <c r="V1" s="2913" t="s">
        <v>2785</v>
      </c>
      <c r="W1" s="2188"/>
      <c r="X1" s="2188"/>
      <c r="Y1" s="2188"/>
      <c r="Z1" s="2188"/>
      <c r="AA1" s="2188"/>
      <c r="AB1" s="2188"/>
      <c r="AC1" s="2189"/>
    </row>
    <row r="2" spans="1:39" ht="15.75">
      <c r="A2" s="1405" t="s">
        <v>919</v>
      </c>
      <c r="B2" s="1037">
        <f ca="1">C26</f>
        <v>14926</v>
      </c>
      <c r="C2" s="1406" t="s">
        <v>920</v>
      </c>
      <c r="D2" s="1407" t="s">
        <v>921</v>
      </c>
      <c r="E2" s="1408" t="s">
        <v>2992</v>
      </c>
      <c r="F2" s="1407" t="s">
        <v>923</v>
      </c>
      <c r="G2" s="1651" t="str">
        <f>IF(E2="商业",项目基本情况!B43,IF(E2="办公",项目基本情况!C43,IF(E2="住宅",项目基本情况!D43,项目基本情况!E43)))</f>
        <v>六级</v>
      </c>
      <c r="H2" s="1407" t="s">
        <v>925</v>
      </c>
      <c r="I2" s="1652" t="str">
        <f>IF(E2="商业",项目基本情况!B44,IF(E2="办公",项目基本情况!C44,IF(E2="住宅",项目基本情况!D44,项目基本情况!E44)))</f>
        <v>Ⅵ-18</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1.8629</v>
      </c>
      <c r="T2" s="2914">
        <f ca="1">ROUND($C$5*$C$18*$C$19*$C$20*S2*$C$24,0)</f>
        <v>22660</v>
      </c>
      <c r="U2" s="2903"/>
      <c r="V2" s="2914">
        <f ca="1">ROUND(T2*U2/10000,0)</f>
        <v>0</v>
      </c>
      <c r="W2" s="2188"/>
      <c r="X2" s="2188"/>
      <c r="Y2" s="2188"/>
      <c r="Z2" s="2188"/>
      <c r="AA2" s="2188"/>
      <c r="AB2" s="2188"/>
      <c r="AC2" s="2189"/>
    </row>
    <row r="3" spans="1:39" ht="15.75">
      <c r="A3" s="1410" t="s">
        <v>1687</v>
      </c>
      <c r="B3" s="1037">
        <f ca="1">ROUND(B2*10000/D1,0)</f>
        <v>7463</v>
      </c>
      <c r="C3" s="1406" t="s">
        <v>926</v>
      </c>
      <c r="D3" s="1407" t="s">
        <v>927</v>
      </c>
      <c r="E3" s="1411" t="s">
        <v>3076</v>
      </c>
      <c r="F3" s="1412" t="s">
        <v>3069</v>
      </c>
      <c r="G3" s="1038">
        <f>IF(F3="宗地容积率",'数据-汇总表'!I4,IF(F3="估价对象容积率",'数据-汇总表'!I6,'数据-汇总表'!I7))</f>
        <v>1.44</v>
      </c>
      <c r="H3" s="1413" t="s">
        <v>928</v>
      </c>
      <c r="I3" s="1039">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1.3371999999999999</v>
      </c>
      <c r="T3" s="2914">
        <f t="shared" ref="T3:T16" ca="1" si="0">ROUND($C$5*$C$18*$C$19*$C$20*S3*$C$24,0)</f>
        <v>16266</v>
      </c>
      <c r="U3" s="2903"/>
      <c r="V3" s="2914">
        <f t="shared" ref="V3:V16" ca="1" si="1">ROUND(T3*U3/10000,0)</f>
        <v>0</v>
      </c>
      <c r="W3" s="2188"/>
      <c r="X3" s="2188"/>
      <c r="Y3" s="2188"/>
      <c r="Z3" s="2188"/>
      <c r="AA3" s="2188"/>
      <c r="AB3" s="2188"/>
      <c r="AC3" s="2189"/>
    </row>
    <row r="4" spans="1:39" ht="28.5">
      <c r="A4" s="1890" t="s">
        <v>2280</v>
      </c>
      <c r="B4" s="2431"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1.0788</v>
      </c>
      <c r="T4" s="2914">
        <f t="shared" ca="1" si="0"/>
        <v>13122</v>
      </c>
      <c r="U4" s="2903"/>
      <c r="V4" s="2914">
        <f t="shared" ca="1" si="1"/>
        <v>0</v>
      </c>
      <c r="W4" s="2188"/>
      <c r="X4" s="2188"/>
      <c r="Y4" s="2188"/>
      <c r="Z4" s="2188"/>
      <c r="AA4" s="2188"/>
      <c r="AB4" s="2188"/>
      <c r="AC4" s="2189"/>
    </row>
    <row r="5" spans="1:39" s="1420" customFormat="1" ht="15.75" thickBot="1">
      <c r="A5" s="1637" t="s">
        <v>1823</v>
      </c>
      <c r="B5" s="1414" t="s">
        <v>930</v>
      </c>
      <c r="C5" s="1040">
        <f>ROUND(IF(E2="商业",IF(F16="增加",C6*C7+C16,C6*C7-C16),IF(E2="住宅",IF(F16="增加",C6*C12+C16,C6*C12-C16),IF(F16="增加",C6+C16,C6-C16))),0)</f>
        <v>10100</v>
      </c>
      <c r="D5" s="3094">
        <f>ROUND(IF(F16="增加",C6+C16,C6-C16),0)</f>
        <v>10100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0.86560000000000004</v>
      </c>
      <c r="T5" s="2914">
        <f t="shared" ca="1" si="0"/>
        <v>10529</v>
      </c>
      <c r="U5" s="2903"/>
      <c r="V5" s="2914">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1">
        <f>SUMIF(L1:L12,'基准地价-商业'!G2,M1:M12)</f>
        <v>10100</v>
      </c>
      <c r="D6" s="1422" t="s">
        <v>1695</v>
      </c>
      <c r="E6" s="1423"/>
      <c r="F6" s="1423"/>
      <c r="G6" s="1424"/>
      <c r="H6" s="1424"/>
      <c r="I6" s="1424"/>
      <c r="J6" s="1425"/>
      <c r="K6" s="1594"/>
      <c r="L6" s="1884" t="s">
        <v>2243</v>
      </c>
      <c r="M6" s="1885">
        <f>SUMPRODUCT((区片价!B110:B157=I2)*(区片价!C3:F3=E2)*(区片价!C110:F157))</f>
        <v>10100</v>
      </c>
      <c r="N6" s="1886">
        <f>SUMPRODUCT((因素修正幅度!B110:B157=I2)*(因素修正幅度!C3:F3=E2)*(因素修正幅度!C110:F157))</f>
        <v>0.125</v>
      </c>
      <c r="O6" s="2188"/>
      <c r="P6" s="2188"/>
      <c r="Q6" s="2188"/>
      <c r="R6" s="2914">
        <v>5</v>
      </c>
      <c r="S6" s="2914">
        <f>ROUND(IF(G3&gt;1,IF(R6&lt;7,SUMPRODUCT((B93:B98=R6)*(C92:N92=G2)*(C93:N98)),SUMIF(C92:N92,G2,C100:N100)),IF(R6&lt;7,SUMPRODUCT((B102:B107=R6)*(C92:N92=G2)*(C102:N107)),SUMIF(C92:N92,G2,C109:N109))),4)</f>
        <v>0.73709999999999998</v>
      </c>
      <c r="T6" s="2914">
        <f t="shared" ca="1" si="0"/>
        <v>8966</v>
      </c>
      <c r="U6" s="2903"/>
      <c r="V6" s="2914">
        <f t="shared" ca="1" si="1"/>
        <v>0</v>
      </c>
      <c r="W6" s="2188"/>
      <c r="X6" s="2188"/>
      <c r="Y6" s="2188"/>
      <c r="Z6" s="2188"/>
      <c r="AA6" s="2188"/>
      <c r="AB6" s="2188"/>
      <c r="AC6" s="2190"/>
      <c r="AD6" s="1418"/>
      <c r="AE6" s="1418"/>
      <c r="AF6" s="1418"/>
      <c r="AG6" s="1418"/>
      <c r="AH6" s="1418"/>
      <c r="AI6" s="1418"/>
      <c r="AJ6" s="1419"/>
    </row>
    <row r="7" spans="1:39" ht="24">
      <c r="A7" s="3513">
        <f>IF(E2="商业",IF(C8="不临58条商业街","",2),"")</f>
        <v>2</v>
      </c>
      <c r="B7" s="1426" t="s">
        <v>931</v>
      </c>
      <c r="C7" s="1042">
        <f>IF(C8="不临58条商业街",1,ROUND(1+(1.6*E8+1.2*E9+0.8*E10+0.4*E11)*C9,4))</f>
        <v>1</v>
      </c>
      <c r="D7" s="1427" t="s">
        <v>932</v>
      </c>
      <c r="E7" s="1043">
        <v>60</v>
      </c>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0.6482</v>
      </c>
      <c r="T7" s="2914">
        <f t="shared" ca="1" si="0"/>
        <v>7885</v>
      </c>
      <c r="U7" s="2903"/>
      <c r="V7" s="2914">
        <f t="shared" ca="1" si="1"/>
        <v>0</v>
      </c>
      <c r="W7" s="3181" t="s">
        <v>2764</v>
      </c>
      <c r="X7" s="2904" t="str">
        <f>G2</f>
        <v>六级</v>
      </c>
      <c r="Y7" s="2904" t="s">
        <v>2765</v>
      </c>
      <c r="Z7" s="2905">
        <f>G3</f>
        <v>1.44</v>
      </c>
      <c r="AA7" s="2191"/>
      <c r="AB7" s="2191"/>
      <c r="AC7" s="2192"/>
      <c r="AD7" s="2906"/>
      <c r="AE7" s="2906"/>
      <c r="AF7" s="2906"/>
      <c r="AG7" s="2906"/>
      <c r="AH7" s="2906"/>
      <c r="AI7" s="2906"/>
      <c r="AJ7" s="2907"/>
    </row>
    <row r="8" spans="1:39" ht="15">
      <c r="A8" s="3514"/>
      <c r="B8" s="1413" t="s">
        <v>933</v>
      </c>
      <c r="C8" s="1528"/>
      <c r="D8" s="1044" t="s">
        <v>934</v>
      </c>
      <c r="E8" s="1045">
        <f>ROUND(C11/E7,4)</f>
        <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4">
        <v>7</v>
      </c>
      <c r="S8" s="2903"/>
      <c r="T8" s="2914">
        <f t="shared" ca="1" si="0"/>
        <v>0</v>
      </c>
      <c r="U8" s="2903"/>
      <c r="V8" s="2914">
        <f t="shared" ca="1" si="1"/>
        <v>0</v>
      </c>
      <c r="W8" s="3521" t="s">
        <v>2782</v>
      </c>
      <c r="X8" s="3522"/>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514"/>
      <c r="B9" s="1413" t="s">
        <v>936</v>
      </c>
      <c r="C9" s="1046">
        <f>SUMIF(修正!C59:C119,C8,修正!E59:E119)</f>
        <v>0</v>
      </c>
      <c r="D9" s="1047" t="s">
        <v>937</v>
      </c>
      <c r="E9" s="1047">
        <f>ROUND(C11/E7,4)</f>
        <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4">
        <v>8</v>
      </c>
      <c r="S9" s="2903"/>
      <c r="T9" s="2914">
        <f t="shared" ca="1" si="0"/>
        <v>0</v>
      </c>
      <c r="U9" s="2903"/>
      <c r="V9" s="2914">
        <f t="shared" ca="1" si="1"/>
        <v>0</v>
      </c>
      <c r="W9" s="3520" t="s">
        <v>2778</v>
      </c>
      <c r="X9" s="2908" t="s">
        <v>2779</v>
      </c>
      <c r="Y9" s="3072"/>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514"/>
      <c r="B10" s="1413" t="s">
        <v>939</v>
      </c>
      <c r="C10" s="1047">
        <f>SUMIF(修正!C59:C119,C8,修正!F59:F119)</f>
        <v>0</v>
      </c>
      <c r="D10" s="1047" t="s">
        <v>940</v>
      </c>
      <c r="E10" s="1047">
        <f>ROUND(C11/E7,4)</f>
        <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f t="shared" ca="1" si="0"/>
        <v>0</v>
      </c>
      <c r="U10" s="2903"/>
      <c r="V10" s="2914">
        <f t="shared" ca="1" si="1"/>
        <v>0</v>
      </c>
      <c r="W10" s="3520"/>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514"/>
      <c r="B11" s="1434" t="s">
        <v>942</v>
      </c>
      <c r="C11" s="1048">
        <f>C10/4</f>
        <v>0</v>
      </c>
      <c r="D11" s="1048" t="s">
        <v>943</v>
      </c>
      <c r="E11" s="1048">
        <f>ROUND(C11/E7,4)</f>
        <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f t="shared" ca="1" si="0"/>
        <v>0</v>
      </c>
      <c r="U11" s="2903"/>
      <c r="V11" s="2914">
        <f t="shared" ca="1" si="1"/>
        <v>0</v>
      </c>
      <c r="W11" s="3520" t="s">
        <v>2780</v>
      </c>
      <c r="X11" s="1047" t="s">
        <v>2765</v>
      </c>
      <c r="Y11" s="1652">
        <f>$G$3</f>
        <v>1.44</v>
      </c>
      <c r="Z11" s="1652">
        <f t="shared" ref="Z11:AJ11" si="3">$G$3</f>
        <v>1.44</v>
      </c>
      <c r="AA11" s="1652">
        <f t="shared" si="3"/>
        <v>1.44</v>
      </c>
      <c r="AB11" s="1652">
        <f t="shared" si="3"/>
        <v>1.44</v>
      </c>
      <c r="AC11" s="1652">
        <f t="shared" si="3"/>
        <v>1.44</v>
      </c>
      <c r="AD11" s="1652">
        <f t="shared" si="3"/>
        <v>1.44</v>
      </c>
      <c r="AE11" s="1652">
        <f t="shared" si="3"/>
        <v>1.44</v>
      </c>
      <c r="AF11" s="1652">
        <f t="shared" si="3"/>
        <v>1.44</v>
      </c>
      <c r="AG11" s="1652">
        <f t="shared" si="3"/>
        <v>1.44</v>
      </c>
      <c r="AH11" s="1652">
        <f t="shared" si="3"/>
        <v>1.44</v>
      </c>
      <c r="AI11" s="1652">
        <f t="shared" si="3"/>
        <v>1.44</v>
      </c>
      <c r="AJ11" s="1652">
        <f t="shared" si="3"/>
        <v>1.44</v>
      </c>
    </row>
    <row r="12" spans="1:39" ht="25.5" thickBot="1">
      <c r="A12" s="3513" t="s">
        <v>1871</v>
      </c>
      <c r="B12" s="1438" t="s">
        <v>945</v>
      </c>
      <c r="C12" s="1042">
        <f>ROUND(C15*D15*E15*F15*G15*H15*I15*J15,4)</f>
        <v>1.21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f t="shared" ca="1" si="0"/>
        <v>0</v>
      </c>
      <c r="U12" s="2903"/>
      <c r="V12" s="2914">
        <f t="shared" ca="1" si="1"/>
        <v>0</v>
      </c>
      <c r="W12" s="3520"/>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515"/>
      <c r="B13" s="1443" t="s">
        <v>1696</v>
      </c>
      <c r="C13" s="1444" t="s">
        <v>1697</v>
      </c>
      <c r="D13" s="1088" t="s">
        <v>1698</v>
      </c>
      <c r="E13" s="1088" t="s">
        <v>1699</v>
      </c>
      <c r="F13" s="1445" t="s">
        <v>947</v>
      </c>
      <c r="G13" s="1446" t="s">
        <v>1642</v>
      </c>
      <c r="H13" s="1447" t="s">
        <v>1642</v>
      </c>
      <c r="I13" s="1448" t="s">
        <v>1642</v>
      </c>
      <c r="J13" s="1449" t="s">
        <v>1642</v>
      </c>
      <c r="K13" s="1400"/>
      <c r="L13" s="2188"/>
      <c r="M13" s="2188"/>
      <c r="N13" s="2188"/>
      <c r="O13" s="2188"/>
      <c r="P13" s="2188"/>
      <c r="Q13" s="2188"/>
      <c r="R13" s="2914">
        <v>12</v>
      </c>
      <c r="S13" s="2903"/>
      <c r="T13" s="2914">
        <f t="shared" ca="1" si="0"/>
        <v>0</v>
      </c>
      <c r="U13" s="2903"/>
      <c r="V13" s="2914">
        <f t="shared" ca="1" si="1"/>
        <v>0</v>
      </c>
      <c r="W13" s="3520"/>
      <c r="X13" s="2911"/>
      <c r="Y13" s="2910">
        <f>(-0.163*(Y12^2)-0.59*Y12+7617)*(10^(-4))/Y11</f>
        <v>0.52895833333333342</v>
      </c>
      <c r="Z13" s="2910">
        <f t="shared" ref="Z13:AJ13" si="5">(-0.163*(Z12^2)-0.59*Z12+7617)*(10^(-4))/Z11</f>
        <v>0.52895833333333342</v>
      </c>
      <c r="AA13" s="2910">
        <f t="shared" si="5"/>
        <v>0.52895833333333342</v>
      </c>
      <c r="AB13" s="2910">
        <f t="shared" si="5"/>
        <v>0.52895833333333342</v>
      </c>
      <c r="AC13" s="2910">
        <f t="shared" si="5"/>
        <v>0.52895833333333342</v>
      </c>
      <c r="AD13" s="2910">
        <f t="shared" si="5"/>
        <v>0.52895833333333342</v>
      </c>
      <c r="AE13" s="2910">
        <f t="shared" si="5"/>
        <v>0.52895833333333342</v>
      </c>
      <c r="AF13" s="2910">
        <f t="shared" si="5"/>
        <v>0.52895833333333342</v>
      </c>
      <c r="AG13" s="2910">
        <f t="shared" si="5"/>
        <v>0.52895833333333342</v>
      </c>
      <c r="AH13" s="2910">
        <f t="shared" si="5"/>
        <v>0.52895833333333342</v>
      </c>
      <c r="AI13" s="2910">
        <f t="shared" si="5"/>
        <v>0.52895833333333342</v>
      </c>
      <c r="AJ13" s="2910">
        <f t="shared" si="5"/>
        <v>0.52895833333333342</v>
      </c>
    </row>
    <row r="14" spans="1:39" ht="12.75" customHeight="1" thickBot="1">
      <c r="A14" s="3515"/>
      <c r="B14" s="1450"/>
      <c r="C14" s="1451" t="s">
        <v>3063</v>
      </c>
      <c r="D14" s="1452" t="s">
        <v>3063</v>
      </c>
      <c r="E14" s="1452" t="s">
        <v>3064</v>
      </c>
      <c r="F14" s="1453" t="s">
        <v>3065</v>
      </c>
      <c r="G14" s="1454" t="s">
        <v>948</v>
      </c>
      <c r="H14" s="1455"/>
      <c r="I14" s="1456"/>
      <c r="J14" s="1457"/>
      <c r="K14" s="1400"/>
      <c r="L14" s="2188"/>
      <c r="M14" s="2188"/>
      <c r="N14" s="2188"/>
      <c r="O14" s="2188"/>
      <c r="P14" s="2188"/>
      <c r="Q14" s="2188"/>
      <c r="R14" s="2914">
        <v>13</v>
      </c>
      <c r="S14" s="2903"/>
      <c r="T14" s="2914">
        <f t="shared" ca="1" si="0"/>
        <v>0</v>
      </c>
      <c r="U14" s="2903"/>
      <c r="V14" s="2914">
        <f t="shared" ca="1" si="1"/>
        <v>0</v>
      </c>
      <c r="W14" s="2188"/>
      <c r="X14" s="2188"/>
      <c r="Y14" s="2188"/>
      <c r="Z14" s="2188"/>
      <c r="AA14" s="2188"/>
      <c r="AB14" s="2188"/>
      <c r="AC14" s="2189"/>
    </row>
    <row r="15" spans="1:39" ht="13.5" customHeight="1" thickBot="1">
      <c r="A15" s="3516"/>
      <c r="B15" s="1458" t="s">
        <v>1700</v>
      </c>
      <c r="C15" s="1050">
        <f>IF(C14="有",1.1,1)</f>
        <v>1.1000000000000001</v>
      </c>
      <c r="D15" s="1050">
        <f>IF(D14="有",1.1,1)</f>
        <v>1.1000000000000001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8"/>
      <c r="R15" s="2914">
        <v>14</v>
      </c>
      <c r="S15" s="2903"/>
      <c r="T15" s="2914">
        <f t="shared" ca="1" si="0"/>
        <v>0</v>
      </c>
      <c r="U15" s="2903"/>
      <c r="V15" s="2914">
        <f t="shared" ca="1" si="1"/>
        <v>0</v>
      </c>
      <c r="W15" s="2188"/>
      <c r="X15" s="2188"/>
      <c r="Y15" s="2188"/>
      <c r="Z15" s="2188"/>
      <c r="AA15" s="2188"/>
      <c r="AB15" s="2188"/>
      <c r="AC15" s="2189"/>
    </row>
    <row r="16" spans="1:39" ht="24">
      <c r="A16" s="3513" t="s">
        <v>1838</v>
      </c>
      <c r="B16" s="1426" t="s">
        <v>949</v>
      </c>
      <c r="C16" s="1053">
        <f>ROUND(SUM(G17:J17)/C17,0)</f>
        <v>0</v>
      </c>
      <c r="D16" s="1459" t="s">
        <v>950</v>
      </c>
      <c r="E16" s="1460" t="s">
        <v>3066</v>
      </c>
      <c r="F16" s="1461" t="s">
        <v>2991</v>
      </c>
      <c r="G16" s="1462"/>
      <c r="H16" s="1462"/>
      <c r="I16" s="1462"/>
      <c r="J16" s="1462"/>
      <c r="K16" s="1400"/>
      <c r="L16" s="1463" t="s">
        <v>987</v>
      </c>
      <c r="M16" s="1046">
        <v>0.25</v>
      </c>
      <c r="N16" s="1046">
        <v>0.2</v>
      </c>
      <c r="O16" s="1046">
        <v>0.15</v>
      </c>
      <c r="P16" s="1538">
        <v>0.1</v>
      </c>
      <c r="Q16" s="2191"/>
      <c r="R16" s="2914">
        <v>15</v>
      </c>
      <c r="S16" s="2903"/>
      <c r="T16" s="2914">
        <f t="shared" ca="1" si="0"/>
        <v>0</v>
      </c>
      <c r="U16" s="2903"/>
      <c r="V16" s="2914">
        <f t="shared" ca="1" si="1"/>
        <v>0</v>
      </c>
      <c r="W16" s="2191"/>
      <c r="X16" s="2191"/>
      <c r="Y16" s="2191"/>
      <c r="Z16" s="2191"/>
      <c r="AA16" s="2191"/>
      <c r="AB16" s="2191"/>
      <c r="AC16" s="2192"/>
    </row>
    <row r="17" spans="1:40" ht="13.5" thickBot="1">
      <c r="A17" s="3514"/>
      <c r="B17" s="1464" t="s">
        <v>952</v>
      </c>
      <c r="C17" s="1054">
        <f>SUMPRODUCT((修正!A2:A5=E2)*(修正!B1:M1=G2)*(修正!B2:M5))</f>
        <v>2.5</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1826</v>
      </c>
      <c r="B18" s="2749" t="s">
        <v>955</v>
      </c>
      <c r="C18" s="2750">
        <f>SUMIF(修正!C18:C39,E3,修正!E18:E39)</f>
        <v>1</v>
      </c>
      <c r="D18" s="2751"/>
      <c r="E18" s="2752"/>
      <c r="F18" s="2753"/>
      <c r="G18" s="2747"/>
      <c r="H18" s="2747"/>
      <c r="I18" s="2747"/>
      <c r="J18" s="2754"/>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1827</v>
      </c>
      <c r="B19" s="1469" t="s">
        <v>956</v>
      </c>
      <c r="C19" s="1056">
        <f>ROUND(IF(H19="按公示增长率计算",SUMPRODUCT((地价!A3:A25=YEAR(G19)&amp;"-"&amp;ROUNDUP(MONTH(G19)/3,0))*(地价!X2:AB2=E2)*(地价!X3:AB25)),IF(H19="地价指数",M20/M19,(1+I19)^O19)),4)</f>
        <v>1.3686</v>
      </c>
      <c r="D19" s="1473" t="s">
        <v>957</v>
      </c>
      <c r="E19" s="1057">
        <v>41640</v>
      </c>
      <c r="F19" s="1473" t="s">
        <v>958</v>
      </c>
      <c r="G19" s="1058">
        <f>'数据-取费表'!B2</f>
        <v>43528</v>
      </c>
      <c r="H19" s="1474" t="s">
        <v>3067</v>
      </c>
      <c r="I19" s="2761" t="str">
        <f>IF(H19="季度增幅（自定义）",SUMIF(N21:N24,E2,O21:O24),"")</f>
        <v/>
      </c>
      <c r="J19" s="1470"/>
      <c r="K19" s="1480"/>
      <c r="L19" s="3014" t="s">
        <v>2840</v>
      </c>
      <c r="M19" s="3015">
        <f>ROUND(SUMIF(地价!B2:F2,E2,地价!B25:F25),0)</f>
        <v>258</v>
      </c>
      <c r="N19" s="2763" t="s">
        <v>1676</v>
      </c>
      <c r="O19" s="2762">
        <f>ROUNDDOWN(DATEDIF(E19,G19,"M")/3,0)</f>
        <v>20</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5" t="s">
        <v>1828</v>
      </c>
      <c r="B20" s="2756" t="s">
        <v>971</v>
      </c>
      <c r="C20" s="2757">
        <f ca="1">ROUND(POWER(1+G20,J20-I20)*(POWER(1+G20,I20)-1)/(POWER(1+G20,J20)-1),4)</f>
        <v>0.83340000000000003</v>
      </c>
      <c r="D20" s="2758" t="s">
        <v>972</v>
      </c>
      <c r="E20" s="3069">
        <f ca="1">存贷款利率!I4/100</f>
        <v>4.3499999999999997E-2</v>
      </c>
      <c r="F20" s="2758" t="s">
        <v>973</v>
      </c>
      <c r="G20" s="2759">
        <f ca="1">SUMIF(M15:P15,E2,M17:P17)</f>
        <v>5.3999999999999999E-2</v>
      </c>
      <c r="H20" s="2758" t="s">
        <v>974</v>
      </c>
      <c r="I20" s="2748">
        <f>SUMIF('数据-取费表'!C6:C15,E2,'数据-取费表'!F6:F15)/COUNTIF('数据-取费表'!C6:C15,E2)</f>
        <v>25.02</v>
      </c>
      <c r="J20" s="2760">
        <f>IF(E2="住宅",70,IF(E2="商业",40,50))</f>
        <v>40</v>
      </c>
      <c r="K20" s="1480"/>
      <c r="L20" s="3016" t="s">
        <v>2841</v>
      </c>
      <c r="M20" s="3017">
        <f>ROUND(SUMPRODUCT((地价!A4:A25=YEAR(G19)&amp;"-"&amp;ROUNDUP(MONTH(G19)/3,0))*(地价!B2:F2=E2)*(地价!B4:F25)),0)</f>
        <v>345</v>
      </c>
      <c r="N20" s="2766" t="s">
        <v>2645</v>
      </c>
      <c r="O20" s="2764" t="s">
        <v>2644</v>
      </c>
      <c r="P20" s="2765" t="s">
        <v>2650</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25">
      <c r="A21" s="1641" t="s">
        <v>1837</v>
      </c>
      <c r="B21" s="1479" t="s">
        <v>3068</v>
      </c>
      <c r="C21" s="1157">
        <f>IF(B21="容积率修正",IF(G3&lt;=10,D22,J22),C23)</f>
        <v>1.2271000000000001</v>
      </c>
      <c r="D21" s="1480"/>
      <c r="E21" s="1480"/>
      <c r="F21" s="1480"/>
      <c r="G21" s="1480"/>
      <c r="H21" s="1480"/>
      <c r="I21" s="1480"/>
      <c r="J21" s="1481"/>
      <c r="K21" s="1480"/>
      <c r="L21" s="1480"/>
      <c r="M21" s="1480"/>
      <c r="N21" s="1477" t="s">
        <v>975</v>
      </c>
      <c r="O21" s="1541"/>
      <c r="P21" s="2746">
        <f>SUMPRODUCT((地价!A3:A25=YEAR(G19)&amp;"-"&amp;ROUNDUP(MONTH(G19)/3,0))*(地价!AD2:AH2=N21)*(地价!AD3:AH25))</f>
        <v>1.5100000000000001E-2</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9" t="s">
        <v>1702</v>
      </c>
      <c r="D22" s="1059">
        <f>IF(E22=G22,F22,IF(G3&lt;=10,ROUND(F22+(H22-F22)*(G3-E22)/(G22-E22),4),"——"))</f>
        <v>1.2271000000000001</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1.2402</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1.2075</v>
      </c>
      <c r="I22" s="1059" t="s">
        <v>977</v>
      </c>
      <c r="J22" s="1059" t="str">
        <f>IF(G3&gt;10,D113,"——")</f>
        <v>——</v>
      </c>
      <c r="K22" s="1480"/>
      <c r="L22" s="1480"/>
      <c r="M22" s="1480"/>
      <c r="N22" s="1477" t="s">
        <v>978</v>
      </c>
      <c r="O22" s="1541"/>
      <c r="P22" s="2746">
        <f>SUMPRODUCT((地价!A3:A25=YEAR(G19)&amp;"-"&amp;ROUNDUP(MONTH(G19)/3,0))*(地价!AD2:AH2=N22)*(地价!AD3:AH25))</f>
        <v>1.5100000000000001E-2</v>
      </c>
      <c r="R22" s="2902"/>
      <c r="S22" s="2902"/>
      <c r="T22" s="2902"/>
      <c r="U22" s="2902"/>
      <c r="V22" s="2902"/>
      <c r="W22" s="2194"/>
      <c r="X22" s="2194"/>
      <c r="Y22" s="2194"/>
      <c r="Z22" s="2194"/>
      <c r="AA22" s="2194"/>
      <c r="AB22" s="2194"/>
      <c r="AC22" s="2194"/>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0.64629999999999999</v>
      </c>
      <c r="D23" s="1529"/>
      <c r="E23" s="1529"/>
      <c r="F23" s="1530"/>
      <c r="G23" s="1531"/>
      <c r="H23" s="1532"/>
      <c r="I23" s="1533"/>
      <c r="J23" s="1533"/>
      <c r="K23" s="1400"/>
      <c r="L23" s="1400"/>
      <c r="M23" s="1400"/>
      <c r="N23" s="1477" t="s">
        <v>922</v>
      </c>
      <c r="O23" s="1541"/>
      <c r="P23" s="2746">
        <f>SUMPRODUCT((地价!A3:A25=YEAR(G19)&amp;"-"&amp;ROUNDUP(MONTH(G19)/3,0))*(地价!AD2:AH2=N23)*(地价!AD3:AH25))</f>
        <v>2.3400000000000001E-2</v>
      </c>
      <c r="R23" s="2902"/>
      <c r="S23" s="2902"/>
      <c r="T23" s="2902"/>
      <c r="U23" s="2902"/>
      <c r="V23" s="2902"/>
      <c r="W23" s="2194"/>
      <c r="X23" s="2194"/>
      <c r="Y23" s="2194"/>
      <c r="Z23" s="2194"/>
      <c r="AA23" s="2194"/>
      <c r="AB23" s="2194"/>
      <c r="AC23" s="2194"/>
      <c r="AN23" s="1403"/>
    </row>
    <row r="24" spans="1:40" s="1420" customFormat="1" ht="15.75" thickBot="1">
      <c r="A24" s="1640" t="s">
        <v>1872</v>
      </c>
      <c r="B24" s="1414" t="s">
        <v>980</v>
      </c>
      <c r="C24" s="1061">
        <f>SUMIF(A44:A87,E2,B44:B87)</f>
        <v>1.0559000000000001</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4" t="s">
        <v>2648</v>
      </c>
      <c r="O25" s="2194"/>
      <c r="P25" s="1540">
        <f>SUMPRODUCT((地价!A3:A25=YEAR(G19)&amp;"-"&amp;ROUNDUP(MONTH(G19)/3,0))*(地价!AD2:AH2=N25)*(地价!AD3:AH25))</f>
        <v>2.1299999999999999E-2</v>
      </c>
      <c r="R25" s="2902"/>
      <c r="S25" s="2902"/>
      <c r="T25" s="2902"/>
      <c r="U25" s="2902"/>
      <c r="V25" s="2902"/>
      <c r="W25" s="2194"/>
      <c r="X25" s="2194"/>
      <c r="Y25" s="2194"/>
      <c r="Z25" s="2194"/>
      <c r="AA25" s="2194"/>
      <c r="AB25" s="2194"/>
      <c r="AC25" s="2194"/>
    </row>
    <row r="26" spans="1:40" ht="14.25">
      <c r="A26" s="1488"/>
      <c r="B26" s="1482" t="s">
        <v>986</v>
      </c>
      <c r="C26" s="1062">
        <f ca="1">E29+SUM(E33:E39)</f>
        <v>14926</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988</v>
      </c>
      <c r="C27" s="1063">
        <f ca="1">E30+SUM(I33:I39)</f>
        <v>3732</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993</v>
      </c>
      <c r="C29" s="1062">
        <f ca="1">ROUND(C5*C18*C19*C20*C21*C24,0)</f>
        <v>14926</v>
      </c>
      <c r="D29" s="1503">
        <f>'数据-基础表'!I13</f>
        <v>10000</v>
      </c>
      <c r="E29" s="1848">
        <f ca="1">ROUND(C29*D29/10000,0)</f>
        <v>14926</v>
      </c>
      <c r="F29" s="1504" t="s">
        <v>1701</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75" thickBot="1">
      <c r="A30" s="1507"/>
      <c r="B30" s="1508" t="s">
        <v>994</v>
      </c>
      <c r="C30" s="1050">
        <f ca="1">ROUND(IF(E2="工业",C29*M39,C29*M38),0)</f>
        <v>3732</v>
      </c>
      <c r="D30" s="1509">
        <v>10000</v>
      </c>
      <c r="E30" s="1848">
        <f ca="1">ROUND(C30*D30/10000,0)</f>
        <v>3732</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517" t="s">
        <v>2957</v>
      </c>
      <c r="B33" s="1523" t="s">
        <v>999</v>
      </c>
      <c r="C33" s="1062">
        <f ca="1">ROUND(D5*C19*C20*C24*F33,0)</f>
        <v>8515</v>
      </c>
      <c r="D33" s="1536"/>
      <c r="E33" s="1047">
        <f ca="1">ROUND(C33*D33/10000,0)</f>
        <v>0</v>
      </c>
      <c r="F33" s="1047">
        <f>SUMIF(修正!A45:A56,G2,修正!B45:B56)</f>
        <v>0.7</v>
      </c>
      <c r="G33" s="1047">
        <f t="shared" ref="G33" ca="1" si="6">ROUND(IF(E2="工业",C33*$M$39,C33*$M$38),0)</f>
        <v>2129</v>
      </c>
      <c r="H33" s="1047">
        <f>D33</f>
        <v>0</v>
      </c>
      <c r="I33" s="1047">
        <f ca="1">ROUND(G33*H33/10000,0)</f>
        <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518"/>
      <c r="B34" s="1444" t="s">
        <v>1000</v>
      </c>
      <c r="C34" s="1062">
        <f ca="1">ROUND(D5*C19*C20*C24*F34,0)</f>
        <v>4866</v>
      </c>
      <c r="D34" s="1536"/>
      <c r="E34" s="1047">
        <f t="shared" ref="E34:E39" ca="1" si="7">ROUND(C34*D34/10000,0)</f>
        <v>0</v>
      </c>
      <c r="F34" s="1047">
        <f>SUMIF(修正!A45:A56,G2,修正!C45:C56)</f>
        <v>0.4</v>
      </c>
      <c r="G34" s="1047">
        <f ca="1">ROUND(IF(E2="工业",C34*$M$39,C34*$M$38),0)</f>
        <v>1217</v>
      </c>
      <c r="H34" s="1047">
        <f t="shared" ref="H34:H39" si="8">D34</f>
        <v>0</v>
      </c>
      <c r="I34" s="1047">
        <f t="shared" ref="I34:I39" ca="1" si="9">ROUND(G34*H34/10000,0)</f>
        <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518"/>
      <c r="B35" s="1444" t="s">
        <v>1001</v>
      </c>
      <c r="C35" s="1062">
        <f ca="1">ROUND(D5*C19*C20*C24*F35,0)</f>
        <v>3406</v>
      </c>
      <c r="D35" s="1536"/>
      <c r="E35" s="1047">
        <f t="shared" ca="1" si="7"/>
        <v>0</v>
      </c>
      <c r="F35" s="1047">
        <f>SUMIF(修正!A45:A56,G2,修正!D45:D56)</f>
        <v>0.28000000000000003</v>
      </c>
      <c r="G35" s="1047">
        <f ca="1">ROUND(IF(E2="工业",C35*$M$39,C35*$M$38),0)</f>
        <v>852</v>
      </c>
      <c r="H35" s="1047">
        <f t="shared" si="8"/>
        <v>0</v>
      </c>
      <c r="I35" s="1047">
        <f t="shared" ca="1" si="9"/>
        <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519"/>
      <c r="B36" s="1444" t="s">
        <v>1002</v>
      </c>
      <c r="C36" s="1062">
        <f ca="1">ROUND(D5*C19*C20*C24*F36,0)</f>
        <v>3041</v>
      </c>
      <c r="D36" s="1536"/>
      <c r="E36" s="1047">
        <f t="shared" ca="1" si="7"/>
        <v>0</v>
      </c>
      <c r="F36" s="1047">
        <f>SUMIF(修正!A45:A56,G2,修正!E45:E56)</f>
        <v>0.25</v>
      </c>
      <c r="G36" s="1047">
        <f ca="1">ROUND(IF(E2="工业",C36*$M$39,C36*$M$38),0)</f>
        <v>760</v>
      </c>
      <c r="H36" s="1047">
        <f t="shared" si="8"/>
        <v>0</v>
      </c>
      <c r="I36" s="1047">
        <f t="shared" ca="1" si="9"/>
        <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7">
        <f ca="1">ROUND(D5*C19*C20*C24*F37,0)</f>
        <v>3041</v>
      </c>
      <c r="D37" s="1536"/>
      <c r="E37" s="1047">
        <f t="shared" ca="1" si="7"/>
        <v>0</v>
      </c>
      <c r="F37" s="1062">
        <f>SUMIF(修正!A45:A56,G2,修正!F45:F56)</f>
        <v>0.25</v>
      </c>
      <c r="G37" s="1047">
        <f ca="1">ROUND(IF(E2="工业",C37*$M$39,C37*$M$38),0)</f>
        <v>760</v>
      </c>
      <c r="H37" s="1047">
        <f t="shared" si="8"/>
        <v>0</v>
      </c>
      <c r="I37" s="1047">
        <f t="shared" ca="1" si="9"/>
        <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7">
        <f ca="1">ROUND(D5*C19*C41*C24*F38,0)</f>
        <v>0</v>
      </c>
      <c r="D38" s="1536"/>
      <c r="E38" s="1047">
        <f t="shared" ca="1" si="7"/>
        <v>0</v>
      </c>
      <c r="F38" s="1062">
        <f>SUMIF(修正!A45:A56,G2,修正!G45:G56)</f>
        <v>0.25</v>
      </c>
      <c r="G38" s="1047">
        <f ca="1">ROUND(IF(E2="工业",C38*$M$39,C38*$M$38),0)</f>
        <v>0</v>
      </c>
      <c r="H38" s="1047">
        <f t="shared" si="8"/>
        <v>0</v>
      </c>
      <c r="I38" s="1047">
        <f t="shared" ca="1" si="9"/>
        <v>0</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50">
        <f ca="1">ROUND(D5*C19*C41*C24*F39,0)</f>
        <v>0</v>
      </c>
      <c r="D39" s="1537"/>
      <c r="E39" s="1050">
        <f t="shared" ca="1" si="7"/>
        <v>0</v>
      </c>
      <c r="F39" s="1064">
        <f>SUMIF(修正!A45:A56,G2,修正!H45:H56)</f>
        <v>0.2</v>
      </c>
      <c r="G39" s="1050">
        <f ca="1">ROUND(IF(E2="工业",C39*$M$39,C39*$M$38),0)</f>
        <v>0</v>
      </c>
      <c r="H39" s="1050">
        <f t="shared" si="8"/>
        <v>0</v>
      </c>
      <c r="I39" s="1050">
        <f t="shared" ca="1" si="9"/>
        <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2984</v>
      </c>
      <c r="C41" s="839">
        <f ca="1">ROUND(POWER(1+E41,H41-G41)*(POWER(1+E41,G41)-1)/(POWER(1+E41,H41)-1),4)</f>
        <v>0</v>
      </c>
      <c r="D41" s="378" t="s">
        <v>2982</v>
      </c>
      <c r="E41" s="3171">
        <f ca="1">G20</f>
        <v>5.3999999999999999E-2</v>
      </c>
      <c r="F41" s="378" t="s">
        <v>2983</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2" t="s">
        <v>1007</v>
      </c>
      <c r="B45" s="2403">
        <f>1+E47</f>
        <v>1.0559000000000001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1008</v>
      </c>
      <c r="B46" s="2386" t="s">
        <v>1009</v>
      </c>
      <c r="C46" s="2408" t="s">
        <v>1010</v>
      </c>
      <c r="D46" s="2409" t="s">
        <v>1011</v>
      </c>
      <c r="E46" s="2410" t="s">
        <v>1013</v>
      </c>
      <c r="F46" s="2411" t="s">
        <v>2250</v>
      </c>
      <c r="G46" s="2409" t="s">
        <v>1014</v>
      </c>
      <c r="H46" s="2392" t="s">
        <v>2418</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1020</v>
      </c>
      <c r="B47" s="2389" t="str">
        <f>估价对象房地状况!C16</f>
        <v>估价对象位于XX商圈，周边商业氛围成熟，人流量大，商业繁华度一般</v>
      </c>
      <c r="C47" s="1049" t="s">
        <v>3035</v>
      </c>
      <c r="D47" s="2395">
        <f t="shared" ref="D47:D55" si="10">SUMIF($J$46:$N$46,C47,J47:N47)</f>
        <v>0</v>
      </c>
      <c r="E47" s="2414">
        <f>ROUND(SUM(D47:D55),4)</f>
        <v>5.5899999999999998E-2</v>
      </c>
      <c r="F47" s="2415">
        <f>IF(E2="商业",SUMIF(L1:L12,G2,N1:N12),"——")</f>
        <v>0.125</v>
      </c>
      <c r="G47" s="2393">
        <v>2.06E-2</v>
      </c>
      <c r="H47" s="2439">
        <f t="shared" ref="H47:H55" si="11">IFERROR(ROUNDDOWN(($F$47*I47/2),4),"——")</f>
        <v>2.06E-2</v>
      </c>
      <c r="I47" s="2413">
        <v>0.33</v>
      </c>
      <c r="J47" s="2416">
        <f t="shared" ref="J47:J55" si="12">K47+$G47</f>
        <v>4.1200000000000001E-2</v>
      </c>
      <c r="K47" s="2416">
        <f t="shared" ref="K47:K55" si="13">$L47+$G47</f>
        <v>2.06E-2</v>
      </c>
      <c r="L47" s="2416">
        <v>0</v>
      </c>
      <c r="M47" s="2416">
        <f t="shared" ref="M47:N55" si="14">L47-$G47</f>
        <v>-2.06E-2</v>
      </c>
      <c r="N47" s="2416">
        <f t="shared" si="14"/>
        <v>-4.1200000000000001E-2</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1021</v>
      </c>
      <c r="B48" s="2386" t="str">
        <f>估价对象房地状况!C18</f>
        <v>估价对象周边道路状况、公共交通通达情况、停车便捷程度，综合评价交通便捷度较好</v>
      </c>
      <c r="C48" s="1049" t="s">
        <v>3032</v>
      </c>
      <c r="D48" s="2395">
        <f t="shared" si="10"/>
        <v>1.5599999999999999E-2</v>
      </c>
      <c r="E48" s="2417"/>
      <c r="F48" s="2415"/>
      <c r="G48" s="2393">
        <v>1.5599999999999999E-2</v>
      </c>
      <c r="H48" s="2439">
        <f t="shared" si="11"/>
        <v>1.5599999999999999E-2</v>
      </c>
      <c r="I48" s="2413">
        <v>0.25</v>
      </c>
      <c r="J48" s="2416">
        <f t="shared" si="12"/>
        <v>3.1199999999999999E-2</v>
      </c>
      <c r="K48" s="2416">
        <f t="shared" si="13"/>
        <v>1.5599999999999999E-2</v>
      </c>
      <c r="L48" s="2416">
        <v>0</v>
      </c>
      <c r="M48" s="2416">
        <f t="shared" si="14"/>
        <v>-1.5599999999999999E-2</v>
      </c>
      <c r="N48" s="2416">
        <f t="shared" si="14"/>
        <v>-3.1199999999999999E-2</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1022</v>
      </c>
      <c r="B49" s="2386">
        <f>估价对象房地状况!C19</f>
        <v>0</v>
      </c>
      <c r="C49" s="1049" t="s">
        <v>3032</v>
      </c>
      <c r="D49" s="2395">
        <f t="shared" si="10"/>
        <v>3.0999999999999999E-3</v>
      </c>
      <c r="E49" s="2417"/>
      <c r="F49" s="2415"/>
      <c r="G49" s="2393">
        <v>3.0999999999999999E-3</v>
      </c>
      <c r="H49" s="2439">
        <f t="shared" si="11"/>
        <v>3.0999999999999999E-3</v>
      </c>
      <c r="I49" s="2413">
        <v>0.05</v>
      </c>
      <c r="J49" s="2416">
        <f t="shared" si="12"/>
        <v>6.1999999999999998E-3</v>
      </c>
      <c r="K49" s="2416">
        <f t="shared" si="13"/>
        <v>3.0999999999999999E-3</v>
      </c>
      <c r="L49" s="2416">
        <v>0</v>
      </c>
      <c r="M49" s="2416">
        <f t="shared" si="14"/>
        <v>-3.0999999999999999E-3</v>
      </c>
      <c r="N49" s="2416">
        <f t="shared" si="14"/>
        <v>-6.1999999999999998E-3</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1023</v>
      </c>
      <c r="B50" s="3071" t="s">
        <v>2933</v>
      </c>
      <c r="C50" s="1049" t="s">
        <v>3032</v>
      </c>
      <c r="D50" s="2395">
        <f t="shared" si="10"/>
        <v>3.0999999999999999E-3</v>
      </c>
      <c r="E50" s="2417"/>
      <c r="F50" s="2415"/>
      <c r="G50" s="2393">
        <v>3.0999999999999999E-3</v>
      </c>
      <c r="H50" s="2439">
        <f t="shared" si="11"/>
        <v>3.0999999999999999E-3</v>
      </c>
      <c r="I50" s="2413">
        <v>0.05</v>
      </c>
      <c r="J50" s="2416">
        <f t="shared" si="12"/>
        <v>6.1999999999999998E-3</v>
      </c>
      <c r="K50" s="2416">
        <f t="shared" si="13"/>
        <v>3.0999999999999999E-3</v>
      </c>
      <c r="L50" s="2416">
        <v>0</v>
      </c>
      <c r="M50" s="2416">
        <f t="shared" si="14"/>
        <v>-3.0999999999999999E-3</v>
      </c>
      <c r="N50" s="2416">
        <f t="shared" si="14"/>
        <v>-6.1999999999999998E-3</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1024</v>
      </c>
      <c r="B51" s="2386">
        <f>估价对象房地状况!C24</f>
        <v>0</v>
      </c>
      <c r="C51" s="3201" t="s">
        <v>3070</v>
      </c>
      <c r="D51" s="2395">
        <f t="shared" si="10"/>
        <v>0.01</v>
      </c>
      <c r="E51" s="2417"/>
      <c r="F51" s="2415"/>
      <c r="G51" s="2393">
        <v>5.0000000000000001E-3</v>
      </c>
      <c r="H51" s="2439">
        <f t="shared" si="11"/>
        <v>5.0000000000000001E-3</v>
      </c>
      <c r="I51" s="2413">
        <v>0.08</v>
      </c>
      <c r="J51" s="2416">
        <f t="shared" si="12"/>
        <v>0.01</v>
      </c>
      <c r="K51" s="2416">
        <f t="shared" si="13"/>
        <v>5.0000000000000001E-3</v>
      </c>
      <c r="L51" s="2416">
        <v>0</v>
      </c>
      <c r="M51" s="2416">
        <f t="shared" si="14"/>
        <v>-5.0000000000000001E-3</v>
      </c>
      <c r="N51" s="2416">
        <f t="shared" si="14"/>
        <v>-0.01</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1025</v>
      </c>
      <c r="B52" s="3070" t="s">
        <v>2932</v>
      </c>
      <c r="C52" s="1049" t="s">
        <v>3032</v>
      </c>
      <c r="D52" s="2395">
        <f t="shared" si="10"/>
        <v>1.8E-3</v>
      </c>
      <c r="E52" s="2417"/>
      <c r="F52" s="2415"/>
      <c r="G52" s="2393">
        <v>1.8E-3</v>
      </c>
      <c r="H52" s="2439">
        <f t="shared" si="11"/>
        <v>1.8E-3</v>
      </c>
      <c r="I52" s="2413">
        <v>0.03</v>
      </c>
      <c r="J52" s="2416">
        <f t="shared" si="12"/>
        <v>3.5999999999999999E-3</v>
      </c>
      <c r="K52" s="2416">
        <f t="shared" si="13"/>
        <v>1.8E-3</v>
      </c>
      <c r="L52" s="2416">
        <v>0</v>
      </c>
      <c r="M52" s="2416">
        <f t="shared" si="14"/>
        <v>-1.8E-3</v>
      </c>
      <c r="N52" s="2416">
        <f t="shared" si="14"/>
        <v>-3.5999999999999999E-3</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8" t="s">
        <v>1026</v>
      </c>
      <c r="B53" s="2387" t="str">
        <f>估价对象房地状况!C21</f>
        <v>估价对象所在区域公共配套设施齐备情况</v>
      </c>
      <c r="C53" s="1049" t="s">
        <v>3070</v>
      </c>
      <c r="D53" s="2395">
        <f t="shared" si="10"/>
        <v>6.1999999999999998E-3</v>
      </c>
      <c r="E53" s="2417"/>
      <c r="F53" s="2415"/>
      <c r="G53" s="2393">
        <v>3.0999999999999999E-3</v>
      </c>
      <c r="H53" s="2439">
        <f t="shared" si="11"/>
        <v>3.0999999999999999E-3</v>
      </c>
      <c r="I53" s="2413">
        <v>0.05</v>
      </c>
      <c r="J53" s="2416">
        <f t="shared" si="12"/>
        <v>6.1999999999999998E-3</v>
      </c>
      <c r="K53" s="2416">
        <f t="shared" si="13"/>
        <v>3.0999999999999999E-3</v>
      </c>
      <c r="L53" s="2416">
        <v>0</v>
      </c>
      <c r="M53" s="2416">
        <f t="shared" si="14"/>
        <v>-3.0999999999999999E-3</v>
      </c>
      <c r="N53" s="2416">
        <f t="shared" si="14"/>
        <v>-6.1999999999999998E-3</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8" t="s">
        <v>1027</v>
      </c>
      <c r="B54" s="2386" t="str">
        <f>估价对象房地状况!C22</f>
        <v>估价对象所在区域基础设施水平</v>
      </c>
      <c r="C54" s="3202" t="s">
        <v>3070</v>
      </c>
      <c r="D54" s="2395">
        <f t="shared" si="10"/>
        <v>1.24E-2</v>
      </c>
      <c r="E54" s="2417"/>
      <c r="F54" s="2415"/>
      <c r="G54" s="2393">
        <v>6.1999999999999998E-3</v>
      </c>
      <c r="H54" s="2439">
        <f t="shared" si="11"/>
        <v>6.1999999999999998E-3</v>
      </c>
      <c r="I54" s="2413">
        <v>0.1</v>
      </c>
      <c r="J54" s="2416">
        <f t="shared" si="12"/>
        <v>1.24E-2</v>
      </c>
      <c r="K54" s="2416">
        <f t="shared" si="13"/>
        <v>6.1999999999999998E-3</v>
      </c>
      <c r="L54" s="2416">
        <v>0</v>
      </c>
      <c r="M54" s="2416">
        <f t="shared" si="14"/>
        <v>-6.1999999999999998E-3</v>
      </c>
      <c r="N54" s="2416">
        <f t="shared" si="14"/>
        <v>-1.24E-2</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19" t="s">
        <v>1028</v>
      </c>
      <c r="B55" s="2390" t="str">
        <f>估价对象房地状况!C20</f>
        <v>区域自然环境：；人文环境；综合评价环境状况较好</v>
      </c>
      <c r="C55" s="1049" t="s">
        <v>3032</v>
      </c>
      <c r="D55" s="2395">
        <f t="shared" si="10"/>
        <v>3.7000000000000002E-3</v>
      </c>
      <c r="E55" s="2421"/>
      <c r="F55" s="2415"/>
      <c r="G55" s="2393">
        <v>3.7000000000000002E-3</v>
      </c>
      <c r="H55" s="2439">
        <f t="shared" si="11"/>
        <v>3.7000000000000002E-3</v>
      </c>
      <c r="I55" s="2420">
        <v>0.06</v>
      </c>
      <c r="J55" s="2416">
        <f t="shared" si="12"/>
        <v>7.4000000000000003E-3</v>
      </c>
      <c r="K55" s="2416">
        <f t="shared" si="13"/>
        <v>3.7000000000000002E-3</v>
      </c>
      <c r="L55" s="2416">
        <v>0</v>
      </c>
      <c r="M55" s="2416">
        <f t="shared" si="14"/>
        <v>-3.7000000000000002E-3</v>
      </c>
      <c r="N55" s="2416">
        <f t="shared" si="14"/>
        <v>-7.4000000000000003E-3</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hidden="1">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6" t="s">
        <v>1008</v>
      </c>
      <c r="B57" s="2386"/>
      <c r="C57" s="2408" t="s">
        <v>1010</v>
      </c>
      <c r="D57" s="2409" t="s">
        <v>1011</v>
      </c>
      <c r="E57" s="2410" t="s">
        <v>1013</v>
      </c>
      <c r="F57" s="2411" t="s">
        <v>2251</v>
      </c>
      <c r="G57" s="2409" t="s">
        <v>1014</v>
      </c>
      <c r="H57" s="2392" t="s">
        <v>2418</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hidden="1">
      <c r="A58" s="1066" t="s">
        <v>1030</v>
      </c>
      <c r="B58" s="2389" t="str">
        <f>估价对象房地状况!C17</f>
        <v>估价对象位于XX商圈，周边办公楼项目较多，入驻率高，办公集聚程度一般</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hidden="1">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6" t="s">
        <v>1023</v>
      </c>
      <c r="B61" s="3071" t="s">
        <v>2934</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6" t="s">
        <v>1025</v>
      </c>
      <c r="B63" s="3070" t="s">
        <v>2932</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hidden="1" thickBot="1">
      <c r="A66" s="2419" t="s">
        <v>1028</v>
      </c>
      <c r="B66" s="2391" t="str">
        <f>估价对象房地状况!C20</f>
        <v>区域自然环境：；人文环境；综合评价环境状况较好</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hidden="1">
      <c r="A67" s="2402" t="s">
        <v>1031</v>
      </c>
      <c r="B67" s="2403">
        <f>1+E69</f>
        <v>1.0583</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hidden="1">
      <c r="A68" s="1066" t="s">
        <v>1008</v>
      </c>
      <c r="B68" s="2386"/>
      <c r="C68" s="2408" t="s">
        <v>1010</v>
      </c>
      <c r="D68" s="2409" t="s">
        <v>1011</v>
      </c>
      <c r="E68" s="2410" t="s">
        <v>1013</v>
      </c>
      <c r="F68" s="2411" t="s">
        <v>2252</v>
      </c>
      <c r="G68" s="2409" t="s">
        <v>1014</v>
      </c>
      <c r="H68" s="2392" t="s">
        <v>2418</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59.25" hidden="1" customHeight="1">
      <c r="A69" s="1066" t="s">
        <v>1032</v>
      </c>
      <c r="B69" s="2389" t="str">
        <f>估价对象房地状况!C15</f>
        <v>估价对象周边居住用地比例、居住小区规模和社区发展完善程度，综合评价居住社区成熟度较好</v>
      </c>
      <c r="C69" s="1158" t="s">
        <v>3032</v>
      </c>
      <c r="D69" s="2395">
        <f t="shared" ref="D69:D77" si="20">SUMIF($J$68:$N$68,C69,J69:N69)</f>
        <v>8.3999999999999995E-3</v>
      </c>
      <c r="E69" s="2414">
        <f>ROUND(SUM(D69:D77),4)</f>
        <v>5.8299999999999998E-2</v>
      </c>
      <c r="F69" s="2415" t="str">
        <f>IF(E2="住宅",SUMIF(L1:L12,G2,N1:N12),"——")</f>
        <v>——</v>
      </c>
      <c r="G69" s="2396">
        <v>8.3999999999999995E-3</v>
      </c>
      <c r="H69" s="2440" t="str">
        <f t="shared" ref="H69:H77" si="21">IFERROR(ROUNDDOWN($F$69*I69/2,4),"——")</f>
        <v>——</v>
      </c>
      <c r="I69" s="2413">
        <v>0.14000000000000001</v>
      </c>
      <c r="J69" s="2416">
        <f t="shared" ref="J69:J77" si="22">K69+$G69</f>
        <v>1.6799999999999999E-2</v>
      </c>
      <c r="K69" s="2416">
        <f t="shared" ref="K69:K77" si="23">$L69+$G69</f>
        <v>8.3999999999999995E-3</v>
      </c>
      <c r="L69" s="2416">
        <v>0</v>
      </c>
      <c r="M69" s="2416">
        <f t="shared" ref="M69:N77" si="24">L69-$G69</f>
        <v>-8.3999999999999995E-3</v>
      </c>
      <c r="N69" s="2416">
        <f t="shared" si="24"/>
        <v>-1.6799999999999999E-2</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hidden="1">
      <c r="A70" s="1066" t="s">
        <v>1021</v>
      </c>
      <c r="B70" s="2386" t="str">
        <f>估价对象房地状况!C18</f>
        <v>估价对象周边道路状况、公共交通通达情况、停车便捷程度，综合评价交通便捷度较好</v>
      </c>
      <c r="C70" s="1158" t="s">
        <v>3032</v>
      </c>
      <c r="D70" s="2395">
        <f t="shared" si="20"/>
        <v>1.8100000000000002E-2</v>
      </c>
      <c r="E70" s="2423"/>
      <c r="F70" s="2424"/>
      <c r="G70" s="2396">
        <v>1.8100000000000002E-2</v>
      </c>
      <c r="H70" s="2440" t="str">
        <f t="shared" si="21"/>
        <v>——</v>
      </c>
      <c r="I70" s="2413">
        <v>0.3</v>
      </c>
      <c r="J70" s="2416">
        <f t="shared" si="22"/>
        <v>3.6200000000000003E-2</v>
      </c>
      <c r="K70" s="2416">
        <f t="shared" si="23"/>
        <v>1.8100000000000002E-2</v>
      </c>
      <c r="L70" s="2416">
        <v>0</v>
      </c>
      <c r="M70" s="2416">
        <f t="shared" si="24"/>
        <v>-1.8100000000000002E-2</v>
      </c>
      <c r="N70" s="2416">
        <f t="shared" si="24"/>
        <v>-3.6200000000000003E-2</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hidden="1">
      <c r="A71" s="1066" t="s">
        <v>1022</v>
      </c>
      <c r="B71" s="2386">
        <f>估价对象房地状况!C19</f>
        <v>0</v>
      </c>
      <c r="C71" s="1158" t="s">
        <v>3032</v>
      </c>
      <c r="D71" s="2395">
        <f t="shared" si="20"/>
        <v>4.7999999999999996E-3</v>
      </c>
      <c r="E71" s="2423"/>
      <c r="F71" s="2424"/>
      <c r="G71" s="2396">
        <v>4.7999999999999996E-3</v>
      </c>
      <c r="H71" s="2440" t="str">
        <f t="shared" si="21"/>
        <v>——</v>
      </c>
      <c r="I71" s="2413">
        <v>0.08</v>
      </c>
      <c r="J71" s="2416">
        <f t="shared" si="22"/>
        <v>9.5999999999999992E-3</v>
      </c>
      <c r="K71" s="2416">
        <f t="shared" si="23"/>
        <v>4.7999999999999996E-3</v>
      </c>
      <c r="L71" s="2416">
        <v>0</v>
      </c>
      <c r="M71" s="2416">
        <f t="shared" si="24"/>
        <v>-4.7999999999999996E-3</v>
      </c>
      <c r="N71" s="2416">
        <f t="shared" si="24"/>
        <v>-9.5999999999999992E-3</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hidden="1">
      <c r="A72" s="1066" t="s">
        <v>1034</v>
      </c>
      <c r="B72" s="2386">
        <f>估价对象房地状况!C24</f>
        <v>0</v>
      </c>
      <c r="C72" s="1158" t="s">
        <v>3070</v>
      </c>
      <c r="D72" s="2395">
        <f t="shared" si="20"/>
        <v>4.7999999999999996E-3</v>
      </c>
      <c r="E72" s="2423"/>
      <c r="F72" s="2424"/>
      <c r="G72" s="2396">
        <v>2.3999999999999998E-3</v>
      </c>
      <c r="H72" s="2440" t="str">
        <f t="shared" si="21"/>
        <v>——</v>
      </c>
      <c r="I72" s="2413">
        <v>0.04</v>
      </c>
      <c r="J72" s="2416">
        <f t="shared" si="22"/>
        <v>4.7999999999999996E-3</v>
      </c>
      <c r="K72" s="2416">
        <f t="shared" si="23"/>
        <v>2.3999999999999998E-3</v>
      </c>
      <c r="L72" s="2416">
        <v>0</v>
      </c>
      <c r="M72" s="2416">
        <f t="shared" si="24"/>
        <v>-2.3999999999999998E-3</v>
      </c>
      <c r="N72" s="2416">
        <f t="shared" si="24"/>
        <v>-4.7999999999999996E-3</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hidden="1">
      <c r="A73" s="1066" t="s">
        <v>1026</v>
      </c>
      <c r="B73" s="2387" t="str">
        <f>估价对象房地状况!C21</f>
        <v>估价对象所在区域公共配套设施齐备情况</v>
      </c>
      <c r="C73" s="1158" t="s">
        <v>3032</v>
      </c>
      <c r="D73" s="2395">
        <f t="shared" si="20"/>
        <v>4.7999999999999996E-3</v>
      </c>
      <c r="E73" s="2423"/>
      <c r="F73" s="2424"/>
      <c r="G73" s="2396">
        <v>4.7999999999999996E-3</v>
      </c>
      <c r="H73" s="2440" t="str">
        <f t="shared" si="21"/>
        <v>——</v>
      </c>
      <c r="I73" s="2413">
        <v>0.08</v>
      </c>
      <c r="J73" s="2416">
        <f t="shared" si="22"/>
        <v>9.5999999999999992E-3</v>
      </c>
      <c r="K73" s="2416">
        <f t="shared" si="23"/>
        <v>4.7999999999999996E-3</v>
      </c>
      <c r="L73" s="2416">
        <v>0</v>
      </c>
      <c r="M73" s="2416">
        <f t="shared" si="24"/>
        <v>-4.7999999999999996E-3</v>
      </c>
      <c r="N73" s="2416">
        <f t="shared" si="24"/>
        <v>-9.5999999999999992E-3</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hidden="1">
      <c r="A74" s="1066" t="s">
        <v>1027</v>
      </c>
      <c r="B74" s="2387" t="str">
        <f>估价对象房地状况!C22</f>
        <v>估价对象所在区域基础设施水平</v>
      </c>
      <c r="C74" s="1158" t="s">
        <v>3070</v>
      </c>
      <c r="D74" s="2395">
        <f t="shared" si="20"/>
        <v>1.44E-2</v>
      </c>
      <c r="E74" s="2423"/>
      <c r="F74" s="2424"/>
      <c r="G74" s="2396">
        <v>7.1999999999999998E-3</v>
      </c>
      <c r="H74" s="2440" t="str">
        <f t="shared" si="21"/>
        <v>——</v>
      </c>
      <c r="I74" s="2413">
        <v>0.12</v>
      </c>
      <c r="J74" s="2416">
        <f t="shared" si="22"/>
        <v>1.44E-2</v>
      </c>
      <c r="K74" s="2416">
        <f t="shared" si="23"/>
        <v>7.1999999999999998E-3</v>
      </c>
      <c r="L74" s="2416">
        <v>0</v>
      </c>
      <c r="M74" s="2416">
        <f t="shared" si="24"/>
        <v>-7.1999999999999998E-3</v>
      </c>
      <c r="N74" s="2416">
        <f t="shared" si="24"/>
        <v>-1.44E-2</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hidden="1">
      <c r="A75" s="1066" t="s">
        <v>1025</v>
      </c>
      <c r="B75" s="3070" t="s">
        <v>2932</v>
      </c>
      <c r="C75" s="1158" t="s">
        <v>3032</v>
      </c>
      <c r="D75" s="2395">
        <f t="shared" si="20"/>
        <v>3.0000000000000001E-3</v>
      </c>
      <c r="E75" s="2423"/>
      <c r="F75" s="2424"/>
      <c r="G75" s="2396">
        <v>3.0000000000000001E-3</v>
      </c>
      <c r="H75" s="2440" t="str">
        <f t="shared" si="21"/>
        <v>——</v>
      </c>
      <c r="I75" s="2413">
        <v>0.05</v>
      </c>
      <c r="J75" s="2416">
        <f t="shared" si="22"/>
        <v>6.0000000000000001E-3</v>
      </c>
      <c r="K75" s="2416">
        <f t="shared" si="23"/>
        <v>3.0000000000000001E-3</v>
      </c>
      <c r="L75" s="2416">
        <v>0</v>
      </c>
      <c r="M75" s="2416">
        <f t="shared" si="24"/>
        <v>-3.0000000000000001E-3</v>
      </c>
      <c r="N75" s="2416">
        <f t="shared" si="24"/>
        <v>-6.0000000000000001E-3</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hidden="1">
      <c r="A76" s="1066" t="s">
        <v>1028</v>
      </c>
      <c r="B76" s="2389" t="str">
        <f>估价对象房地状况!C20</f>
        <v>区域自然环境：；人文环境；综合评价环境状况较好</v>
      </c>
      <c r="C76" s="1158" t="s">
        <v>3035</v>
      </c>
      <c r="D76" s="2395">
        <f t="shared" si="20"/>
        <v>0</v>
      </c>
      <c r="E76" s="2423"/>
      <c r="F76" s="2424"/>
      <c r="G76" s="2396">
        <v>8.9999999999999993E-3</v>
      </c>
      <c r="H76" s="2440" t="str">
        <f t="shared" si="21"/>
        <v>——</v>
      </c>
      <c r="I76" s="2413">
        <v>0.15</v>
      </c>
      <c r="J76" s="2416">
        <f t="shared" si="22"/>
        <v>1.7999999999999999E-2</v>
      </c>
      <c r="K76" s="2416">
        <f t="shared" si="23"/>
        <v>8.9999999999999993E-3</v>
      </c>
      <c r="L76" s="2416">
        <v>0</v>
      </c>
      <c r="M76" s="2416">
        <f t="shared" si="24"/>
        <v>-8.9999999999999993E-3</v>
      </c>
      <c r="N76" s="2416">
        <f t="shared" si="24"/>
        <v>-1.7999999999999999E-2</v>
      </c>
      <c r="P76" s="2198"/>
      <c r="Q76" s="2198"/>
      <c r="R76" s="2199"/>
      <c r="S76" s="2199"/>
      <c r="T76" s="2199"/>
      <c r="U76" s="2199"/>
      <c r="V76" s="2199"/>
      <c r="W76" s="2198"/>
      <c r="X76" s="2198"/>
      <c r="Y76" s="2198"/>
      <c r="Z76" s="2198"/>
      <c r="AA76" s="2198"/>
      <c r="AB76" s="2198"/>
      <c r="AC76" s="2198"/>
      <c r="AD76" s="2199"/>
      <c r="AJ76" s="1402"/>
      <c r="AN76" s="1403"/>
    </row>
    <row r="77" spans="1:40" ht="24.75" hidden="1" thickBot="1">
      <c r="A77" s="2419" t="s">
        <v>1035</v>
      </c>
      <c r="B77" s="1849"/>
      <c r="C77" s="1158" t="s">
        <v>3035</v>
      </c>
      <c r="D77" s="2395">
        <f t="shared" si="20"/>
        <v>0</v>
      </c>
      <c r="E77" s="2425"/>
      <c r="F77" s="2424"/>
      <c r="G77" s="2396">
        <v>2.3999999999999998E-3</v>
      </c>
      <c r="H77" s="2440" t="str">
        <f t="shared" si="21"/>
        <v>——</v>
      </c>
      <c r="I77" s="2420">
        <v>0.04</v>
      </c>
      <c r="J77" s="2416">
        <f t="shared" si="22"/>
        <v>4.7999999999999996E-3</v>
      </c>
      <c r="K77" s="2416">
        <f t="shared" si="23"/>
        <v>2.3999999999999998E-3</v>
      </c>
      <c r="L77" s="2416">
        <v>0</v>
      </c>
      <c r="M77" s="2416">
        <f t="shared" si="24"/>
        <v>-2.3999999999999998E-3</v>
      </c>
      <c r="N77" s="2416">
        <f t="shared" si="24"/>
        <v>-4.7999999999999996E-3</v>
      </c>
      <c r="AC77" s="1404"/>
      <c r="AD77" s="1403"/>
      <c r="AJ77" s="1402"/>
      <c r="AN77" s="1403"/>
    </row>
    <row r="78" spans="1:40" ht="15" hidden="1">
      <c r="A78" s="2402" t="s">
        <v>1036</v>
      </c>
      <c r="B78" s="2403">
        <f>1+E80</f>
        <v>1</v>
      </c>
      <c r="C78" s="2422"/>
      <c r="D78" s="2405"/>
      <c r="E78" s="2406"/>
      <c r="F78" s="2407"/>
      <c r="G78" s="2401"/>
      <c r="H78" s="2401"/>
      <c r="I78" s="2401"/>
      <c r="J78" s="1065"/>
      <c r="K78" s="1065"/>
      <c r="L78" s="1065"/>
      <c r="M78" s="1065"/>
      <c r="N78" s="1065"/>
      <c r="AC78" s="1404"/>
      <c r="AD78" s="1403"/>
      <c r="AJ78" s="1402"/>
      <c r="AN78" s="1403"/>
    </row>
    <row r="79" spans="1:40" ht="24" hidden="1">
      <c r="A79" s="1066" t="s">
        <v>1008</v>
      </c>
      <c r="B79" s="2386"/>
      <c r="C79" s="2408" t="s">
        <v>1010</v>
      </c>
      <c r="D79" s="2409" t="s">
        <v>1011</v>
      </c>
      <c r="E79" s="2410" t="s">
        <v>1013</v>
      </c>
      <c r="F79" s="2411" t="s">
        <v>2253</v>
      </c>
      <c r="G79" s="2409" t="s">
        <v>1014</v>
      </c>
      <c r="H79" s="2392" t="s">
        <v>2418</v>
      </c>
      <c r="I79" s="2409" t="s">
        <v>1012</v>
      </c>
      <c r="J79" s="2412" t="s">
        <v>1015</v>
      </c>
      <c r="K79" s="2412" t="s">
        <v>1016</v>
      </c>
      <c r="L79" s="2412" t="s">
        <v>1017</v>
      </c>
      <c r="M79" s="2412" t="s">
        <v>1018</v>
      </c>
      <c r="N79" s="2412" t="s">
        <v>1019</v>
      </c>
      <c r="AC79" s="1404"/>
      <c r="AD79" s="1403"/>
      <c r="AJ79" s="1402"/>
      <c r="AN79" s="1403"/>
    </row>
    <row r="80" spans="1:40" ht="36" hidden="1">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hidden="1">
      <c r="A81" s="1066" t="s">
        <v>1021</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hidden="1">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hidden="1">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hidden="1">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hidden="1">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hidden="1">
      <c r="A86" s="1066" t="s">
        <v>1025</v>
      </c>
      <c r="B86" s="3070" t="s">
        <v>2932</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hidden="1"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460" t="s">
        <v>1633</v>
      </c>
      <c r="B90" s="3460"/>
      <c r="C90" s="3460"/>
      <c r="D90" s="3460"/>
      <c r="E90" s="3460"/>
      <c r="F90" s="3460"/>
      <c r="G90" s="3460"/>
      <c r="H90" s="3460"/>
      <c r="I90" s="3460"/>
      <c r="J90" s="3460"/>
      <c r="K90" s="3179"/>
      <c r="L90" s="3179"/>
      <c r="M90" s="3179"/>
      <c r="N90" s="3179"/>
    </row>
    <row r="91" spans="1:40">
      <c r="A91" s="3459" t="s">
        <v>1443</v>
      </c>
      <c r="B91" s="3459" t="s">
        <v>1634</v>
      </c>
      <c r="C91" s="1139" t="s">
        <v>1635</v>
      </c>
      <c r="D91" s="1140"/>
      <c r="E91" s="1140"/>
      <c r="F91" s="1140"/>
      <c r="G91" s="1140"/>
      <c r="H91" s="1140"/>
      <c r="I91" s="1140"/>
      <c r="J91" s="1141"/>
      <c r="K91" s="1133"/>
      <c r="L91" s="1133"/>
      <c r="M91" s="1133"/>
      <c r="N91" s="1133"/>
    </row>
    <row r="92" spans="1:40">
      <c r="A92" s="3459"/>
      <c r="B92" s="3459"/>
      <c r="C92" s="3180" t="s">
        <v>906</v>
      </c>
      <c r="D92" s="3180" t="s">
        <v>884</v>
      </c>
      <c r="E92" s="3180" t="s">
        <v>885</v>
      </c>
      <c r="F92" s="3180" t="s">
        <v>909</v>
      </c>
      <c r="G92" s="3180" t="s">
        <v>887</v>
      </c>
      <c r="H92" s="3180" t="s">
        <v>888</v>
      </c>
      <c r="I92" s="3180" t="s">
        <v>889</v>
      </c>
      <c r="J92" s="3180" t="s">
        <v>890</v>
      </c>
      <c r="K92" s="3180" t="s">
        <v>914</v>
      </c>
      <c r="L92" s="3180" t="s">
        <v>892</v>
      </c>
      <c r="M92" s="3180" t="s">
        <v>893</v>
      </c>
      <c r="N92" s="3180" t="s">
        <v>917</v>
      </c>
    </row>
    <row r="93" spans="1:40">
      <c r="A93" s="3523"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52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52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52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52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52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524"/>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52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523" t="s">
        <v>1637</v>
      </c>
      <c r="B101" s="1146" t="s">
        <v>905</v>
      </c>
      <c r="C101" s="1147">
        <f>$G$3</f>
        <v>1.44</v>
      </c>
      <c r="D101" s="1147">
        <f t="shared" ref="D101:N101" si="31">$G$3</f>
        <v>1.44</v>
      </c>
      <c r="E101" s="1147">
        <f t="shared" si="31"/>
        <v>1.44</v>
      </c>
      <c r="F101" s="1147">
        <f t="shared" si="31"/>
        <v>1.44</v>
      </c>
      <c r="G101" s="1147">
        <f t="shared" si="31"/>
        <v>1.44</v>
      </c>
      <c r="H101" s="1147">
        <f t="shared" si="31"/>
        <v>1.44</v>
      </c>
      <c r="I101" s="1147">
        <f t="shared" si="31"/>
        <v>1.44</v>
      </c>
      <c r="J101" s="1147">
        <f t="shared" si="31"/>
        <v>1.44</v>
      </c>
      <c r="K101" s="1147">
        <f t="shared" si="31"/>
        <v>1.44</v>
      </c>
      <c r="L101" s="1147">
        <f t="shared" si="31"/>
        <v>1.44</v>
      </c>
      <c r="M101" s="1147">
        <f t="shared" si="31"/>
        <v>1.44</v>
      </c>
      <c r="N101" s="1147">
        <f t="shared" si="31"/>
        <v>1.44</v>
      </c>
    </row>
    <row r="102" spans="1:14">
      <c r="A102" s="3524"/>
      <c r="B102" s="1142">
        <v>1</v>
      </c>
      <c r="C102" s="1143">
        <f>1.9362/C101</f>
        <v>1.3445833333333332</v>
      </c>
      <c r="D102" s="1143">
        <f>1.9362/D101</f>
        <v>1.3445833333333332</v>
      </c>
      <c r="E102" s="1143">
        <f>1.8629/E101</f>
        <v>1.2936805555555555</v>
      </c>
      <c r="F102" s="1143">
        <f>1.8629/F101</f>
        <v>1.2936805555555555</v>
      </c>
      <c r="G102" s="1143">
        <f>1.8629/G101</f>
        <v>1.2936805555555555</v>
      </c>
      <c r="H102" s="1143">
        <f>1.8629/H101</f>
        <v>1.2936805555555555</v>
      </c>
      <c r="I102" s="1143">
        <f>1.8629/I101</f>
        <v>1.2936805555555555</v>
      </c>
      <c r="J102" s="1143">
        <f>1.942/J101</f>
        <v>1.3486111111111112</v>
      </c>
      <c r="K102" s="1143">
        <f>1.942/K101</f>
        <v>1.3486111111111112</v>
      </c>
      <c r="L102" s="1143">
        <f>1.942/L101</f>
        <v>1.3486111111111112</v>
      </c>
      <c r="M102" s="1143">
        <f>1.942/M101</f>
        <v>1.3486111111111112</v>
      </c>
      <c r="N102" s="1143">
        <f>1.942/N101</f>
        <v>1.3486111111111112</v>
      </c>
    </row>
    <row r="103" spans="1:14">
      <c r="A103" s="3524"/>
      <c r="B103" s="1142">
        <v>2</v>
      </c>
      <c r="C103" s="1143">
        <f>1.4198/C101</f>
        <v>0.98597222222222225</v>
      </c>
      <c r="D103" s="1143">
        <f>1.4198/D101</f>
        <v>0.98597222222222225</v>
      </c>
      <c r="E103" s="1143">
        <f>1.3372/E101</f>
        <v>0.92861111111111105</v>
      </c>
      <c r="F103" s="1143">
        <f>1.3372/F101</f>
        <v>0.92861111111111105</v>
      </c>
      <c r="G103" s="1143">
        <f>1.3372/G101</f>
        <v>0.92861111111111105</v>
      </c>
      <c r="H103" s="1143">
        <f>1.3372/H101</f>
        <v>0.92861111111111105</v>
      </c>
      <c r="I103" s="1143">
        <f>1.3372/I101</f>
        <v>0.92861111111111105</v>
      </c>
      <c r="J103" s="1143">
        <f>1.2799/J101</f>
        <v>0.8888194444444445</v>
      </c>
      <c r="K103" s="1143">
        <f>1.2799/K101</f>
        <v>0.8888194444444445</v>
      </c>
      <c r="L103" s="1143">
        <f>1.2799/L101</f>
        <v>0.8888194444444445</v>
      </c>
      <c r="M103" s="1143">
        <f>1.2799/M101</f>
        <v>0.8888194444444445</v>
      </c>
      <c r="N103" s="1143">
        <f>1.2799/N101</f>
        <v>0.8888194444444445</v>
      </c>
    </row>
    <row r="104" spans="1:14">
      <c r="A104" s="3524"/>
      <c r="B104" s="1142">
        <v>3</v>
      </c>
      <c r="C104" s="1143">
        <f>1.1594/C101</f>
        <v>0.80513888888888896</v>
      </c>
      <c r="D104" s="1143">
        <f>1.1594/D101</f>
        <v>0.80513888888888896</v>
      </c>
      <c r="E104" s="1143">
        <f>1.0788/E101</f>
        <v>0.74916666666666665</v>
      </c>
      <c r="F104" s="1143">
        <f>1.0788/F101</f>
        <v>0.74916666666666665</v>
      </c>
      <c r="G104" s="1143">
        <f>1.0788/G101</f>
        <v>0.74916666666666665</v>
      </c>
      <c r="H104" s="1143">
        <f>1.0788/H101</f>
        <v>0.74916666666666665</v>
      </c>
      <c r="I104" s="1143">
        <f>1.0788/I101</f>
        <v>0.74916666666666665</v>
      </c>
      <c r="J104" s="1143">
        <f>1.0072/J101</f>
        <v>0.69944444444444454</v>
      </c>
      <c r="K104" s="1143">
        <f>1.0072/K101</f>
        <v>0.69944444444444454</v>
      </c>
      <c r="L104" s="1143">
        <f>1.0072/L101</f>
        <v>0.69944444444444454</v>
      </c>
      <c r="M104" s="1143">
        <f>1.0072/M101</f>
        <v>0.69944444444444454</v>
      </c>
      <c r="N104" s="1143">
        <f>1.0072/N101</f>
        <v>0.69944444444444454</v>
      </c>
    </row>
    <row r="105" spans="1:14">
      <c r="A105" s="3524"/>
      <c r="B105" s="1142">
        <v>4</v>
      </c>
      <c r="C105" s="1143">
        <f>0.9622/C101</f>
        <v>0.66819444444444454</v>
      </c>
      <c r="D105" s="1143">
        <f>0.9622/D101</f>
        <v>0.66819444444444454</v>
      </c>
      <c r="E105" s="1143">
        <f>0.8656/E101</f>
        <v>0.60111111111111115</v>
      </c>
      <c r="F105" s="1143">
        <f>0.8656/F101</f>
        <v>0.60111111111111115</v>
      </c>
      <c r="G105" s="1143">
        <f>0.8656/G101</f>
        <v>0.60111111111111115</v>
      </c>
      <c r="H105" s="1143">
        <f>0.8656/H101</f>
        <v>0.60111111111111115</v>
      </c>
      <c r="I105" s="1143">
        <f>0.8656/I101</f>
        <v>0.60111111111111115</v>
      </c>
      <c r="J105" s="1143">
        <f>0.7525/J101</f>
        <v>0.52256944444444442</v>
      </c>
      <c r="K105" s="1143">
        <f>0.7525/K101</f>
        <v>0.52256944444444442</v>
      </c>
      <c r="L105" s="1143">
        <f>0.7525/L101</f>
        <v>0.52256944444444442</v>
      </c>
      <c r="M105" s="1143">
        <f>0.7525/M101</f>
        <v>0.52256944444444442</v>
      </c>
      <c r="N105" s="1143">
        <f>0.7525/N101</f>
        <v>0.52256944444444442</v>
      </c>
    </row>
    <row r="106" spans="1:14">
      <c r="A106" s="3524"/>
      <c r="B106" s="1142">
        <v>5</v>
      </c>
      <c r="C106" s="1143">
        <f>0.8417/C101</f>
        <v>0.58451388888888889</v>
      </c>
      <c r="D106" s="1143">
        <f>0.8417/D101</f>
        <v>0.58451388888888889</v>
      </c>
      <c r="E106" s="1143">
        <f>0.7371/E101</f>
        <v>0.51187499999999997</v>
      </c>
      <c r="F106" s="1143">
        <f>0.7371/F101</f>
        <v>0.51187499999999997</v>
      </c>
      <c r="G106" s="1143">
        <f>0.7371/G101</f>
        <v>0.51187499999999997</v>
      </c>
      <c r="H106" s="1143">
        <f>0.7371/H101</f>
        <v>0.51187499999999997</v>
      </c>
      <c r="I106" s="1143">
        <f>0.7371/I101</f>
        <v>0.51187499999999997</v>
      </c>
      <c r="J106" s="1143">
        <f>0.5659/J101</f>
        <v>0.39298611111111109</v>
      </c>
      <c r="K106" s="1143">
        <f>0.5659/K101</f>
        <v>0.39298611111111109</v>
      </c>
      <c r="L106" s="1143">
        <f>0.5659/L101</f>
        <v>0.39298611111111109</v>
      </c>
      <c r="M106" s="1143">
        <f>0.5659/M101</f>
        <v>0.39298611111111109</v>
      </c>
      <c r="N106" s="1143">
        <f>0.5659/N101</f>
        <v>0.39298611111111109</v>
      </c>
    </row>
    <row r="107" spans="1:14">
      <c r="A107" s="3524"/>
      <c r="B107" s="1142">
        <v>6</v>
      </c>
      <c r="C107" s="1143">
        <f>0.7608/C101</f>
        <v>0.52833333333333332</v>
      </c>
      <c r="D107" s="1143">
        <f>0.7608/D101</f>
        <v>0.52833333333333332</v>
      </c>
      <c r="E107" s="1143">
        <f>0.6482/E101</f>
        <v>0.45013888888888892</v>
      </c>
      <c r="F107" s="1143">
        <f>0.6482/F101</f>
        <v>0.45013888888888892</v>
      </c>
      <c r="G107" s="1143">
        <f>0.6482/G101</f>
        <v>0.45013888888888892</v>
      </c>
      <c r="H107" s="1143">
        <f>0.6482/H101</f>
        <v>0.45013888888888892</v>
      </c>
      <c r="I107" s="1143">
        <f>0.6482/I101</f>
        <v>0.45013888888888892</v>
      </c>
      <c r="J107" s="1143">
        <f>0.4525/J101</f>
        <v>0.3142361111111111</v>
      </c>
      <c r="K107" s="1143">
        <f>0.4525/K101</f>
        <v>0.3142361111111111</v>
      </c>
      <c r="L107" s="1143">
        <f>0.4525/L101</f>
        <v>0.3142361111111111</v>
      </c>
      <c r="M107" s="1143">
        <f>0.4525/M101</f>
        <v>0.3142361111111111</v>
      </c>
      <c r="N107" s="1143">
        <f>0.4525/N101</f>
        <v>0.3142361111111111</v>
      </c>
    </row>
    <row r="108" spans="1:14">
      <c r="A108" s="3524"/>
      <c r="B108" s="3526"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525"/>
      <c r="B109" s="3527"/>
      <c r="C109" s="1145">
        <f>(-0.163*(C108^2)-0.59*C108+7617)*(10^(-4))/C101</f>
        <v>0.52790611111111108</v>
      </c>
      <c r="D109" s="1145">
        <f>(-0.163*(D108^2)-0.59*D108+7617)*(10^(-4))/D101</f>
        <v>0.52790611111111108</v>
      </c>
      <c r="E109" s="1145">
        <f>(-0.161*(E108^2)-7.509*E108+6533)*(10^(-4))/E101</f>
        <v>0.44879333333333338</v>
      </c>
      <c r="F109" s="1145">
        <f>(-0.161*(F108^2)-7.509*F108+6533)*(10^(-4))/F101</f>
        <v>0.44879333333333338</v>
      </c>
      <c r="G109" s="1145">
        <f>(-0.161*(G108^2)-7.509*G108+6533)*(10^(-4))/G101</f>
        <v>0.44879333333333338</v>
      </c>
      <c r="H109" s="1145">
        <f>(-0.161*(H108^2)-7.509*H108+6533)*(10^(-4))/H101</f>
        <v>0.44879333333333338</v>
      </c>
      <c r="I109" s="1145">
        <f>(-0.161*(I108^2)-7.509*I108+6533)*(10^(-4))/I101</f>
        <v>0.44879333333333338</v>
      </c>
      <c r="J109" s="1145">
        <f>(-0.214*(J108^2)-21.991*J108+4665)*(10^(-4))/J101</f>
        <v>0.31079000000000001</v>
      </c>
      <c r="K109" s="1145">
        <f>(-0.214*(K108^2)-21.991*K108+4665)*(10^(-4))/K101</f>
        <v>0.31079000000000001</v>
      </c>
      <c r="L109" s="1145">
        <f>(-0.214*(L108^2)-21.991*L108+4665)*(10^(-4))/L101</f>
        <v>0.31079000000000001</v>
      </c>
      <c r="M109" s="1145">
        <f>(-0.214*(M108^2)-21.991*M108+4665)*(10^(-4))/M101</f>
        <v>0.31079000000000001</v>
      </c>
      <c r="N109" s="1145">
        <f>(-0.214*(N108^2)-21.991*N108+4665)*(10^(-4))/N101</f>
        <v>0.31079000000000001</v>
      </c>
    </row>
    <row r="110" spans="1:14">
      <c r="A110" s="3512" t="s">
        <v>1639</v>
      </c>
      <c r="B110" s="3512"/>
      <c r="C110" s="3512"/>
      <c r="D110" s="3512"/>
      <c r="E110" s="3512"/>
      <c r="F110" s="3512"/>
      <c r="G110" s="3512"/>
      <c r="H110" s="3512"/>
      <c r="I110" s="3512"/>
      <c r="J110" s="3512"/>
      <c r="K110" s="3178"/>
      <c r="L110" s="3178"/>
      <c r="M110" s="3178"/>
      <c r="N110" s="3178"/>
    </row>
    <row r="112" spans="1:14" ht="12.75" thickBot="1"/>
    <row r="113" spans="1:13" ht="25.5" thickBot="1">
      <c r="A113" s="1015" t="s">
        <v>895</v>
      </c>
      <c r="B113" s="2429">
        <f>G3</f>
        <v>1.44</v>
      </c>
      <c r="C113" s="1016" t="s">
        <v>896</v>
      </c>
      <c r="D113" s="1017">
        <f>SUMPRODUCT((A115:A118=F113)*(B114:M114=H113)*B115:M118)</f>
        <v>0.81740000000000002</v>
      </c>
      <c r="E113" s="1018" t="s">
        <v>897</v>
      </c>
      <c r="F113" s="1019" t="str">
        <f>E2</f>
        <v>商业</v>
      </c>
      <c r="G113" s="1018" t="s">
        <v>898</v>
      </c>
      <c r="H113" s="1019" t="str">
        <f>G2</f>
        <v>六级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v>
      </c>
      <c r="C115" s="1029">
        <f>B115</f>
        <v>0.92</v>
      </c>
      <c r="D115" s="1029">
        <f>ROUND(0.8331-0.0109*B113,4)</f>
        <v>0.81740000000000002</v>
      </c>
      <c r="E115" s="1029">
        <f>D115</f>
        <v>0.81740000000000002</v>
      </c>
      <c r="F115" s="1029">
        <f>E115</f>
        <v>0.81740000000000002</v>
      </c>
      <c r="G115" s="1029">
        <f>F115</f>
        <v>0.81740000000000002</v>
      </c>
      <c r="H115" s="1029">
        <f>G115</f>
        <v>0.81740000000000002</v>
      </c>
      <c r="I115" s="1029">
        <f>ROUND(0.689-0.0155*B113,4)</f>
        <v>0.66669999999999996</v>
      </c>
      <c r="J115" s="1029">
        <f t="shared" ref="J115:M118" si="33">I115</f>
        <v>0.66669999999999996</v>
      </c>
      <c r="K115" s="1029">
        <f t="shared" si="33"/>
        <v>0.66669999999999996</v>
      </c>
      <c r="L115" s="1029">
        <f t="shared" si="33"/>
        <v>0.66669999999999996</v>
      </c>
      <c r="M115" s="1030">
        <f t="shared" si="33"/>
        <v>0.66669999999999996</v>
      </c>
    </row>
    <row r="116" spans="1:13" ht="12.75">
      <c r="A116" s="1028" t="s">
        <v>900</v>
      </c>
      <c r="B116" s="1029">
        <f>ROUND(0.949-0.012*B113,4)</f>
        <v>0.93169999999999997</v>
      </c>
      <c r="C116" s="1029">
        <f>B116</f>
        <v>0.93169999999999997</v>
      </c>
      <c r="D116" s="1029">
        <f>ROUND(0.8567-0.013*B113,4)</f>
        <v>0.83799999999999997</v>
      </c>
      <c r="E116" s="1029">
        <f t="shared" ref="E116:H117" si="34">D116</f>
        <v>0.83799999999999997</v>
      </c>
      <c r="F116" s="1029">
        <f t="shared" si="34"/>
        <v>0.83799999999999997</v>
      </c>
      <c r="G116" s="1029">
        <f t="shared" si="34"/>
        <v>0.83799999999999997</v>
      </c>
      <c r="H116" s="1029">
        <f t="shared" si="34"/>
        <v>0.83799999999999997</v>
      </c>
      <c r="I116" s="1029">
        <f>ROUND(0.7694-0.014*B113,4)</f>
        <v>0.74919999999999998</v>
      </c>
      <c r="J116" s="1029">
        <f t="shared" si="33"/>
        <v>0.74919999999999998</v>
      </c>
      <c r="K116" s="1029">
        <f t="shared" si="33"/>
        <v>0.74919999999999998</v>
      </c>
      <c r="L116" s="1029">
        <f t="shared" si="33"/>
        <v>0.74919999999999998</v>
      </c>
      <c r="M116" s="1030">
        <f t="shared" si="33"/>
        <v>0.74919999999999998</v>
      </c>
    </row>
    <row r="117" spans="1:13" ht="12.75">
      <c r="A117" s="1031" t="s">
        <v>901</v>
      </c>
      <c r="B117" s="1029">
        <f>ROUND(0.8808-0.006*B113,4)</f>
        <v>0.87219999999999998</v>
      </c>
      <c r="C117" s="1029">
        <f>B117</f>
        <v>0.87219999999999998</v>
      </c>
      <c r="D117" s="1029">
        <f>ROUND(0.8748-0.008*B113,4)</f>
        <v>0.86329999999999996</v>
      </c>
      <c r="E117" s="1029">
        <f t="shared" si="34"/>
        <v>0.86329999999999996</v>
      </c>
      <c r="F117" s="1029">
        <f t="shared" si="34"/>
        <v>0.86329999999999996</v>
      </c>
      <c r="G117" s="1029">
        <f t="shared" si="34"/>
        <v>0.86329999999999996</v>
      </c>
      <c r="H117" s="1029">
        <f t="shared" si="34"/>
        <v>0.86329999999999996</v>
      </c>
      <c r="I117" s="1029">
        <f>ROUND(0.7412-0.0095*B113,4)</f>
        <v>0.72750000000000004</v>
      </c>
      <c r="J117" s="1029">
        <f t="shared" si="33"/>
        <v>0.72750000000000004</v>
      </c>
      <c r="K117" s="1029">
        <f t="shared" si="33"/>
        <v>0.72750000000000004</v>
      </c>
      <c r="L117" s="1029">
        <f t="shared" si="33"/>
        <v>0.72750000000000004</v>
      </c>
      <c r="M117" s="1030">
        <f t="shared" si="33"/>
        <v>0.72750000000000004</v>
      </c>
    </row>
    <row r="118" spans="1:13" ht="13.5" thickBot="1">
      <c r="A118" s="1032" t="s">
        <v>902</v>
      </c>
      <c r="B118" s="1033">
        <f>ROUND(0.7275-0.01*B113,4)</f>
        <v>0.71309999999999996</v>
      </c>
      <c r="C118" s="1033">
        <f>B118</f>
        <v>0.71309999999999996</v>
      </c>
      <c r="D118" s="1033">
        <f>ROUND(0.7043-0.012*B113,4)</f>
        <v>0.68700000000000006</v>
      </c>
      <c r="E118" s="1033">
        <f>D118</f>
        <v>0.68700000000000006</v>
      </c>
      <c r="F118" s="1033">
        <f>E118</f>
        <v>0.68700000000000006</v>
      </c>
      <c r="G118" s="1033">
        <f>ROUND(0.6299-0.0122*B113,4)</f>
        <v>0.61229999999999996</v>
      </c>
      <c r="H118" s="1033">
        <f>G118</f>
        <v>0.61229999999999996</v>
      </c>
      <c r="I118" s="1033">
        <f>ROUND(0.5667-0.0136*B113,4)</f>
        <v>0.54710000000000003</v>
      </c>
      <c r="J118" s="1033">
        <f t="shared" si="33"/>
        <v>0.54710000000000003</v>
      </c>
      <c r="K118" s="1033">
        <f t="shared" si="33"/>
        <v>0.54710000000000003</v>
      </c>
      <c r="L118" s="1033">
        <f t="shared" si="33"/>
        <v>0.54710000000000003</v>
      </c>
      <c r="M118" s="1034">
        <f t="shared" si="33"/>
        <v>0.54710000000000003</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29" type="noConversion"/>
  <conditionalFormatting sqref="F47">
    <cfRule type="cellIs" dxfId="64" priority="5" stopIfTrue="1" operator="notEqual">
      <formula>"——"</formula>
    </cfRule>
  </conditionalFormatting>
  <conditionalFormatting sqref="F58">
    <cfRule type="cellIs" dxfId="63" priority="4" stopIfTrue="1" operator="notEqual">
      <formula>"——"</formula>
    </cfRule>
  </conditionalFormatting>
  <conditionalFormatting sqref="F69">
    <cfRule type="cellIs" dxfId="62" priority="3" stopIfTrue="1" operator="notEqual">
      <formula>"——"</formula>
    </cfRule>
  </conditionalFormatting>
  <conditionalFormatting sqref="F80">
    <cfRule type="cellIs" dxfId="61" priority="2" stopIfTrue="1" operator="notEqual">
      <formula>"——"</formula>
    </cfRule>
  </conditionalFormatting>
  <conditionalFormatting sqref="H58:H66 H47:H55 H69:H77 H80:H87">
    <cfRule type="cellIs" dxfId="60"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784"/>
      <c r="G1" s="1600" t="s">
        <v>720</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520</v>
      </c>
      <c r="B4" s="513"/>
      <c r="C4" s="3429" t="s">
        <v>521</v>
      </c>
      <c r="D4" s="3430"/>
      <c r="E4" s="3453" t="s">
        <v>522</v>
      </c>
      <c r="F4" s="3454"/>
      <c r="G4" s="3429" t="s">
        <v>523</v>
      </c>
      <c r="H4" s="3430"/>
      <c r="I4" s="3429" t="s">
        <v>524</v>
      </c>
      <c r="J4" s="3430"/>
      <c r="K4" s="514" t="s">
        <v>525</v>
      </c>
      <c r="L4" s="2132"/>
      <c r="M4" s="2133"/>
      <c r="N4" s="2133"/>
      <c r="O4" s="2133"/>
      <c r="P4" s="3528" t="s">
        <v>526</v>
      </c>
      <c r="Q4" s="3432"/>
      <c r="R4" s="3417" t="s">
        <v>522</v>
      </c>
      <c r="S4" s="3418"/>
      <c r="T4" s="3417" t="s">
        <v>523</v>
      </c>
      <c r="U4" s="3418"/>
      <c r="V4" s="3437" t="s">
        <v>524</v>
      </c>
      <c r="W4" s="3437"/>
      <c r="X4" s="1566"/>
      <c r="Y4" s="3417" t="s">
        <v>526</v>
      </c>
      <c r="Z4" s="3418"/>
      <c r="AA4" s="3412" t="s">
        <v>522</v>
      </c>
      <c r="AB4" s="3412" t="s">
        <v>523</v>
      </c>
      <c r="AC4" s="3412" t="s">
        <v>524</v>
      </c>
    </row>
    <row r="5" spans="1:29" ht="15">
      <c r="A5" s="515"/>
      <c r="B5" s="516"/>
      <c r="C5" s="3440" t="s">
        <v>2925</v>
      </c>
      <c r="D5" s="3441"/>
      <c r="E5" s="3455" t="s">
        <v>2926</v>
      </c>
      <c r="F5" s="3456"/>
      <c r="G5" s="3440" t="s">
        <v>2927</v>
      </c>
      <c r="H5" s="3441"/>
      <c r="I5" s="3440" t="s">
        <v>2928</v>
      </c>
      <c r="J5" s="3441"/>
      <c r="K5" s="514"/>
      <c r="L5" s="2132"/>
      <c r="M5" s="2133"/>
      <c r="N5" s="2133"/>
      <c r="O5" s="2133"/>
      <c r="P5" s="3529"/>
      <c r="Q5" s="3434"/>
      <c r="R5" s="3419"/>
      <c r="S5" s="3420"/>
      <c r="T5" s="3419"/>
      <c r="U5" s="3420"/>
      <c r="V5" s="3437"/>
      <c r="W5" s="3437"/>
      <c r="X5" s="1566"/>
      <c r="Y5" s="3419"/>
      <c r="Z5" s="3420"/>
      <c r="AA5" s="3413"/>
      <c r="AB5" s="3413"/>
      <c r="AC5" s="3413"/>
    </row>
    <row r="6" spans="1:29" ht="15.75" thickBot="1">
      <c r="A6" s="517"/>
      <c r="B6" s="518"/>
      <c r="C6" s="3438" t="s">
        <v>2929</v>
      </c>
      <c r="D6" s="3439"/>
      <c r="E6" s="3457" t="s">
        <v>2929</v>
      </c>
      <c r="F6" s="3458"/>
      <c r="G6" s="3438" t="s">
        <v>2929</v>
      </c>
      <c r="H6" s="3439"/>
      <c r="I6" s="3438" t="s">
        <v>2929</v>
      </c>
      <c r="J6" s="3439"/>
      <c r="K6" s="514" t="s">
        <v>527</v>
      </c>
      <c r="L6" s="2132"/>
      <c r="M6" s="2133"/>
      <c r="N6" s="2133"/>
      <c r="O6" s="2133"/>
      <c r="P6" s="3530"/>
      <c r="Q6" s="3436"/>
      <c r="R6" s="3419"/>
      <c r="S6" s="3420"/>
      <c r="T6" s="3421"/>
      <c r="U6" s="3422"/>
      <c r="V6" s="3437"/>
      <c r="W6" s="3437"/>
      <c r="X6" s="1566"/>
      <c r="Y6" s="3421"/>
      <c r="Z6" s="3422"/>
      <c r="AA6" s="3414"/>
      <c r="AB6" s="3414"/>
      <c r="AC6" s="3414"/>
    </row>
    <row r="7" spans="1:29" s="1219" customFormat="1" ht="15.75" thickBot="1">
      <c r="A7" s="2889"/>
      <c r="B7" s="2896" t="s">
        <v>528</v>
      </c>
      <c r="C7" s="519">
        <f>'数据-取费表'!B2</f>
        <v>43528</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24" t="s">
        <v>529</v>
      </c>
      <c r="Q7" s="3424"/>
      <c r="R7" s="1567" t="s">
        <v>8</v>
      </c>
      <c r="S7" s="1568">
        <f t="shared" ref="S7:S15" si="0">F7</f>
        <v>0</v>
      </c>
      <c r="T7" s="1567" t="s">
        <v>8</v>
      </c>
      <c r="U7" s="1568">
        <f t="shared" ref="U7:U15" si="1">H7</f>
        <v>0</v>
      </c>
      <c r="V7" s="1567" t="s">
        <v>8</v>
      </c>
      <c r="W7" s="1568">
        <f t="shared" ref="W7:W15" si="2">J7</f>
        <v>0</v>
      </c>
      <c r="X7" s="1569"/>
      <c r="Y7" s="3415" t="s">
        <v>529</v>
      </c>
      <c r="Z7" s="3416"/>
      <c r="AA7" s="1570" t="e">
        <f>D7/F7</f>
        <v>#DIV/0!</v>
      </c>
      <c r="AB7" s="1570" t="e">
        <f>D7/H7</f>
        <v>#DIV/0!</v>
      </c>
      <c r="AC7" s="1570" t="e">
        <f>D7/J7</f>
        <v>#DIV/0!</v>
      </c>
    </row>
    <row r="8" spans="1:29" s="1219" customFormat="1" ht="15.75" thickBot="1">
      <c r="A8" s="2890"/>
      <c r="B8" s="2897" t="s">
        <v>530</v>
      </c>
      <c r="C8" s="525" t="s">
        <v>575</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24" t="s">
        <v>532</v>
      </c>
      <c r="Q8" s="3416"/>
      <c r="R8" s="1567" t="s">
        <v>8</v>
      </c>
      <c r="S8" s="1568">
        <f t="shared" si="0"/>
        <v>0</v>
      </c>
      <c r="T8" s="1567" t="s">
        <v>8</v>
      </c>
      <c r="U8" s="1568">
        <f t="shared" si="1"/>
        <v>0</v>
      </c>
      <c r="V8" s="1567" t="s">
        <v>8</v>
      </c>
      <c r="W8" s="1568">
        <f t="shared" si="2"/>
        <v>0</v>
      </c>
      <c r="X8" s="1569"/>
      <c r="Y8" s="3415" t="s">
        <v>532</v>
      </c>
      <c r="Z8" s="3416"/>
      <c r="AA8" s="1570" t="e">
        <f t="shared" ref="AA8:AA47" si="3">D8/F8</f>
        <v>#DIV/0!</v>
      </c>
      <c r="AB8" s="1570" t="e">
        <f t="shared" ref="AB8:AB47" si="4">D8/H8</f>
        <v>#DIV/0!</v>
      </c>
      <c r="AC8" s="1570" t="e">
        <f t="shared" ref="AC8:AC47" si="5">D8/J8</f>
        <v>#DIV/0!</v>
      </c>
    </row>
    <row r="9" spans="1:29" s="1219" customFormat="1" ht="15">
      <c r="A9" s="2891"/>
      <c r="B9" s="2898" t="s">
        <v>2756</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423" t="s">
        <v>534</v>
      </c>
      <c r="Q9" s="1150" t="str">
        <f t="shared" ref="Q9:Q15" si="6">B9</f>
        <v>用途</v>
      </c>
      <c r="R9" s="1567" t="s">
        <v>8</v>
      </c>
      <c r="S9" s="1568">
        <f t="shared" si="0"/>
        <v>100</v>
      </c>
      <c r="T9" s="1567" t="s">
        <v>8</v>
      </c>
      <c r="U9" s="1568">
        <f t="shared" si="1"/>
        <v>100</v>
      </c>
      <c r="V9" s="1567" t="s">
        <v>8</v>
      </c>
      <c r="W9" s="1568">
        <f t="shared" si="2"/>
        <v>100</v>
      </c>
      <c r="X9" s="1569"/>
      <c r="Y9" s="3380" t="s">
        <v>535</v>
      </c>
      <c r="Z9" s="1149" t="str">
        <f t="shared" ref="Z9:Z15" si="7">Q9</f>
        <v>用途</v>
      </c>
      <c r="AA9" s="1570">
        <f t="shared" si="3"/>
        <v>1</v>
      </c>
      <c r="AB9" s="1570">
        <f t="shared" si="4"/>
        <v>1</v>
      </c>
      <c r="AC9" s="1570">
        <f t="shared" si="5"/>
        <v>1</v>
      </c>
    </row>
    <row r="10" spans="1:29" s="1337" customFormat="1" ht="27">
      <c r="A10" s="2892"/>
      <c r="B10" s="2897" t="s">
        <v>2757</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423"/>
      <c r="Q10" s="1150" t="str">
        <f t="shared" si="6"/>
        <v>土地使用年限（年）</v>
      </c>
      <c r="R10" s="1567" t="s">
        <v>8</v>
      </c>
      <c r="S10" s="1568">
        <f t="shared" si="0"/>
        <v>100</v>
      </c>
      <c r="T10" s="1567" t="s">
        <v>8</v>
      </c>
      <c r="U10" s="1568">
        <f t="shared" si="1"/>
        <v>100</v>
      </c>
      <c r="V10" s="1567" t="s">
        <v>8</v>
      </c>
      <c r="W10" s="1568">
        <f t="shared" si="2"/>
        <v>100</v>
      </c>
      <c r="X10" s="1569"/>
      <c r="Y10" s="3380"/>
      <c r="Z10" s="1149" t="str">
        <f t="shared" si="7"/>
        <v>土地使用年限（年）</v>
      </c>
      <c r="AA10" s="1570">
        <f t="shared" si="3"/>
        <v>1</v>
      </c>
      <c r="AB10" s="1570">
        <f t="shared" si="4"/>
        <v>1</v>
      </c>
      <c r="AC10" s="1570">
        <f t="shared" si="5"/>
        <v>1</v>
      </c>
    </row>
    <row r="11" spans="1:29" ht="15">
      <c r="A11" s="2893"/>
      <c r="B11" s="2897"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423"/>
      <c r="Q11" s="1150" t="str">
        <f t="shared" si="6"/>
        <v>容积率</v>
      </c>
      <c r="R11" s="1567" t="s">
        <v>8</v>
      </c>
      <c r="S11" s="1568" t="e">
        <f t="shared" si="0"/>
        <v>#N/A</v>
      </c>
      <c r="T11" s="1567" t="s">
        <v>8</v>
      </c>
      <c r="U11" s="1568" t="e">
        <f t="shared" si="1"/>
        <v>#N/A</v>
      </c>
      <c r="V11" s="1567" t="s">
        <v>8</v>
      </c>
      <c r="W11" s="1568" t="e">
        <f t="shared" si="2"/>
        <v>#N/A</v>
      </c>
      <c r="X11" s="1569"/>
      <c r="Y11" s="3380"/>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423"/>
      <c r="Q12" s="1150">
        <f t="shared" si="6"/>
        <v>111</v>
      </c>
      <c r="R12" s="1567" t="s">
        <v>8</v>
      </c>
      <c r="S12" s="1568">
        <f t="shared" si="0"/>
        <v>100</v>
      </c>
      <c r="T12" s="1567" t="s">
        <v>8</v>
      </c>
      <c r="U12" s="1568">
        <f t="shared" si="1"/>
        <v>100</v>
      </c>
      <c r="V12" s="1567" t="s">
        <v>8</v>
      </c>
      <c r="W12" s="1568">
        <f t="shared" si="2"/>
        <v>100</v>
      </c>
      <c r="X12" s="1569"/>
      <c r="Y12" s="3380"/>
      <c r="Z12" s="1149">
        <f t="shared" si="7"/>
        <v>111</v>
      </c>
      <c r="AA12" s="1570">
        <f>D12/F12</f>
        <v>1</v>
      </c>
      <c r="AB12" s="1570">
        <f>D12/H12</f>
        <v>1</v>
      </c>
      <c r="AC12" s="1570">
        <f>D12/J12</f>
        <v>1</v>
      </c>
    </row>
    <row r="13" spans="1:29" ht="15">
      <c r="A13" s="2894"/>
      <c r="B13" s="2900">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423"/>
      <c r="Q13" s="1150">
        <f t="shared" si="6"/>
        <v>111</v>
      </c>
      <c r="R13" s="1567" t="s">
        <v>8</v>
      </c>
      <c r="S13" s="1568">
        <f t="shared" si="0"/>
        <v>100</v>
      </c>
      <c r="T13" s="1567" t="s">
        <v>8</v>
      </c>
      <c r="U13" s="1568">
        <f t="shared" si="1"/>
        <v>100</v>
      </c>
      <c r="V13" s="1567" t="s">
        <v>8</v>
      </c>
      <c r="W13" s="1568">
        <f t="shared" si="2"/>
        <v>100</v>
      </c>
      <c r="X13" s="1569"/>
      <c r="Y13" s="3380"/>
      <c r="Z13" s="1149">
        <f t="shared" si="7"/>
        <v>111</v>
      </c>
      <c r="AA13" s="1570">
        <f t="shared" si="3"/>
        <v>1</v>
      </c>
      <c r="AB13" s="1570">
        <f t="shared" si="4"/>
        <v>1</v>
      </c>
      <c r="AC13" s="1570">
        <f t="shared" si="5"/>
        <v>1</v>
      </c>
    </row>
    <row r="14" spans="1:29" ht="15.75" thickBot="1">
      <c r="A14" s="2895"/>
      <c r="B14" s="2901">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423"/>
      <c r="Q14" s="1150">
        <f t="shared" si="6"/>
        <v>111</v>
      </c>
      <c r="R14" s="1567" t="s">
        <v>8</v>
      </c>
      <c r="S14" s="1568">
        <f t="shared" si="0"/>
        <v>100</v>
      </c>
      <c r="T14" s="1567" t="s">
        <v>8</v>
      </c>
      <c r="U14" s="1568">
        <f t="shared" si="1"/>
        <v>100</v>
      </c>
      <c r="V14" s="1567" t="s">
        <v>8</v>
      </c>
      <c r="W14" s="1568">
        <f t="shared" si="2"/>
        <v>100</v>
      </c>
      <c r="X14" s="1569"/>
      <c r="Y14" s="3380"/>
      <c r="Z14" s="1149">
        <f t="shared" si="7"/>
        <v>111</v>
      </c>
      <c r="AA14" s="1570">
        <f t="shared" si="3"/>
        <v>1</v>
      </c>
      <c r="AB14" s="1570">
        <f t="shared" si="4"/>
        <v>1</v>
      </c>
      <c r="AC14" s="1570">
        <f t="shared" si="5"/>
        <v>1</v>
      </c>
    </row>
    <row r="15" spans="1:29" ht="71.25">
      <c r="A15" s="2887" t="s">
        <v>2754</v>
      </c>
      <c r="B15" s="547" t="s">
        <v>541</v>
      </c>
      <c r="C15" s="548" t="str">
        <f>估价对象房地状况!C5</f>
        <v>估价对象位于XX商圈，周边办公楼项目较多，入驻率高，办公集聚程度一般</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25" t="s">
        <v>539</v>
      </c>
      <c r="Q15" s="1571" t="str">
        <f t="shared" si="6"/>
        <v>办公集聚程度</v>
      </c>
      <c r="R15" s="1572" t="s">
        <v>8</v>
      </c>
      <c r="S15" s="1573">
        <f t="shared" si="0"/>
        <v>100</v>
      </c>
      <c r="T15" s="1572" t="s">
        <v>8</v>
      </c>
      <c r="U15" s="1573">
        <f t="shared" si="1"/>
        <v>100</v>
      </c>
      <c r="V15" s="1572" t="s">
        <v>8</v>
      </c>
      <c r="W15" s="1573">
        <f t="shared" si="2"/>
        <v>100</v>
      </c>
      <c r="X15" s="1566"/>
      <c r="Y15" s="3425"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426"/>
      <c r="Q16" s="1571"/>
      <c r="R16" s="1572"/>
      <c r="S16" s="1573"/>
      <c r="T16" s="1572"/>
      <c r="U16" s="1573"/>
      <c r="V16" s="1572"/>
      <c r="W16" s="1573"/>
      <c r="X16" s="1566"/>
      <c r="Y16" s="3426"/>
      <c r="Z16" s="1574"/>
      <c r="AA16" s="1575">
        <v>1</v>
      </c>
      <c r="AB16" s="1575">
        <v>1</v>
      </c>
      <c r="AC16" s="1575">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26"/>
      <c r="Q17" s="1571" t="str">
        <f>B17</f>
        <v>交通便捷度</v>
      </c>
      <c r="R17" s="1572" t="s">
        <v>8</v>
      </c>
      <c r="S17" s="1573">
        <f>F17</f>
        <v>100</v>
      </c>
      <c r="T17" s="1572" t="s">
        <v>8</v>
      </c>
      <c r="U17" s="1573">
        <f>H17</f>
        <v>100</v>
      </c>
      <c r="V17" s="1572" t="s">
        <v>8</v>
      </c>
      <c r="W17" s="1573">
        <f>J17</f>
        <v>100</v>
      </c>
      <c r="X17" s="1566"/>
      <c r="Y17" s="3426"/>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426"/>
      <c r="Q18" s="1571"/>
      <c r="R18" s="1572"/>
      <c r="S18" s="1573"/>
      <c r="T18" s="1572"/>
      <c r="U18" s="1573"/>
      <c r="V18" s="1572"/>
      <c r="W18" s="1573"/>
      <c r="X18" s="1566"/>
      <c r="Y18" s="3426"/>
      <c r="Z18" s="1574"/>
      <c r="AA18" s="1575">
        <v>1</v>
      </c>
      <c r="AB18" s="1575">
        <v>1</v>
      </c>
      <c r="AC18" s="1575">
        <v>1</v>
      </c>
    </row>
    <row r="19" spans="1:29" ht="42.75">
      <c r="A19" s="532"/>
      <c r="B19" s="2581"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26"/>
      <c r="Q19" s="1571" t="str">
        <f>B19</f>
        <v>公共配套设施</v>
      </c>
      <c r="R19" s="1572" t="s">
        <v>8</v>
      </c>
      <c r="S19" s="1573">
        <f>F19</f>
        <v>100</v>
      </c>
      <c r="T19" s="1572" t="s">
        <v>8</v>
      </c>
      <c r="U19" s="1573">
        <f>H19</f>
        <v>100</v>
      </c>
      <c r="V19" s="1572" t="s">
        <v>8</v>
      </c>
      <c r="W19" s="1573">
        <f>J19</f>
        <v>100</v>
      </c>
      <c r="X19" s="1566"/>
      <c r="Y19" s="3426"/>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426"/>
      <c r="Q20" s="1571"/>
      <c r="R20" s="1572"/>
      <c r="S20" s="1573"/>
      <c r="T20" s="1572"/>
      <c r="U20" s="1573"/>
      <c r="V20" s="1572"/>
      <c r="W20" s="1573"/>
      <c r="X20" s="1566"/>
      <c r="Y20" s="3426"/>
      <c r="Z20" s="1574"/>
      <c r="AA20" s="1575">
        <v>1</v>
      </c>
      <c r="AB20" s="1575">
        <v>1</v>
      </c>
      <c r="AC20" s="1575">
        <v>1</v>
      </c>
    </row>
    <row r="21" spans="1:29" ht="28.5">
      <c r="A21" s="532"/>
      <c r="B21" s="2569"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26"/>
      <c r="Q21" s="2557" t="str">
        <f>B21</f>
        <v>基础设施水平</v>
      </c>
      <c r="R21" s="1572" t="s">
        <v>8</v>
      </c>
      <c r="S21" s="1573">
        <f>F21</f>
        <v>100</v>
      </c>
      <c r="T21" s="1572" t="s">
        <v>8</v>
      </c>
      <c r="U21" s="1573">
        <f>H21</f>
        <v>100</v>
      </c>
      <c r="V21" s="1572" t="s">
        <v>8</v>
      </c>
      <c r="W21" s="1573">
        <f>J21</f>
        <v>100</v>
      </c>
      <c r="X21" s="2559"/>
      <c r="Y21" s="3426"/>
      <c r="Z21" s="2558"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580"/>
      <c r="L22" s="2141"/>
      <c r="M22" s="2133"/>
      <c r="N22" s="2133"/>
      <c r="O22" s="2133"/>
      <c r="P22" s="3426"/>
      <c r="Q22" s="2557"/>
      <c r="R22" s="1572"/>
      <c r="S22" s="1573"/>
      <c r="T22" s="1572"/>
      <c r="U22" s="1573"/>
      <c r="V22" s="1572"/>
      <c r="W22" s="1573"/>
      <c r="X22" s="2559"/>
      <c r="Y22" s="3426"/>
      <c r="Z22" s="2558"/>
      <c r="AA22" s="1575">
        <v>1</v>
      </c>
      <c r="AB22" s="1575">
        <v>1</v>
      </c>
      <c r="AC22" s="1575">
        <v>1</v>
      </c>
    </row>
    <row r="23" spans="1:29" ht="57">
      <c r="A23" s="532"/>
      <c r="B23" s="560" t="s">
        <v>777</v>
      </c>
      <c r="C23" s="573" t="str">
        <f>估价对象房地状况!C9</f>
        <v>区域自然环境：；人文环境；综合评价环境状况较好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26"/>
      <c r="Q23" s="1571" t="str">
        <f>B23</f>
        <v>环境质量</v>
      </c>
      <c r="R23" s="1572" t="s">
        <v>8</v>
      </c>
      <c r="S23" s="1573">
        <f>F23</f>
        <v>100</v>
      </c>
      <c r="T23" s="1572" t="s">
        <v>8</v>
      </c>
      <c r="U23" s="1573">
        <f>H23</f>
        <v>100</v>
      </c>
      <c r="V23" s="1572" t="s">
        <v>8</v>
      </c>
      <c r="W23" s="1573">
        <f>J23</f>
        <v>100</v>
      </c>
      <c r="X23" s="1566"/>
      <c r="Y23" s="3426"/>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426"/>
      <c r="Q24" s="1571"/>
      <c r="R24" s="1572"/>
      <c r="S24" s="1573"/>
      <c r="T24" s="1572"/>
      <c r="U24" s="1573"/>
      <c r="V24" s="1572"/>
      <c r="W24" s="1573"/>
      <c r="X24" s="1566"/>
      <c r="Y24" s="3426"/>
      <c r="Z24" s="1574"/>
      <c r="AA24" s="1575">
        <v>1</v>
      </c>
      <c r="AB24" s="1575">
        <v>1</v>
      </c>
      <c r="AC24" s="1575">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26"/>
      <c r="Q25" s="1571" t="str">
        <f>B25</f>
        <v>毗邻道路的类型与等级</v>
      </c>
      <c r="R25" s="1572" t="s">
        <v>8</v>
      </c>
      <c r="S25" s="1573">
        <f>F25</f>
        <v>100</v>
      </c>
      <c r="T25" s="1572" t="s">
        <v>8</v>
      </c>
      <c r="U25" s="1573">
        <f>H25</f>
        <v>100</v>
      </c>
      <c r="V25" s="1572" t="s">
        <v>8</v>
      </c>
      <c r="W25" s="1573">
        <f>J25</f>
        <v>100</v>
      </c>
      <c r="X25" s="1566"/>
      <c r="Y25" s="3426"/>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426"/>
      <c r="Q26" s="1571"/>
      <c r="R26" s="1572"/>
      <c r="S26" s="1573"/>
      <c r="T26" s="1572"/>
      <c r="U26" s="1573"/>
      <c r="V26" s="1572"/>
      <c r="W26" s="1573"/>
      <c r="X26" s="1566"/>
      <c r="Y26" s="3426"/>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26"/>
      <c r="Q27" s="1571" t="str">
        <f t="shared" ref="Q27:Q47" si="11">B27</f>
        <v>楼层</v>
      </c>
      <c r="R27" s="1572" t="s">
        <v>8</v>
      </c>
      <c r="S27" s="1573">
        <f>F27</f>
        <v>100</v>
      </c>
      <c r="T27" s="1572" t="s">
        <v>8</v>
      </c>
      <c r="U27" s="1573">
        <f>H27</f>
        <v>100</v>
      </c>
      <c r="V27" s="1572" t="s">
        <v>8</v>
      </c>
      <c r="W27" s="1573">
        <f>J27</f>
        <v>100</v>
      </c>
      <c r="X27" s="1566"/>
      <c r="Y27" s="3426"/>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26"/>
      <c r="Q28" s="1150" t="str">
        <f t="shared" si="11"/>
        <v>朝向</v>
      </c>
      <c r="R28" s="1567" t="s">
        <v>8</v>
      </c>
      <c r="S28" s="1568">
        <f>F28</f>
        <v>100</v>
      </c>
      <c r="T28" s="1567" t="s">
        <v>8</v>
      </c>
      <c r="U28" s="1568">
        <f>H28</f>
        <v>100</v>
      </c>
      <c r="V28" s="1567" t="s">
        <v>8</v>
      </c>
      <c r="W28" s="1568">
        <f>J28</f>
        <v>100</v>
      </c>
      <c r="X28" s="1569"/>
      <c r="Y28" s="3426"/>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26"/>
      <c r="Q29" s="1571">
        <f t="shared" si="11"/>
        <v>111</v>
      </c>
      <c r="R29" s="1572" t="s">
        <v>8</v>
      </c>
      <c r="S29" s="1573">
        <f t="shared" ref="S29:S47" si="12">F29</f>
        <v>100</v>
      </c>
      <c r="T29" s="1572" t="s">
        <v>8</v>
      </c>
      <c r="U29" s="1573">
        <f t="shared" ref="U29:U47" si="13">H29</f>
        <v>100</v>
      </c>
      <c r="V29" s="1572" t="s">
        <v>8</v>
      </c>
      <c r="W29" s="1573">
        <f t="shared" ref="W29:W47" si="14">J29</f>
        <v>100</v>
      </c>
      <c r="X29" s="1566"/>
      <c r="Y29" s="3426"/>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26"/>
      <c r="Q30" s="1571">
        <f t="shared" si="11"/>
        <v>111</v>
      </c>
      <c r="R30" s="1572" t="s">
        <v>8</v>
      </c>
      <c r="S30" s="1573">
        <f t="shared" si="12"/>
        <v>100</v>
      </c>
      <c r="T30" s="1572" t="s">
        <v>8</v>
      </c>
      <c r="U30" s="1573">
        <f t="shared" si="13"/>
        <v>100</v>
      </c>
      <c r="V30" s="1572" t="s">
        <v>8</v>
      </c>
      <c r="W30" s="1573">
        <f t="shared" si="14"/>
        <v>100</v>
      </c>
      <c r="X30" s="1566"/>
      <c r="Y30" s="3426"/>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26"/>
      <c r="Q31" s="1571">
        <f t="shared" si="11"/>
        <v>111</v>
      </c>
      <c r="R31" s="1572" t="s">
        <v>8</v>
      </c>
      <c r="S31" s="1573">
        <f t="shared" si="12"/>
        <v>100</v>
      </c>
      <c r="T31" s="1572" t="s">
        <v>8</v>
      </c>
      <c r="U31" s="1573">
        <f t="shared" si="13"/>
        <v>100</v>
      </c>
      <c r="V31" s="1572" t="s">
        <v>8</v>
      </c>
      <c r="W31" s="1573">
        <f t="shared" si="14"/>
        <v>100</v>
      </c>
      <c r="X31" s="1566"/>
      <c r="Y31" s="3426"/>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26"/>
      <c r="Q32" s="1571">
        <f t="shared" si="11"/>
        <v>111</v>
      </c>
      <c r="R32" s="1572" t="s">
        <v>8</v>
      </c>
      <c r="S32" s="1573">
        <f t="shared" si="12"/>
        <v>100</v>
      </c>
      <c r="T32" s="1572" t="s">
        <v>8</v>
      </c>
      <c r="U32" s="1573">
        <f t="shared" si="13"/>
        <v>100</v>
      </c>
      <c r="V32" s="1572" t="s">
        <v>8</v>
      </c>
      <c r="W32" s="1573">
        <f t="shared" si="14"/>
        <v>100</v>
      </c>
      <c r="X32" s="1566"/>
      <c r="Y32" s="3426"/>
      <c r="Z32" s="1574">
        <f t="shared" si="15"/>
        <v>111</v>
      </c>
      <c r="AA32" s="1575">
        <f t="shared" si="3"/>
        <v>1</v>
      </c>
      <c r="AB32" s="1575">
        <f t="shared" si="4"/>
        <v>1</v>
      </c>
      <c r="AC32" s="1575">
        <f t="shared" si="5"/>
        <v>1</v>
      </c>
    </row>
    <row r="33" spans="1:29" ht="15">
      <c r="A33" s="2884" t="s">
        <v>2755</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27" t="s">
        <v>549</v>
      </c>
      <c r="Q33" s="1571" t="str">
        <f t="shared" si="11"/>
        <v>建筑类型</v>
      </c>
      <c r="R33" s="1572" t="s">
        <v>8</v>
      </c>
      <c r="S33" s="1573">
        <f t="shared" si="12"/>
        <v>100</v>
      </c>
      <c r="T33" s="1572" t="s">
        <v>8</v>
      </c>
      <c r="U33" s="1573">
        <f t="shared" si="13"/>
        <v>100</v>
      </c>
      <c r="V33" s="1572" t="s">
        <v>8</v>
      </c>
      <c r="W33" s="1573">
        <f t="shared" si="14"/>
        <v>100</v>
      </c>
      <c r="X33" s="1566"/>
      <c r="Y33" s="3428" t="s">
        <v>549</v>
      </c>
      <c r="Z33" s="1574" t="str">
        <f t="shared" si="15"/>
        <v>建筑类型</v>
      </c>
      <c r="AA33" s="1575">
        <f t="shared" si="3"/>
        <v>1</v>
      </c>
      <c r="AB33" s="1575">
        <f t="shared" si="4"/>
        <v>1</v>
      </c>
      <c r="AC33" s="1575">
        <f t="shared" si="5"/>
        <v>1</v>
      </c>
    </row>
    <row r="34" spans="1:29" s="1338"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8"/>
      <c r="Q34" s="1604" t="str">
        <f t="shared" si="11"/>
        <v>项目建筑规模</v>
      </c>
      <c r="R34" s="1576" t="s">
        <v>8</v>
      </c>
      <c r="S34" s="1577" t="e">
        <f t="shared" si="12"/>
        <v>#N/A</v>
      </c>
      <c r="T34" s="1576" t="s">
        <v>8</v>
      </c>
      <c r="U34" s="1577" t="e">
        <f t="shared" si="13"/>
        <v>#N/A</v>
      </c>
      <c r="V34" s="1576" t="s">
        <v>8</v>
      </c>
      <c r="W34" s="1577" t="e">
        <f t="shared" si="14"/>
        <v>#N/A</v>
      </c>
      <c r="X34" s="1578"/>
      <c r="Y34" s="3428"/>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8"/>
      <c r="Q35" s="1571" t="str">
        <f t="shared" si="11"/>
        <v>建筑结构</v>
      </c>
      <c r="R35" s="1572" t="s">
        <v>8</v>
      </c>
      <c r="S35" s="1573">
        <f t="shared" si="12"/>
        <v>100</v>
      </c>
      <c r="T35" s="1572" t="s">
        <v>8</v>
      </c>
      <c r="U35" s="1573">
        <f t="shared" si="13"/>
        <v>100</v>
      </c>
      <c r="V35" s="1572" t="s">
        <v>8</v>
      </c>
      <c r="W35" s="1573">
        <f t="shared" si="14"/>
        <v>100</v>
      </c>
      <c r="X35" s="1566"/>
      <c r="Y35" s="3428"/>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8"/>
      <c r="Q36" s="1571" t="str">
        <f t="shared" si="11"/>
        <v>公共部分装修</v>
      </c>
      <c r="R36" s="1572" t="s">
        <v>8</v>
      </c>
      <c r="S36" s="1573">
        <f t="shared" si="12"/>
        <v>100</v>
      </c>
      <c r="T36" s="1572" t="s">
        <v>8</v>
      </c>
      <c r="U36" s="1573">
        <f t="shared" si="13"/>
        <v>100</v>
      </c>
      <c r="V36" s="1572" t="s">
        <v>8</v>
      </c>
      <c r="W36" s="1573">
        <f t="shared" si="14"/>
        <v>100</v>
      </c>
      <c r="X36" s="1566"/>
      <c r="Y36" s="3428"/>
      <c r="Z36" s="1574" t="str">
        <f t="shared" si="15"/>
        <v>公共部分装修</v>
      </c>
      <c r="AA36" s="1575">
        <f t="shared" si="3"/>
        <v>1</v>
      </c>
      <c r="AB36" s="1575">
        <f t="shared" si="4"/>
        <v>1</v>
      </c>
      <c r="AC36" s="1575">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28"/>
      <c r="Q37" s="1571" t="str">
        <f t="shared" si="11"/>
        <v>成新度</v>
      </c>
      <c r="R37" s="1572" t="s">
        <v>8</v>
      </c>
      <c r="S37" s="1573" t="e">
        <f t="shared" si="12"/>
        <v>#N/A</v>
      </c>
      <c r="T37" s="1572" t="s">
        <v>8</v>
      </c>
      <c r="U37" s="1573" t="e">
        <f t="shared" si="13"/>
        <v>#N/A</v>
      </c>
      <c r="V37" s="1572" t="s">
        <v>8</v>
      </c>
      <c r="W37" s="1573" t="e">
        <f t="shared" si="14"/>
        <v>#N/A</v>
      </c>
      <c r="X37" s="1566"/>
      <c r="Y37" s="3428"/>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8"/>
      <c r="Q38" s="1150" t="str">
        <f t="shared" si="11"/>
        <v>写字楼等级</v>
      </c>
      <c r="R38" s="1567" t="s">
        <v>8</v>
      </c>
      <c r="S38" s="1568">
        <f t="shared" si="12"/>
        <v>100</v>
      </c>
      <c r="T38" s="1567" t="s">
        <v>8</v>
      </c>
      <c r="U38" s="1568">
        <f t="shared" si="13"/>
        <v>100</v>
      </c>
      <c r="V38" s="1567" t="s">
        <v>8</v>
      </c>
      <c r="W38" s="1568">
        <f t="shared" si="14"/>
        <v>100</v>
      </c>
      <c r="X38" s="1569"/>
      <c r="Y38" s="3428"/>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8" t="s">
        <v>549</v>
      </c>
      <c r="Q39" s="1571" t="str">
        <f t="shared" si="11"/>
        <v>物业管理</v>
      </c>
      <c r="R39" s="1572" t="s">
        <v>8</v>
      </c>
      <c r="S39" s="1573">
        <f t="shared" si="12"/>
        <v>100</v>
      </c>
      <c r="T39" s="1572" t="s">
        <v>8</v>
      </c>
      <c r="U39" s="1573">
        <f t="shared" si="13"/>
        <v>100</v>
      </c>
      <c r="V39" s="1572" t="s">
        <v>8</v>
      </c>
      <c r="W39" s="1573">
        <f t="shared" si="14"/>
        <v>100</v>
      </c>
      <c r="X39" s="1566"/>
      <c r="Y39" s="3428" t="s">
        <v>549</v>
      </c>
      <c r="Z39" s="1574" t="str">
        <f t="shared" si="15"/>
        <v>物业管理</v>
      </c>
      <c r="AA39" s="1575">
        <f t="shared" si="3"/>
        <v>1</v>
      </c>
      <c r="AB39" s="1575">
        <f t="shared" si="4"/>
        <v>1</v>
      </c>
      <c r="AC39" s="1575">
        <f t="shared" si="5"/>
        <v>1</v>
      </c>
    </row>
    <row r="40" spans="1:29" ht="15">
      <c r="A40" s="594"/>
      <c r="B40" s="1894"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8"/>
      <c r="Q40" s="1571" t="str">
        <f t="shared" si="11"/>
        <v>市政基础设施</v>
      </c>
      <c r="R40" s="1572" t="s">
        <v>8</v>
      </c>
      <c r="S40" s="1573">
        <f t="shared" si="12"/>
        <v>100</v>
      </c>
      <c r="T40" s="1572" t="s">
        <v>8</v>
      </c>
      <c r="U40" s="1573">
        <f t="shared" si="13"/>
        <v>100</v>
      </c>
      <c r="V40" s="1572" t="s">
        <v>8</v>
      </c>
      <c r="W40" s="1573">
        <f t="shared" si="14"/>
        <v>100</v>
      </c>
      <c r="X40" s="1566"/>
      <c r="Y40" s="3428"/>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8"/>
      <c r="Q41" s="1571" t="str">
        <f t="shared" si="11"/>
        <v>层高</v>
      </c>
      <c r="R41" s="1572" t="s">
        <v>8</v>
      </c>
      <c r="S41" s="1573">
        <f t="shared" si="12"/>
        <v>100</v>
      </c>
      <c r="T41" s="1572" t="s">
        <v>8</v>
      </c>
      <c r="U41" s="1573">
        <f t="shared" si="13"/>
        <v>100</v>
      </c>
      <c r="V41" s="1572" t="s">
        <v>8</v>
      </c>
      <c r="W41" s="1573">
        <f t="shared" si="14"/>
        <v>100</v>
      </c>
      <c r="X41" s="1566"/>
      <c r="Y41" s="3428"/>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8"/>
      <c r="Q42" s="1604" t="str">
        <f t="shared" si="11"/>
        <v>单套建筑面积</v>
      </c>
      <c r="R42" s="1576" t="s">
        <v>8</v>
      </c>
      <c r="S42" s="1577">
        <f t="shared" si="12"/>
        <v>100</v>
      </c>
      <c r="T42" s="1576" t="s">
        <v>8</v>
      </c>
      <c r="U42" s="1577">
        <f t="shared" si="13"/>
        <v>100</v>
      </c>
      <c r="V42" s="1576" t="s">
        <v>8</v>
      </c>
      <c r="W42" s="1577">
        <f t="shared" si="14"/>
        <v>100</v>
      </c>
      <c r="X42" s="1578"/>
      <c r="Y42" s="3428"/>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8"/>
      <c r="Q43" s="1571" t="str">
        <f t="shared" si="11"/>
        <v>内部装修</v>
      </c>
      <c r="R43" s="1572" t="s">
        <v>8</v>
      </c>
      <c r="S43" s="1573">
        <f t="shared" si="12"/>
        <v>100</v>
      </c>
      <c r="T43" s="1572" t="s">
        <v>8</v>
      </c>
      <c r="U43" s="1573">
        <f t="shared" si="13"/>
        <v>100</v>
      </c>
      <c r="V43" s="1572" t="s">
        <v>8</v>
      </c>
      <c r="W43" s="1573">
        <f t="shared" si="14"/>
        <v>100</v>
      </c>
      <c r="X43" s="1566"/>
      <c r="Y43" s="3428"/>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8"/>
      <c r="Q44" s="1571" t="str">
        <f t="shared" si="11"/>
        <v>内部装修维护情况</v>
      </c>
      <c r="R44" s="1572" t="s">
        <v>8</v>
      </c>
      <c r="S44" s="1573">
        <f t="shared" si="12"/>
        <v>100</v>
      </c>
      <c r="T44" s="1572" t="s">
        <v>8</v>
      </c>
      <c r="U44" s="1573">
        <f t="shared" si="13"/>
        <v>100</v>
      </c>
      <c r="V44" s="1572" t="s">
        <v>8</v>
      </c>
      <c r="W44" s="1573">
        <f t="shared" si="14"/>
        <v>100</v>
      </c>
      <c r="X44" s="1566"/>
      <c r="Y44" s="3428"/>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8"/>
      <c r="Q45" s="1150">
        <f t="shared" si="11"/>
        <v>111</v>
      </c>
      <c r="R45" s="1567" t="s">
        <v>8</v>
      </c>
      <c r="S45" s="1568">
        <f t="shared" si="12"/>
        <v>100</v>
      </c>
      <c r="T45" s="1567" t="s">
        <v>8</v>
      </c>
      <c r="U45" s="1568">
        <f t="shared" si="13"/>
        <v>100</v>
      </c>
      <c r="V45" s="1567" t="s">
        <v>8</v>
      </c>
      <c r="W45" s="1568">
        <f t="shared" si="14"/>
        <v>100</v>
      </c>
      <c r="X45" s="1569"/>
      <c r="Y45" s="3428"/>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8"/>
      <c r="Q46" s="1571">
        <f t="shared" si="11"/>
        <v>111</v>
      </c>
      <c r="R46" s="1572" t="s">
        <v>8</v>
      </c>
      <c r="S46" s="1573">
        <f t="shared" si="12"/>
        <v>100</v>
      </c>
      <c r="T46" s="1572" t="s">
        <v>8</v>
      </c>
      <c r="U46" s="1573">
        <f t="shared" si="13"/>
        <v>100</v>
      </c>
      <c r="V46" s="1572" t="s">
        <v>8</v>
      </c>
      <c r="W46" s="1573">
        <f t="shared" si="14"/>
        <v>100</v>
      </c>
      <c r="X46" s="1566"/>
      <c r="Y46" s="3428"/>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11"/>
      <c r="Q47" s="1571">
        <f t="shared" si="11"/>
        <v>111</v>
      </c>
      <c r="R47" s="1572" t="s">
        <v>8</v>
      </c>
      <c r="S47" s="1573">
        <f t="shared" si="12"/>
        <v>100</v>
      </c>
      <c r="T47" s="1572" t="s">
        <v>8</v>
      </c>
      <c r="U47" s="1573">
        <f t="shared" si="13"/>
        <v>100</v>
      </c>
      <c r="V47" s="1572" t="s">
        <v>8</v>
      </c>
      <c r="W47" s="1573">
        <f t="shared" si="14"/>
        <v>100</v>
      </c>
      <c r="X47" s="1566"/>
      <c r="Y47" s="3511"/>
      <c r="Z47" s="1574">
        <f t="shared" si="15"/>
        <v>111</v>
      </c>
      <c r="AA47" s="1575">
        <f t="shared" si="3"/>
        <v>1</v>
      </c>
      <c r="AB47" s="1575">
        <f t="shared" si="4"/>
        <v>1</v>
      </c>
      <c r="AC47" s="1575">
        <f t="shared" si="5"/>
        <v>1</v>
      </c>
    </row>
    <row r="48" spans="1:29" ht="15">
      <c r="A48" s="607" t="s">
        <v>735</v>
      </c>
      <c r="B48" s="886"/>
      <c r="C48" s="2605" t="s">
        <v>1</v>
      </c>
      <c r="D48" s="2606"/>
      <c r="E48" s="2607"/>
      <c r="F48" s="2608"/>
      <c r="G48" s="2609"/>
      <c r="H48" s="2610"/>
      <c r="I48" s="2607"/>
      <c r="J48" s="2610"/>
      <c r="K48" s="1610"/>
      <c r="L48" s="2143"/>
      <c r="M48" s="2133"/>
      <c r="N48" s="2133"/>
      <c r="O48" s="2133"/>
      <c r="P48" s="3445" t="str">
        <f>A48</f>
        <v>成交单价（元/平方米）</v>
      </c>
      <c r="Q48" s="3423"/>
      <c r="R48" s="3510">
        <f>E48</f>
        <v>0</v>
      </c>
      <c r="S48" s="3510"/>
      <c r="T48" s="3510">
        <f>G48</f>
        <v>0</v>
      </c>
      <c r="U48" s="3510"/>
      <c r="V48" s="3510">
        <f>I48</f>
        <v>0</v>
      </c>
      <c r="W48" s="3510"/>
      <c r="X48" s="1558"/>
      <c r="Y48" s="1580"/>
      <c r="Z48" s="1558"/>
      <c r="AA48" s="1558"/>
      <c r="AB48" s="1558"/>
      <c r="AC48" s="1558"/>
    </row>
    <row r="49" spans="1:29" ht="15.75" thickBot="1">
      <c r="A49" s="615" t="s">
        <v>2760</v>
      </c>
      <c r="B49" s="887"/>
      <c r="C49" s="2611" t="e">
        <f>R50</f>
        <v>#DIV/0!</v>
      </c>
      <c r="D49" s="2612"/>
      <c r="E49" s="2613" t="e">
        <f>R49</f>
        <v>#DIV/0!</v>
      </c>
      <c r="F49" s="2613"/>
      <c r="G49" s="2611" t="e">
        <f>T49</f>
        <v>#DIV/0!</v>
      </c>
      <c r="H49" s="2612"/>
      <c r="I49" s="2613" t="e">
        <f>V49</f>
        <v>#DIV/0!</v>
      </c>
      <c r="J49" s="2612"/>
      <c r="K49" s="1611"/>
      <c r="L49" s="2143"/>
      <c r="M49" s="2133"/>
      <c r="N49" s="2133"/>
      <c r="O49" s="2133"/>
      <c r="P49" s="3445" t="str">
        <f>A49</f>
        <v>比较价格（元/平方米）</v>
      </c>
      <c r="Q49" s="3423"/>
      <c r="R49" s="3510" t="e">
        <f>IF(F1="售价",ROUND(PRODUCT(R48,AA7:AA47),0),ROUND(PRODUCT(R48,AA7:AA47),1))</f>
        <v>#DIV/0!</v>
      </c>
      <c r="S49" s="3510"/>
      <c r="T49" s="3510" t="e">
        <f>IF(F1="售价",ROUND(PRODUCT(T48,AB7:AB47),0),ROUND(PRODUCT(T48,AB7:AB47),1))</f>
        <v>#DIV/0!</v>
      </c>
      <c r="U49" s="3510"/>
      <c r="V49" s="3510" t="e">
        <f>IF(F1="售价",ROUND(PRODUCT(V48,AC7:AC47),0),ROUND(PRODUCT(V48,AC7:AC47),1))</f>
        <v>#DIV/0!</v>
      </c>
      <c r="W49" s="3510"/>
      <c r="X49" s="1558"/>
      <c r="Y49" s="1558"/>
      <c r="Z49" s="1558"/>
      <c r="AA49" s="1558"/>
      <c r="AB49" s="1558"/>
      <c r="AC49" s="1558"/>
    </row>
    <row r="50" spans="1:29" ht="15.75" thickBot="1">
      <c r="A50" s="621" t="s">
        <v>2931</v>
      </c>
      <c r="B50" s="622"/>
      <c r="C50" s="2614" t="e">
        <f>R50</f>
        <v>#DIV/0!</v>
      </c>
      <c r="D50" s="2614"/>
      <c r="E50" s="2614"/>
      <c r="F50" s="2614"/>
      <c r="G50" s="2614"/>
      <c r="H50" s="2614"/>
      <c r="I50" s="2614"/>
      <c r="J50" s="2614"/>
      <c r="K50" s="1612"/>
      <c r="L50" s="2143"/>
      <c r="M50" s="2133"/>
      <c r="N50" s="2133"/>
      <c r="O50" s="2133"/>
      <c r="P50" s="3531" t="str">
        <f>A50</f>
        <v>估价对象XX用房的比较价格（楼面单价，元/平方米）</v>
      </c>
      <c r="Q50" s="3445"/>
      <c r="R50" s="3509" t="e">
        <f>IF(F1="售价",ROUND(AVERAGE(R49:V49),0),ROUND(AVERAGE(R49:V49),1))</f>
        <v>#DIV/0!</v>
      </c>
      <c r="S50" s="3509"/>
      <c r="T50" s="3509"/>
      <c r="U50" s="3509"/>
      <c r="V50" s="3509"/>
      <c r="W50" s="3509"/>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573</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528</v>
      </c>
      <c r="B59" s="646"/>
      <c r="C59" s="2779" t="str">
        <f>YEAR(C7)&amp;"-"&amp;MONTH(C7)</f>
        <v>2019-3</v>
      </c>
      <c r="D59" s="2781">
        <f>EDATE(C59,-1)</f>
        <v>43497</v>
      </c>
      <c r="E59" s="2781">
        <f t="shared" ref="E59:O59" si="16">EDATE(D59,-1)</f>
        <v>43466</v>
      </c>
      <c r="F59" s="2781">
        <f t="shared" si="16"/>
        <v>43435</v>
      </c>
      <c r="G59" s="2781">
        <f t="shared" si="16"/>
        <v>43405</v>
      </c>
      <c r="H59" s="2781">
        <f t="shared" si="16"/>
        <v>43374</v>
      </c>
      <c r="I59" s="2781">
        <f t="shared" si="16"/>
        <v>43344</v>
      </c>
      <c r="J59" s="2781">
        <f t="shared" si="16"/>
        <v>43313</v>
      </c>
      <c r="K59" s="2781">
        <f t="shared" si="16"/>
        <v>43282</v>
      </c>
      <c r="L59" s="2781">
        <f t="shared" si="16"/>
        <v>43252</v>
      </c>
      <c r="M59" s="2781">
        <f t="shared" si="16"/>
        <v>43221</v>
      </c>
      <c r="N59" s="2781">
        <f t="shared" si="16"/>
        <v>43191</v>
      </c>
      <c r="O59" s="2781">
        <f t="shared" si="16"/>
        <v>43160</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574</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530</v>
      </c>
      <c r="B62" s="648"/>
      <c r="C62" s="660" t="s">
        <v>575</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576</v>
      </c>
      <c r="B64" s="665" t="s">
        <v>533</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538</v>
      </c>
      <c r="B77" s="665" t="s">
        <v>584</v>
      </c>
      <c r="C77" s="703" t="s">
        <v>578</v>
      </c>
      <c r="D77" s="703" t="s">
        <v>579</v>
      </c>
      <c r="E77" s="703" t="s">
        <v>580</v>
      </c>
      <c r="F77" s="703" t="s">
        <v>581</v>
      </c>
      <c r="G77" s="703" t="s">
        <v>582</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585</v>
      </c>
      <c r="C79" s="708" t="s">
        <v>578</v>
      </c>
      <c r="D79" s="708" t="s">
        <v>579</v>
      </c>
      <c r="E79" s="708" t="s">
        <v>580</v>
      </c>
      <c r="F79" s="708" t="s">
        <v>581</v>
      </c>
      <c r="G79" s="708" t="s">
        <v>582</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2557</v>
      </c>
      <c r="C81" s="708" t="s">
        <v>578</v>
      </c>
      <c r="D81" s="708" t="s">
        <v>579</v>
      </c>
      <c r="E81" s="708" t="s">
        <v>580</v>
      </c>
      <c r="F81" s="708" t="s">
        <v>581</v>
      </c>
      <c r="G81" s="708" t="s">
        <v>582</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2558</v>
      </c>
      <c r="C83" s="2576" t="s">
        <v>2559</v>
      </c>
      <c r="D83" s="2576" t="s">
        <v>2560</v>
      </c>
      <c r="E83" s="2576" t="s">
        <v>2561</v>
      </c>
      <c r="F83" s="2576" t="s">
        <v>2562</v>
      </c>
      <c r="G83" s="2576" t="s">
        <v>2563</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783</v>
      </c>
      <c r="C85" s="708" t="s">
        <v>578</v>
      </c>
      <c r="D85" s="708" t="s">
        <v>579</v>
      </c>
      <c r="E85" s="708" t="s">
        <v>580</v>
      </c>
      <c r="F85" s="708" t="s">
        <v>581</v>
      </c>
      <c r="G85" s="708" t="s">
        <v>582</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784</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550</v>
      </c>
      <c r="B101" s="665" t="s">
        <v>746</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748</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750</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785</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752</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2556</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786</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774</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754</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784"/>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520</v>
      </c>
      <c r="B4" s="513"/>
      <c r="C4" s="3429" t="s">
        <v>521</v>
      </c>
      <c r="D4" s="3430"/>
      <c r="E4" s="3453" t="s">
        <v>522</v>
      </c>
      <c r="F4" s="3454"/>
      <c r="G4" s="3429" t="s">
        <v>523</v>
      </c>
      <c r="H4" s="3430"/>
      <c r="I4" s="3429" t="s">
        <v>524</v>
      </c>
      <c r="J4" s="3430"/>
      <c r="K4" s="514" t="s">
        <v>525</v>
      </c>
      <c r="L4" s="2132"/>
      <c r="M4" s="2133"/>
      <c r="N4" s="2133"/>
      <c r="O4" s="2133"/>
      <c r="P4" s="3431" t="s">
        <v>526</v>
      </c>
      <c r="Q4" s="3432"/>
      <c r="R4" s="3417" t="s">
        <v>522</v>
      </c>
      <c r="S4" s="3418"/>
      <c r="T4" s="3417" t="s">
        <v>523</v>
      </c>
      <c r="U4" s="3418"/>
      <c r="V4" s="3437" t="s">
        <v>524</v>
      </c>
      <c r="W4" s="3437"/>
      <c r="X4" s="1566"/>
      <c r="Y4" s="3417" t="s">
        <v>526</v>
      </c>
      <c r="Z4" s="3418"/>
      <c r="AA4" s="3412" t="s">
        <v>522</v>
      </c>
      <c r="AB4" s="3413" t="s">
        <v>523</v>
      </c>
      <c r="AC4" s="3412" t="s">
        <v>524</v>
      </c>
    </row>
    <row r="5" spans="1:29" ht="15">
      <c r="A5" s="515"/>
      <c r="B5" s="516"/>
      <c r="C5" s="3440" t="s">
        <v>2925</v>
      </c>
      <c r="D5" s="3441"/>
      <c r="E5" s="3455" t="s">
        <v>2926</v>
      </c>
      <c r="F5" s="3456"/>
      <c r="G5" s="3440" t="s">
        <v>2927</v>
      </c>
      <c r="H5" s="3441"/>
      <c r="I5" s="3440" t="s">
        <v>2928</v>
      </c>
      <c r="J5" s="3441"/>
      <c r="K5" s="514"/>
      <c r="L5" s="2132"/>
      <c r="M5" s="2133"/>
      <c r="N5" s="2133"/>
      <c r="O5" s="2133"/>
      <c r="P5" s="3433"/>
      <c r="Q5" s="3434"/>
      <c r="R5" s="3419"/>
      <c r="S5" s="3420"/>
      <c r="T5" s="3419"/>
      <c r="U5" s="3420"/>
      <c r="V5" s="3437"/>
      <c r="W5" s="3437"/>
      <c r="X5" s="1566"/>
      <c r="Y5" s="3419"/>
      <c r="Z5" s="3420"/>
      <c r="AA5" s="3413"/>
      <c r="AB5" s="3413"/>
      <c r="AC5" s="3413"/>
    </row>
    <row r="6" spans="1:29" ht="15.75" thickBot="1">
      <c r="A6" s="517"/>
      <c r="B6" s="518"/>
      <c r="C6" s="3438" t="s">
        <v>2929</v>
      </c>
      <c r="D6" s="3439"/>
      <c r="E6" s="3457" t="s">
        <v>2929</v>
      </c>
      <c r="F6" s="3458"/>
      <c r="G6" s="3438" t="s">
        <v>2929</v>
      </c>
      <c r="H6" s="3439"/>
      <c r="I6" s="3438" t="s">
        <v>2929</v>
      </c>
      <c r="J6" s="3439"/>
      <c r="K6" s="514" t="s">
        <v>527</v>
      </c>
      <c r="L6" s="2132"/>
      <c r="M6" s="2133"/>
      <c r="N6" s="2133"/>
      <c r="O6" s="2133"/>
      <c r="P6" s="3435"/>
      <c r="Q6" s="3436"/>
      <c r="R6" s="3419"/>
      <c r="S6" s="3420"/>
      <c r="T6" s="3421"/>
      <c r="U6" s="3422"/>
      <c r="V6" s="3437"/>
      <c r="W6" s="3437"/>
      <c r="X6" s="1566"/>
      <c r="Y6" s="3421"/>
      <c r="Z6" s="3422"/>
      <c r="AA6" s="3414"/>
      <c r="AB6" s="3414"/>
      <c r="AC6" s="3414"/>
    </row>
    <row r="7" spans="1:29" s="1219" customFormat="1" ht="15.75" thickBot="1">
      <c r="A7" s="2889"/>
      <c r="B7" s="2896" t="s">
        <v>528</v>
      </c>
      <c r="C7" s="519">
        <f>'数据-取费表'!B2</f>
        <v>43528</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15" t="s">
        <v>529</v>
      </c>
      <c r="Q7" s="3424"/>
      <c r="R7" s="1567" t="s">
        <v>8</v>
      </c>
      <c r="S7" s="1568">
        <f t="shared" ref="S7:S15" si="0">F7</f>
        <v>0</v>
      </c>
      <c r="T7" s="1567" t="s">
        <v>8</v>
      </c>
      <c r="U7" s="1568">
        <f t="shared" ref="U7:U15" si="1">H7</f>
        <v>0</v>
      </c>
      <c r="V7" s="1567" t="s">
        <v>8</v>
      </c>
      <c r="W7" s="1568">
        <f t="shared" ref="W7:W15" si="2">J7</f>
        <v>0</v>
      </c>
      <c r="X7" s="1569"/>
      <c r="Y7" s="3415" t="s">
        <v>529</v>
      </c>
      <c r="Z7" s="3416"/>
      <c r="AA7" s="1570" t="e">
        <f>D7/F7</f>
        <v>#DIV/0!</v>
      </c>
      <c r="AB7" s="1570" t="e">
        <f>D7/H7</f>
        <v>#DIV/0!</v>
      </c>
      <c r="AC7" s="1570" t="e">
        <f>D7/J7</f>
        <v>#DIV/0!</v>
      </c>
    </row>
    <row r="8" spans="1:29" s="1219" customFormat="1" ht="15.75" thickBot="1">
      <c r="A8" s="2890"/>
      <c r="B8" s="2897" t="s">
        <v>530</v>
      </c>
      <c r="C8" s="525" t="s">
        <v>575</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15" t="s">
        <v>532</v>
      </c>
      <c r="Q8" s="3416"/>
      <c r="R8" s="1567" t="s">
        <v>8</v>
      </c>
      <c r="S8" s="1568">
        <f t="shared" si="0"/>
        <v>0</v>
      </c>
      <c r="T8" s="1567" t="s">
        <v>8</v>
      </c>
      <c r="U8" s="1568">
        <f t="shared" si="1"/>
        <v>0</v>
      </c>
      <c r="V8" s="1567" t="s">
        <v>8</v>
      </c>
      <c r="W8" s="1568">
        <f t="shared" si="2"/>
        <v>0</v>
      </c>
      <c r="X8" s="1569"/>
      <c r="Y8" s="3415" t="s">
        <v>532</v>
      </c>
      <c r="Z8" s="3416"/>
      <c r="AA8" s="1570" t="e">
        <f t="shared" ref="AA8:AA40" si="3">D8/F8</f>
        <v>#DIV/0!</v>
      </c>
      <c r="AB8" s="1570" t="e">
        <f t="shared" ref="AB8:AB40" si="4">D8/H8</f>
        <v>#DIV/0!</v>
      </c>
      <c r="AC8" s="1570" t="e">
        <f t="shared" ref="AC8:AC40" si="5">D8/J8</f>
        <v>#DIV/0!</v>
      </c>
    </row>
    <row r="9" spans="1:29" s="1219" customFormat="1" ht="15">
      <c r="A9" s="2891"/>
      <c r="B9" s="2898" t="s">
        <v>2756</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423" t="s">
        <v>534</v>
      </c>
      <c r="Q9" s="1150" t="str">
        <f t="shared" ref="Q9:Q15" si="6">B9</f>
        <v>用途</v>
      </c>
      <c r="R9" s="1567" t="s">
        <v>8</v>
      </c>
      <c r="S9" s="1568">
        <f t="shared" si="0"/>
        <v>100</v>
      </c>
      <c r="T9" s="1567" t="s">
        <v>8</v>
      </c>
      <c r="U9" s="1568">
        <f t="shared" si="1"/>
        <v>100</v>
      </c>
      <c r="V9" s="1567" t="s">
        <v>8</v>
      </c>
      <c r="W9" s="1568">
        <f t="shared" si="2"/>
        <v>100</v>
      </c>
      <c r="X9" s="1569"/>
      <c r="Y9" s="3380" t="s">
        <v>535</v>
      </c>
      <c r="Z9" s="1149" t="str">
        <f t="shared" ref="Z9:Z15" si="7">Q9</f>
        <v>用途</v>
      </c>
      <c r="AA9" s="1570">
        <f t="shared" si="3"/>
        <v>1</v>
      </c>
      <c r="AB9" s="1570">
        <f t="shared" si="4"/>
        <v>1</v>
      </c>
      <c r="AC9" s="1570">
        <f t="shared" si="5"/>
        <v>1</v>
      </c>
    </row>
    <row r="10" spans="1:29" s="1337" customFormat="1" ht="27">
      <c r="A10" s="2892"/>
      <c r="B10" s="2897" t="s">
        <v>2757</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423"/>
      <c r="Q10" s="1150" t="str">
        <f t="shared" si="6"/>
        <v>土地使用年限（年）</v>
      </c>
      <c r="R10" s="1567" t="s">
        <v>8</v>
      </c>
      <c r="S10" s="1568">
        <f t="shared" si="0"/>
        <v>100</v>
      </c>
      <c r="T10" s="1567" t="s">
        <v>8</v>
      </c>
      <c r="U10" s="1568">
        <f t="shared" si="1"/>
        <v>100</v>
      </c>
      <c r="V10" s="1567" t="s">
        <v>8</v>
      </c>
      <c r="W10" s="1568">
        <f t="shared" si="2"/>
        <v>100</v>
      </c>
      <c r="X10" s="1569"/>
      <c r="Y10" s="3380"/>
      <c r="Z10" s="1149" t="str">
        <f t="shared" si="7"/>
        <v>土地使用年限（年）</v>
      </c>
      <c r="AA10" s="1570">
        <f t="shared" si="3"/>
        <v>1</v>
      </c>
      <c r="AB10" s="1570">
        <f t="shared" si="4"/>
        <v>1</v>
      </c>
      <c r="AC10" s="1570">
        <f t="shared" si="5"/>
        <v>1</v>
      </c>
    </row>
    <row r="11" spans="1:29" ht="15">
      <c r="A11" s="2893"/>
      <c r="B11" s="2897"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423"/>
      <c r="Q11" s="1150" t="str">
        <f t="shared" si="6"/>
        <v>容积率</v>
      </c>
      <c r="R11" s="1567" t="s">
        <v>8</v>
      </c>
      <c r="S11" s="1568" t="e">
        <f t="shared" si="0"/>
        <v>#N/A</v>
      </c>
      <c r="T11" s="1567" t="s">
        <v>8</v>
      </c>
      <c r="U11" s="1568" t="e">
        <f t="shared" si="1"/>
        <v>#N/A</v>
      </c>
      <c r="V11" s="1567" t="s">
        <v>8</v>
      </c>
      <c r="W11" s="1568" t="e">
        <f t="shared" si="2"/>
        <v>#N/A</v>
      </c>
      <c r="X11" s="1569"/>
      <c r="Y11" s="3380"/>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423"/>
      <c r="Q12" s="1150">
        <f t="shared" si="6"/>
        <v>111</v>
      </c>
      <c r="R12" s="1567" t="s">
        <v>8</v>
      </c>
      <c r="S12" s="1568">
        <f t="shared" si="0"/>
        <v>100</v>
      </c>
      <c r="T12" s="1567" t="s">
        <v>8</v>
      </c>
      <c r="U12" s="1568">
        <f t="shared" si="1"/>
        <v>100</v>
      </c>
      <c r="V12" s="1567" t="s">
        <v>8</v>
      </c>
      <c r="W12" s="1568">
        <f t="shared" si="2"/>
        <v>100</v>
      </c>
      <c r="X12" s="1569"/>
      <c r="Y12" s="3380"/>
      <c r="Z12" s="1149">
        <f t="shared" si="7"/>
        <v>111</v>
      </c>
      <c r="AA12" s="1570">
        <f>D12/F12</f>
        <v>1</v>
      </c>
      <c r="AB12" s="1570">
        <f>D12/H12</f>
        <v>1</v>
      </c>
      <c r="AC12" s="1570">
        <f>D12/J12</f>
        <v>1</v>
      </c>
    </row>
    <row r="13" spans="1:29" ht="15">
      <c r="A13" s="2894"/>
      <c r="B13" s="2900">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423"/>
      <c r="Q13" s="1150">
        <f t="shared" si="6"/>
        <v>111</v>
      </c>
      <c r="R13" s="1567" t="s">
        <v>8</v>
      </c>
      <c r="S13" s="1568">
        <f t="shared" si="0"/>
        <v>100</v>
      </c>
      <c r="T13" s="1567" t="s">
        <v>8</v>
      </c>
      <c r="U13" s="1568">
        <f t="shared" si="1"/>
        <v>100</v>
      </c>
      <c r="V13" s="1567" t="s">
        <v>8</v>
      </c>
      <c r="W13" s="1568">
        <f t="shared" si="2"/>
        <v>100</v>
      </c>
      <c r="X13" s="1569"/>
      <c r="Y13" s="3380"/>
      <c r="Z13" s="1149">
        <f t="shared" si="7"/>
        <v>111</v>
      </c>
      <c r="AA13" s="1570">
        <f t="shared" si="3"/>
        <v>1</v>
      </c>
      <c r="AB13" s="1570">
        <f t="shared" si="4"/>
        <v>1</v>
      </c>
      <c r="AC13" s="1570">
        <f t="shared" si="5"/>
        <v>1</v>
      </c>
    </row>
    <row r="14" spans="1:29" ht="15.75" thickBot="1">
      <c r="A14" s="2895"/>
      <c r="B14" s="2901">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423"/>
      <c r="Q14" s="1150">
        <f t="shared" si="6"/>
        <v>111</v>
      </c>
      <c r="R14" s="1567" t="s">
        <v>8</v>
      </c>
      <c r="S14" s="1568">
        <f t="shared" si="0"/>
        <v>100</v>
      </c>
      <c r="T14" s="1567" t="s">
        <v>8</v>
      </c>
      <c r="U14" s="1568">
        <f t="shared" si="1"/>
        <v>100</v>
      </c>
      <c r="V14" s="1567" t="s">
        <v>8</v>
      </c>
      <c r="W14" s="1568">
        <f t="shared" si="2"/>
        <v>100</v>
      </c>
      <c r="X14" s="1569"/>
      <c r="Y14" s="3380"/>
      <c r="Z14" s="1149">
        <f t="shared" si="7"/>
        <v>111</v>
      </c>
      <c r="AA14" s="1570">
        <f t="shared" si="3"/>
        <v>1</v>
      </c>
      <c r="AB14" s="1570">
        <f t="shared" si="4"/>
        <v>1</v>
      </c>
      <c r="AC14" s="1570">
        <f t="shared" si="5"/>
        <v>1</v>
      </c>
    </row>
    <row r="15" spans="1:29" ht="57">
      <c r="A15" s="2887" t="s">
        <v>2754</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25" t="s">
        <v>539</v>
      </c>
      <c r="Q15" s="1571" t="str">
        <f t="shared" si="6"/>
        <v>产业集聚程度</v>
      </c>
      <c r="R15" s="1572" t="s">
        <v>8</v>
      </c>
      <c r="S15" s="1573">
        <f t="shared" si="0"/>
        <v>100</v>
      </c>
      <c r="T15" s="1572" t="s">
        <v>8</v>
      </c>
      <c r="U15" s="1573">
        <f t="shared" si="1"/>
        <v>100</v>
      </c>
      <c r="V15" s="1572" t="s">
        <v>8</v>
      </c>
      <c r="W15" s="1573">
        <f t="shared" si="2"/>
        <v>100</v>
      </c>
      <c r="X15" s="1566"/>
      <c r="Y15" s="3425"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26"/>
      <c r="Q16" s="1571"/>
      <c r="R16" s="1572"/>
      <c r="S16" s="1573"/>
      <c r="T16" s="1572"/>
      <c r="U16" s="1573"/>
      <c r="V16" s="1572"/>
      <c r="W16" s="1573"/>
      <c r="X16" s="1566"/>
      <c r="Y16" s="3426"/>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26"/>
      <c r="Q17" s="1571" t="str">
        <f>B17</f>
        <v>交通便捷度</v>
      </c>
      <c r="R17" s="1572" t="s">
        <v>8</v>
      </c>
      <c r="S17" s="1573">
        <f>F17</f>
        <v>100</v>
      </c>
      <c r="T17" s="1572" t="s">
        <v>8</v>
      </c>
      <c r="U17" s="1573">
        <f>H17</f>
        <v>100</v>
      </c>
      <c r="V17" s="1572" t="s">
        <v>8</v>
      </c>
      <c r="W17" s="1573">
        <f>J17</f>
        <v>100</v>
      </c>
      <c r="X17" s="1566"/>
      <c r="Y17" s="3426"/>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26"/>
      <c r="Q18" s="1571"/>
      <c r="R18" s="1572"/>
      <c r="S18" s="1573"/>
      <c r="T18" s="1572"/>
      <c r="U18" s="1573"/>
      <c r="V18" s="1572"/>
      <c r="W18" s="1573"/>
      <c r="X18" s="1566"/>
      <c r="Y18" s="3426"/>
      <c r="Z18" s="1574"/>
      <c r="AA18" s="1575">
        <v>1</v>
      </c>
      <c r="AB18" s="1575">
        <v>1</v>
      </c>
      <c r="AC18" s="1575">
        <v>1</v>
      </c>
    </row>
    <row r="19" spans="1:29" ht="42.75">
      <c r="A19" s="532"/>
      <c r="B19" s="2581"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26"/>
      <c r="Q19" s="1571" t="str">
        <f>B19</f>
        <v>公共配套设施</v>
      </c>
      <c r="R19" s="1572" t="s">
        <v>8</v>
      </c>
      <c r="S19" s="1573">
        <f>F19</f>
        <v>100</v>
      </c>
      <c r="T19" s="1572" t="s">
        <v>8</v>
      </c>
      <c r="U19" s="1573">
        <f>H19</f>
        <v>100</v>
      </c>
      <c r="V19" s="1572" t="s">
        <v>8</v>
      </c>
      <c r="W19" s="1573">
        <f>J19</f>
        <v>100</v>
      </c>
      <c r="X19" s="1566"/>
      <c r="Y19" s="3426"/>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26"/>
      <c r="Q20" s="1571"/>
      <c r="R20" s="1572"/>
      <c r="S20" s="1573"/>
      <c r="T20" s="1572"/>
      <c r="U20" s="1573"/>
      <c r="V20" s="1572"/>
      <c r="W20" s="1573"/>
      <c r="X20" s="1566"/>
      <c r="Y20" s="3426"/>
      <c r="Z20" s="1574"/>
      <c r="AA20" s="1575">
        <v>1</v>
      </c>
      <c r="AB20" s="1575">
        <v>1</v>
      </c>
      <c r="AC20" s="1575">
        <v>1</v>
      </c>
    </row>
    <row r="21" spans="1:29" ht="28.5">
      <c r="A21" s="532"/>
      <c r="B21" s="2569"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26"/>
      <c r="Q21" s="2557" t="str">
        <f>B21</f>
        <v>基础设施水平</v>
      </c>
      <c r="R21" s="1572" t="s">
        <v>8</v>
      </c>
      <c r="S21" s="1573">
        <f>F21</f>
        <v>100</v>
      </c>
      <c r="T21" s="1572" t="s">
        <v>8</v>
      </c>
      <c r="U21" s="1573">
        <f>H21</f>
        <v>100</v>
      </c>
      <c r="V21" s="1572" t="s">
        <v>8</v>
      </c>
      <c r="W21" s="1573">
        <f>J21</f>
        <v>100</v>
      </c>
      <c r="X21" s="2559"/>
      <c r="Y21" s="3426"/>
      <c r="Z21" s="2558"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80"/>
      <c r="L22" s="2141"/>
      <c r="M22" s="2133"/>
      <c r="N22" s="2133"/>
      <c r="O22" s="2140"/>
      <c r="P22" s="3426"/>
      <c r="Q22" s="2557"/>
      <c r="R22" s="1572"/>
      <c r="S22" s="1573"/>
      <c r="T22" s="1572"/>
      <c r="U22" s="1573"/>
      <c r="V22" s="1572"/>
      <c r="W22" s="1573"/>
      <c r="X22" s="2559"/>
      <c r="Y22" s="3426"/>
      <c r="Z22" s="2558"/>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26"/>
      <c r="Q23" s="1571" t="str">
        <f>B23</f>
        <v>环境质量</v>
      </c>
      <c r="R23" s="1572" t="s">
        <v>8</v>
      </c>
      <c r="S23" s="1573">
        <f>F23</f>
        <v>100</v>
      </c>
      <c r="T23" s="1572" t="s">
        <v>8</v>
      </c>
      <c r="U23" s="1573">
        <f>H23</f>
        <v>100</v>
      </c>
      <c r="V23" s="1572" t="s">
        <v>8</v>
      </c>
      <c r="W23" s="1573">
        <f>J23</f>
        <v>100</v>
      </c>
      <c r="X23" s="1566"/>
      <c r="Y23" s="3426"/>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26"/>
      <c r="Q24" s="1571"/>
      <c r="R24" s="1572"/>
      <c r="S24" s="1573"/>
      <c r="T24" s="1572"/>
      <c r="U24" s="1573"/>
      <c r="V24" s="1572"/>
      <c r="W24" s="1573"/>
      <c r="X24" s="1566"/>
      <c r="Y24" s="3426"/>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26"/>
      <c r="Q25" s="1571">
        <f>B25</f>
        <v>111</v>
      </c>
      <c r="R25" s="1572" t="s">
        <v>8</v>
      </c>
      <c r="S25" s="1573">
        <f>F25</f>
        <v>100</v>
      </c>
      <c r="T25" s="1572" t="s">
        <v>8</v>
      </c>
      <c r="U25" s="1573">
        <f>H25</f>
        <v>100</v>
      </c>
      <c r="V25" s="1572" t="s">
        <v>8</v>
      </c>
      <c r="W25" s="1573">
        <f>J25</f>
        <v>100</v>
      </c>
      <c r="X25" s="1566"/>
      <c r="Y25" s="3426"/>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26"/>
      <c r="Q26" s="1571">
        <f t="shared" ref="Q26:Q40" si="11">B26</f>
        <v>111</v>
      </c>
      <c r="R26" s="1572" t="s">
        <v>8</v>
      </c>
      <c r="S26" s="1573">
        <f>F26</f>
        <v>100</v>
      </c>
      <c r="T26" s="1572" t="s">
        <v>8</v>
      </c>
      <c r="U26" s="1573">
        <f>H26</f>
        <v>100</v>
      </c>
      <c r="V26" s="1572" t="s">
        <v>8</v>
      </c>
      <c r="W26" s="1573">
        <f>J26</f>
        <v>100</v>
      </c>
      <c r="X26" s="1566"/>
      <c r="Y26" s="3426"/>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26"/>
      <c r="Q27" s="1150">
        <f t="shared" si="11"/>
        <v>111</v>
      </c>
      <c r="R27" s="1567" t="s">
        <v>8</v>
      </c>
      <c r="S27" s="1568">
        <f>F27</f>
        <v>100</v>
      </c>
      <c r="T27" s="1567" t="s">
        <v>8</v>
      </c>
      <c r="U27" s="1568">
        <f>H27</f>
        <v>100</v>
      </c>
      <c r="V27" s="1567" t="s">
        <v>8</v>
      </c>
      <c r="W27" s="1568">
        <f>J27</f>
        <v>100</v>
      </c>
      <c r="X27" s="1569"/>
      <c r="Y27" s="3426"/>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26"/>
      <c r="Q28" s="1571">
        <f t="shared" si="11"/>
        <v>111</v>
      </c>
      <c r="R28" s="1572" t="s">
        <v>8</v>
      </c>
      <c r="S28" s="1573">
        <f t="shared" ref="S28:S40" si="12">F28</f>
        <v>100</v>
      </c>
      <c r="T28" s="1572" t="s">
        <v>8</v>
      </c>
      <c r="U28" s="1573">
        <f t="shared" ref="U28:U40" si="13">H28</f>
        <v>100</v>
      </c>
      <c r="V28" s="1572" t="s">
        <v>8</v>
      </c>
      <c r="W28" s="1573">
        <f t="shared" ref="W28:W40" si="14">J28</f>
        <v>100</v>
      </c>
      <c r="X28" s="1566"/>
      <c r="Y28" s="3426"/>
      <c r="Z28" s="1574">
        <f t="shared" ref="Z28:Z40" si="15">Q28</f>
        <v>111</v>
      </c>
      <c r="AA28" s="1575">
        <f t="shared" si="3"/>
        <v>1</v>
      </c>
      <c r="AB28" s="1575">
        <f t="shared" si="4"/>
        <v>1</v>
      </c>
      <c r="AC28" s="1575">
        <f t="shared" si="5"/>
        <v>1</v>
      </c>
    </row>
    <row r="29" spans="1:29" ht="15">
      <c r="A29" s="2884" t="s">
        <v>2755</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27" t="s">
        <v>549</v>
      </c>
      <c r="Q29" s="1571" t="str">
        <f t="shared" si="11"/>
        <v>建筑类型</v>
      </c>
      <c r="R29" s="1572" t="s">
        <v>8</v>
      </c>
      <c r="S29" s="1573">
        <f t="shared" si="12"/>
        <v>100</v>
      </c>
      <c r="T29" s="1572" t="s">
        <v>8</v>
      </c>
      <c r="U29" s="1573">
        <f t="shared" si="13"/>
        <v>100</v>
      </c>
      <c r="V29" s="1572" t="s">
        <v>8</v>
      </c>
      <c r="W29" s="1573">
        <f t="shared" si="14"/>
        <v>100</v>
      </c>
      <c r="X29" s="1566"/>
      <c r="Y29" s="3428" t="s">
        <v>549</v>
      </c>
      <c r="Z29" s="1574" t="str">
        <f t="shared" si="15"/>
        <v>建筑类型</v>
      </c>
      <c r="AA29" s="1575">
        <f t="shared" si="3"/>
        <v>1</v>
      </c>
      <c r="AB29" s="1575">
        <f t="shared" si="4"/>
        <v>1</v>
      </c>
      <c r="AC29" s="1575">
        <f t="shared" si="5"/>
        <v>1</v>
      </c>
    </row>
    <row r="30" spans="1:29" s="1338"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8"/>
      <c r="Q30" s="1604" t="str">
        <f t="shared" si="11"/>
        <v>项目建筑规模</v>
      </c>
      <c r="R30" s="1576" t="s">
        <v>8</v>
      </c>
      <c r="S30" s="1577" t="e">
        <f t="shared" si="12"/>
        <v>#N/A</v>
      </c>
      <c r="T30" s="1576" t="s">
        <v>8</v>
      </c>
      <c r="U30" s="1577" t="e">
        <f t="shared" si="13"/>
        <v>#N/A</v>
      </c>
      <c r="V30" s="1576" t="s">
        <v>8</v>
      </c>
      <c r="W30" s="1577" t="e">
        <f t="shared" si="14"/>
        <v>#N/A</v>
      </c>
      <c r="X30" s="1578"/>
      <c r="Y30" s="3428"/>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8"/>
      <c r="Q31" s="1571" t="str">
        <f t="shared" si="11"/>
        <v>建筑结构</v>
      </c>
      <c r="R31" s="1572" t="s">
        <v>8</v>
      </c>
      <c r="S31" s="1573">
        <f t="shared" si="12"/>
        <v>100</v>
      </c>
      <c r="T31" s="1572" t="s">
        <v>8</v>
      </c>
      <c r="U31" s="1573">
        <f t="shared" si="13"/>
        <v>100</v>
      </c>
      <c r="V31" s="1572" t="s">
        <v>8</v>
      </c>
      <c r="W31" s="1573">
        <f t="shared" si="14"/>
        <v>100</v>
      </c>
      <c r="X31" s="1566"/>
      <c r="Y31" s="3428"/>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8"/>
      <c r="Q32" s="1571" t="str">
        <f t="shared" si="11"/>
        <v>公共部分装修</v>
      </c>
      <c r="R32" s="1572" t="s">
        <v>8</v>
      </c>
      <c r="S32" s="1573">
        <f t="shared" si="12"/>
        <v>100</v>
      </c>
      <c r="T32" s="1572" t="s">
        <v>8</v>
      </c>
      <c r="U32" s="1573">
        <f t="shared" si="13"/>
        <v>100</v>
      </c>
      <c r="V32" s="1572" t="s">
        <v>8</v>
      </c>
      <c r="W32" s="1573">
        <f t="shared" si="14"/>
        <v>100</v>
      </c>
      <c r="X32" s="1566"/>
      <c r="Y32" s="3428"/>
      <c r="Z32" s="1574" t="str">
        <f t="shared" si="15"/>
        <v>公共部分装修</v>
      </c>
      <c r="AA32" s="1575">
        <f t="shared" si="3"/>
        <v>1</v>
      </c>
      <c r="AB32" s="1575">
        <f t="shared" si="4"/>
        <v>1</v>
      </c>
      <c r="AC32" s="1575">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28"/>
      <c r="Q33" s="1571" t="str">
        <f t="shared" si="11"/>
        <v>成新度</v>
      </c>
      <c r="R33" s="1572" t="s">
        <v>8</v>
      </c>
      <c r="S33" s="1573" t="e">
        <f t="shared" si="12"/>
        <v>#N/A</v>
      </c>
      <c r="T33" s="1572" t="s">
        <v>8</v>
      </c>
      <c r="U33" s="1573" t="e">
        <f t="shared" si="13"/>
        <v>#N/A</v>
      </c>
      <c r="V33" s="1572" t="s">
        <v>8</v>
      </c>
      <c r="W33" s="1573" t="e">
        <f t="shared" si="14"/>
        <v>#N/A</v>
      </c>
      <c r="X33" s="1566"/>
      <c r="Y33" s="3428"/>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8"/>
      <c r="Q34" s="1150" t="str">
        <f t="shared" si="11"/>
        <v>物业管理</v>
      </c>
      <c r="R34" s="1567" t="s">
        <v>8</v>
      </c>
      <c r="S34" s="1568">
        <f t="shared" si="12"/>
        <v>100</v>
      </c>
      <c r="T34" s="1567" t="s">
        <v>8</v>
      </c>
      <c r="U34" s="1568">
        <f t="shared" si="13"/>
        <v>100</v>
      </c>
      <c r="V34" s="1567" t="s">
        <v>8</v>
      </c>
      <c r="W34" s="1568">
        <f t="shared" si="14"/>
        <v>100</v>
      </c>
      <c r="X34" s="1569"/>
      <c r="Y34" s="3428"/>
      <c r="Z34" s="1149" t="str">
        <f t="shared" si="15"/>
        <v>物业管理</v>
      </c>
      <c r="AA34" s="1570">
        <f t="shared" si="3"/>
        <v>1</v>
      </c>
      <c r="AB34" s="1570">
        <f t="shared" si="4"/>
        <v>1</v>
      </c>
      <c r="AC34" s="1570">
        <f t="shared" si="5"/>
        <v>1</v>
      </c>
    </row>
    <row r="35" spans="1:29" ht="15">
      <c r="A35" s="594"/>
      <c r="B35" s="1894"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8" t="s">
        <v>549</v>
      </c>
      <c r="Q35" s="1571" t="str">
        <f t="shared" si="11"/>
        <v>市政基础设施</v>
      </c>
      <c r="R35" s="1572" t="s">
        <v>8</v>
      </c>
      <c r="S35" s="1573">
        <f t="shared" si="12"/>
        <v>100</v>
      </c>
      <c r="T35" s="1572" t="s">
        <v>8</v>
      </c>
      <c r="U35" s="1573">
        <f t="shared" si="13"/>
        <v>100</v>
      </c>
      <c r="V35" s="1572" t="s">
        <v>8</v>
      </c>
      <c r="W35" s="1573">
        <f t="shared" si="14"/>
        <v>100</v>
      </c>
      <c r="X35" s="1566"/>
      <c r="Y35" s="3428"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8"/>
      <c r="Q36" s="1571" t="str">
        <f t="shared" si="11"/>
        <v>内部装修</v>
      </c>
      <c r="R36" s="1572" t="s">
        <v>8</v>
      </c>
      <c r="S36" s="1573">
        <f t="shared" si="12"/>
        <v>100</v>
      </c>
      <c r="T36" s="1572" t="s">
        <v>8</v>
      </c>
      <c r="U36" s="1573">
        <f t="shared" si="13"/>
        <v>100</v>
      </c>
      <c r="V36" s="1572" t="s">
        <v>8</v>
      </c>
      <c r="W36" s="1573">
        <f t="shared" si="14"/>
        <v>100</v>
      </c>
      <c r="X36" s="1566"/>
      <c r="Y36" s="3428"/>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8"/>
      <c r="Q37" s="1571" t="str">
        <f t="shared" si="11"/>
        <v>内部装修状况</v>
      </c>
      <c r="R37" s="1572" t="s">
        <v>8</v>
      </c>
      <c r="S37" s="1573">
        <f t="shared" si="12"/>
        <v>100</v>
      </c>
      <c r="T37" s="1572" t="s">
        <v>8</v>
      </c>
      <c r="U37" s="1573">
        <f t="shared" si="13"/>
        <v>100</v>
      </c>
      <c r="V37" s="1572" t="s">
        <v>8</v>
      </c>
      <c r="W37" s="1573">
        <f t="shared" si="14"/>
        <v>100</v>
      </c>
      <c r="X37" s="1566"/>
      <c r="Y37" s="3428"/>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28"/>
      <c r="Q38" s="1604">
        <f t="shared" si="11"/>
        <v>111</v>
      </c>
      <c r="R38" s="1576" t="s">
        <v>8</v>
      </c>
      <c r="S38" s="1577">
        <f t="shared" si="12"/>
        <v>100</v>
      </c>
      <c r="T38" s="1576" t="s">
        <v>8</v>
      </c>
      <c r="U38" s="1577">
        <f t="shared" si="13"/>
        <v>100</v>
      </c>
      <c r="V38" s="1576" t="s">
        <v>8</v>
      </c>
      <c r="W38" s="1577">
        <f t="shared" si="14"/>
        <v>100</v>
      </c>
      <c r="X38" s="1578"/>
      <c r="Y38" s="3428"/>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28"/>
      <c r="Q39" s="1571">
        <f t="shared" si="11"/>
        <v>111</v>
      </c>
      <c r="R39" s="1572" t="s">
        <v>8</v>
      </c>
      <c r="S39" s="1573">
        <f t="shared" si="12"/>
        <v>100</v>
      </c>
      <c r="T39" s="1572" t="s">
        <v>8</v>
      </c>
      <c r="U39" s="1573">
        <f t="shared" si="13"/>
        <v>100</v>
      </c>
      <c r="V39" s="1572" t="s">
        <v>8</v>
      </c>
      <c r="W39" s="1573">
        <f t="shared" si="14"/>
        <v>100</v>
      </c>
      <c r="X39" s="1566"/>
      <c r="Y39" s="3428"/>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511"/>
      <c r="Q40" s="1571">
        <f t="shared" si="11"/>
        <v>111</v>
      </c>
      <c r="R40" s="1572" t="s">
        <v>8</v>
      </c>
      <c r="S40" s="1573">
        <f t="shared" si="12"/>
        <v>100</v>
      </c>
      <c r="T40" s="1572" t="s">
        <v>8</v>
      </c>
      <c r="U40" s="1573">
        <f t="shared" si="13"/>
        <v>100</v>
      </c>
      <c r="V40" s="1572" t="s">
        <v>8</v>
      </c>
      <c r="W40" s="1573">
        <f t="shared" si="14"/>
        <v>100</v>
      </c>
      <c r="X40" s="1566"/>
      <c r="Y40" s="3511"/>
      <c r="Z40" s="1574">
        <f t="shared" si="15"/>
        <v>111</v>
      </c>
      <c r="AA40" s="1575">
        <f t="shared" si="3"/>
        <v>1</v>
      </c>
      <c r="AB40" s="1575">
        <f t="shared" si="4"/>
        <v>1</v>
      </c>
      <c r="AC40" s="1575">
        <f t="shared" si="5"/>
        <v>1</v>
      </c>
    </row>
    <row r="41" spans="1:29" ht="15">
      <c r="A41" s="607" t="s">
        <v>735</v>
      </c>
      <c r="B41" s="886"/>
      <c r="C41" s="2605" t="s">
        <v>1</v>
      </c>
      <c r="D41" s="2606"/>
      <c r="E41" s="2607"/>
      <c r="F41" s="2608"/>
      <c r="G41" s="2609"/>
      <c r="H41" s="2610"/>
      <c r="I41" s="2607"/>
      <c r="J41" s="2610"/>
      <c r="K41" s="1610"/>
      <c r="L41" s="2143"/>
      <c r="M41" s="2144"/>
      <c r="N41" s="2133"/>
      <c r="O41" s="2144"/>
      <c r="P41" s="3423" t="str">
        <f>A41</f>
        <v>成交单价（元/平方米）</v>
      </c>
      <c r="Q41" s="3423"/>
      <c r="R41" s="3510">
        <f>E41</f>
        <v>0</v>
      </c>
      <c r="S41" s="3510"/>
      <c r="T41" s="3510">
        <f>G41</f>
        <v>0</v>
      </c>
      <c r="U41" s="3510"/>
      <c r="V41" s="3510">
        <f>I41</f>
        <v>0</v>
      </c>
      <c r="W41" s="3510"/>
      <c r="X41" s="1558"/>
      <c r="Y41" s="1580"/>
      <c r="Z41" s="1558"/>
      <c r="AA41" s="1558"/>
      <c r="AB41" s="1558"/>
      <c r="AC41" s="1558"/>
    </row>
    <row r="42" spans="1:29" ht="15.75" thickBot="1">
      <c r="A42" s="615" t="s">
        <v>2760</v>
      </c>
      <c r="B42" s="887"/>
      <c r="C42" s="2611" t="e">
        <f>R43</f>
        <v>#DIV/0!</v>
      </c>
      <c r="D42" s="2612"/>
      <c r="E42" s="2613" t="e">
        <f>R42</f>
        <v>#DIV/0!</v>
      </c>
      <c r="F42" s="2613"/>
      <c r="G42" s="2611" t="e">
        <f>T42</f>
        <v>#DIV/0!</v>
      </c>
      <c r="H42" s="2612"/>
      <c r="I42" s="2613" t="e">
        <f>V42</f>
        <v>#DIV/0!</v>
      </c>
      <c r="J42" s="2612"/>
      <c r="K42" s="1611"/>
      <c r="L42" s="2143"/>
      <c r="M42" s="2144"/>
      <c r="N42" s="2133"/>
      <c r="O42" s="2144"/>
      <c r="P42" s="3423" t="str">
        <f>A42</f>
        <v>比较价格（元/平方米）</v>
      </c>
      <c r="Q42" s="3423"/>
      <c r="R42" s="3510" t="e">
        <f>IF(F1="售价",ROUND(PRODUCT(R41,AA7:AA40),0),ROUND(PRODUCT(R41,AA7:AA40),1))</f>
        <v>#DIV/0!</v>
      </c>
      <c r="S42" s="3510"/>
      <c r="T42" s="3510" t="e">
        <f>IF(F1="售价",ROUND(PRODUCT(T41,AB7:AB40),0),ROUND(PRODUCT(T41,AB7:AB40),1))</f>
        <v>#DIV/0!</v>
      </c>
      <c r="U42" s="3510"/>
      <c r="V42" s="3510" t="e">
        <f>IF(F1="售价",ROUND(PRODUCT(V41,AC7:AC40),0),ROUND(PRODUCT(V41,AC7:AC40),1))</f>
        <v>#DIV/0!</v>
      </c>
      <c r="W42" s="3510"/>
      <c r="X42" s="1558"/>
      <c r="Y42" s="1558"/>
      <c r="Z42" s="1558"/>
      <c r="AA42" s="1558"/>
      <c r="AB42" s="1558"/>
      <c r="AC42" s="1558"/>
    </row>
    <row r="43" spans="1:29" ht="15.75" thickBot="1">
      <c r="A43" s="621" t="s">
        <v>2931</v>
      </c>
      <c r="B43" s="622"/>
      <c r="C43" s="2614" t="e">
        <f>R43</f>
        <v>#DIV/0!</v>
      </c>
      <c r="D43" s="2614"/>
      <c r="E43" s="2614"/>
      <c r="F43" s="2614"/>
      <c r="G43" s="2614"/>
      <c r="H43" s="2614"/>
      <c r="I43" s="2614"/>
      <c r="J43" s="2614"/>
      <c r="K43" s="1612"/>
      <c r="L43" s="2143"/>
      <c r="M43" s="2144"/>
      <c r="N43" s="2144"/>
      <c r="O43" s="2144"/>
      <c r="P43" s="3444" t="str">
        <f>A43</f>
        <v>估价对象XX用房的比较价格（楼面单价，元/平方米）</v>
      </c>
      <c r="Q43" s="3445"/>
      <c r="R43" s="3509" t="e">
        <f>IF(F1="售价",ROUND(AVERAGE(R42:V42),0),ROUND(AVERAGE(R42:V42),1))</f>
        <v>#DIV/0!</v>
      </c>
      <c r="S43" s="3509"/>
      <c r="T43" s="3509"/>
      <c r="U43" s="3509"/>
      <c r="V43" s="3509"/>
      <c r="W43" s="3509"/>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573</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528</v>
      </c>
      <c r="B52" s="646"/>
      <c r="C52" s="2779" t="str">
        <f>YEAR(C7)&amp;"-"&amp;MONTH(C7)</f>
        <v>2019-3</v>
      </c>
      <c r="D52" s="2781">
        <f>EDATE(C52,-1)</f>
        <v>43497</v>
      </c>
      <c r="E52" s="2781">
        <f t="shared" ref="E52:O52" si="16">EDATE(D52,-1)</f>
        <v>43466</v>
      </c>
      <c r="F52" s="2781">
        <f t="shared" si="16"/>
        <v>43435</v>
      </c>
      <c r="G52" s="2781">
        <f t="shared" si="16"/>
        <v>43405</v>
      </c>
      <c r="H52" s="2781">
        <f t="shared" si="16"/>
        <v>43374</v>
      </c>
      <c r="I52" s="2781">
        <f t="shared" si="16"/>
        <v>43344</v>
      </c>
      <c r="J52" s="2781">
        <f t="shared" si="16"/>
        <v>43313</v>
      </c>
      <c r="K52" s="2781">
        <f t="shared" si="16"/>
        <v>43282</v>
      </c>
      <c r="L52" s="2781">
        <f t="shared" si="16"/>
        <v>43252</v>
      </c>
      <c r="M52" s="2781">
        <f t="shared" si="16"/>
        <v>43221</v>
      </c>
      <c r="N52" s="2781">
        <f t="shared" si="16"/>
        <v>43191</v>
      </c>
      <c r="O52" s="2781">
        <f t="shared" si="16"/>
        <v>43160</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574</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530</v>
      </c>
      <c r="B55" s="648"/>
      <c r="C55" s="660" t="s">
        <v>575</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576</v>
      </c>
      <c r="B57" s="665" t="s">
        <v>533</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538</v>
      </c>
      <c r="B70" s="665" t="s">
        <v>584</v>
      </c>
      <c r="C70" s="703" t="s">
        <v>578</v>
      </c>
      <c r="D70" s="703" t="s">
        <v>579</v>
      </c>
      <c r="E70" s="703" t="s">
        <v>580</v>
      </c>
      <c r="F70" s="703" t="s">
        <v>581</v>
      </c>
      <c r="G70" s="703" t="s">
        <v>582</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585</v>
      </c>
      <c r="C72" s="708" t="s">
        <v>578</v>
      </c>
      <c r="D72" s="708" t="s">
        <v>579</v>
      </c>
      <c r="E72" s="708" t="s">
        <v>580</v>
      </c>
      <c r="F72" s="708" t="s">
        <v>581</v>
      </c>
      <c r="G72" s="708" t="s">
        <v>582</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2557</v>
      </c>
      <c r="C74" s="708" t="s">
        <v>578</v>
      </c>
      <c r="D74" s="708" t="s">
        <v>579</v>
      </c>
      <c r="E74" s="708" t="s">
        <v>580</v>
      </c>
      <c r="F74" s="708" t="s">
        <v>581</v>
      </c>
      <c r="G74" s="708" t="s">
        <v>582</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2558</v>
      </c>
      <c r="C76" s="2576" t="s">
        <v>2559</v>
      </c>
      <c r="D76" s="2576" t="s">
        <v>2560</v>
      </c>
      <c r="E76" s="2576" t="s">
        <v>2561</v>
      </c>
      <c r="F76" s="2576" t="s">
        <v>2562</v>
      </c>
      <c r="G76" s="2576" t="s">
        <v>2563</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783</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550</v>
      </c>
      <c r="B88" s="665" t="s">
        <v>746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750</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752</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2556</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754</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784"/>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796</v>
      </c>
      <c r="B4" s="513"/>
      <c r="C4" s="3429" t="s">
        <v>797</v>
      </c>
      <c r="D4" s="3430"/>
      <c r="E4" s="3429" t="s">
        <v>798</v>
      </c>
      <c r="F4" s="3430"/>
      <c r="G4" s="3429" t="s">
        <v>799</v>
      </c>
      <c r="H4" s="3430"/>
      <c r="I4" s="3429" t="s">
        <v>800</v>
      </c>
      <c r="J4" s="3430"/>
      <c r="K4" s="514" t="s">
        <v>801</v>
      </c>
      <c r="L4" s="2132"/>
      <c r="M4" s="2133"/>
      <c r="N4" s="2133"/>
      <c r="O4" s="2133"/>
      <c r="P4" s="3431" t="s">
        <v>802</v>
      </c>
      <c r="Q4" s="3432"/>
      <c r="R4" s="3417" t="s">
        <v>798</v>
      </c>
      <c r="S4" s="3418"/>
      <c r="T4" s="3417" t="s">
        <v>799</v>
      </c>
      <c r="U4" s="3418"/>
      <c r="V4" s="3437" t="s">
        <v>800</v>
      </c>
      <c r="W4" s="3437"/>
      <c r="X4" s="1566"/>
      <c r="Y4" s="3417" t="s">
        <v>802</v>
      </c>
      <c r="Z4" s="3418"/>
      <c r="AA4" s="3412" t="s">
        <v>798</v>
      </c>
      <c r="AB4" s="3413" t="s">
        <v>799</v>
      </c>
      <c r="AC4" s="3412" t="s">
        <v>800</v>
      </c>
    </row>
    <row r="5" spans="1:29" ht="15">
      <c r="A5" s="515"/>
      <c r="B5" s="516"/>
      <c r="C5" s="3440" t="s">
        <v>2925</v>
      </c>
      <c r="D5" s="3441"/>
      <c r="E5" s="3440" t="s">
        <v>2926</v>
      </c>
      <c r="F5" s="3441"/>
      <c r="G5" s="3440" t="s">
        <v>2927</v>
      </c>
      <c r="H5" s="3441"/>
      <c r="I5" s="3440" t="s">
        <v>2928</v>
      </c>
      <c r="J5" s="3441"/>
      <c r="K5" s="514"/>
      <c r="L5" s="2132"/>
      <c r="M5" s="2133"/>
      <c r="N5" s="2133"/>
      <c r="O5" s="2133"/>
      <c r="P5" s="3433"/>
      <c r="Q5" s="3434"/>
      <c r="R5" s="3419"/>
      <c r="S5" s="3420"/>
      <c r="T5" s="3419"/>
      <c r="U5" s="3420"/>
      <c r="V5" s="3437"/>
      <c r="W5" s="3437"/>
      <c r="X5" s="1566"/>
      <c r="Y5" s="3419"/>
      <c r="Z5" s="3420"/>
      <c r="AA5" s="3413"/>
      <c r="AB5" s="3413"/>
      <c r="AC5" s="3413"/>
    </row>
    <row r="6" spans="1:29" ht="15.75" thickBot="1">
      <c r="A6" s="517"/>
      <c r="B6" s="518"/>
      <c r="C6" s="3438" t="s">
        <v>2929</v>
      </c>
      <c r="D6" s="3439"/>
      <c r="E6" s="3442" t="s">
        <v>2929</v>
      </c>
      <c r="F6" s="3443"/>
      <c r="G6" s="3438" t="s">
        <v>2929</v>
      </c>
      <c r="H6" s="3439"/>
      <c r="I6" s="3438" t="s">
        <v>2929</v>
      </c>
      <c r="J6" s="3439"/>
      <c r="K6" s="514" t="s">
        <v>527</v>
      </c>
      <c r="L6" s="2132"/>
      <c r="M6" s="2133"/>
      <c r="N6" s="2133"/>
      <c r="O6" s="2133"/>
      <c r="P6" s="3435"/>
      <c r="Q6" s="3436"/>
      <c r="R6" s="3419"/>
      <c r="S6" s="3420"/>
      <c r="T6" s="3421"/>
      <c r="U6" s="3422"/>
      <c r="V6" s="3437"/>
      <c r="W6" s="3437"/>
      <c r="X6" s="1566"/>
      <c r="Y6" s="3421"/>
      <c r="Z6" s="3422"/>
      <c r="AA6" s="3414"/>
      <c r="AB6" s="3414"/>
      <c r="AC6" s="3414"/>
    </row>
    <row r="7" spans="1:29" s="1219" customFormat="1" ht="15.75" thickBot="1">
      <c r="A7" s="2889"/>
      <c r="B7" s="2896" t="s">
        <v>528</v>
      </c>
      <c r="C7" s="519">
        <f>'数据-取费表'!B2</f>
        <v>43528</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15" t="s">
        <v>529</v>
      </c>
      <c r="Q7" s="3424"/>
      <c r="R7" s="1567" t="s">
        <v>8</v>
      </c>
      <c r="S7" s="1568">
        <f t="shared" ref="S7:S14" si="0">F7</f>
        <v>0</v>
      </c>
      <c r="T7" s="1567" t="s">
        <v>8</v>
      </c>
      <c r="U7" s="1568">
        <f t="shared" ref="U7:U14" si="1">H7</f>
        <v>0</v>
      </c>
      <c r="V7" s="1567" t="s">
        <v>8</v>
      </c>
      <c r="W7" s="1568">
        <f t="shared" ref="W7:W14" si="2">J7</f>
        <v>0</v>
      </c>
      <c r="X7" s="1569"/>
      <c r="Y7" s="3415" t="s">
        <v>529</v>
      </c>
      <c r="Z7" s="3416"/>
      <c r="AA7" s="1570" t="e">
        <f>D7/F7</f>
        <v>#DIV/0!</v>
      </c>
      <c r="AB7" s="1570" t="e">
        <f>D7/H7</f>
        <v>#DIV/0!</v>
      </c>
      <c r="AC7" s="1570" t="e">
        <f>D7/J7</f>
        <v>#DIV/0!</v>
      </c>
    </row>
    <row r="8" spans="1:29" s="1219" customFormat="1" ht="15.75" thickBot="1">
      <c r="A8" s="2890"/>
      <c r="B8" s="2897" t="s">
        <v>530</v>
      </c>
      <c r="C8" s="525" t="s">
        <v>575</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15" t="s">
        <v>532</v>
      </c>
      <c r="Q8" s="3416"/>
      <c r="R8" s="1567" t="s">
        <v>8</v>
      </c>
      <c r="S8" s="1568">
        <f t="shared" si="0"/>
        <v>0</v>
      </c>
      <c r="T8" s="1567" t="s">
        <v>8</v>
      </c>
      <c r="U8" s="1568">
        <f t="shared" si="1"/>
        <v>0</v>
      </c>
      <c r="V8" s="1567" t="s">
        <v>8</v>
      </c>
      <c r="W8" s="1568">
        <f t="shared" si="2"/>
        <v>0</v>
      </c>
      <c r="X8" s="1569"/>
      <c r="Y8" s="3415" t="s">
        <v>532</v>
      </c>
      <c r="Z8" s="3416"/>
      <c r="AA8" s="1570" t="e">
        <f t="shared" ref="AA8:AA36" si="3">D8/F8</f>
        <v>#DIV/0!</v>
      </c>
      <c r="AB8" s="1570" t="e">
        <f t="shared" ref="AB8:AB36" si="4">D8/H8</f>
        <v>#DIV/0!</v>
      </c>
      <c r="AC8" s="1570" t="e">
        <f t="shared" ref="AC8:AC36" si="5">D8/J8</f>
        <v>#DIV/0!</v>
      </c>
    </row>
    <row r="9" spans="1:29" s="1219" customFormat="1" ht="15">
      <c r="A9" s="2891"/>
      <c r="B9" s="2898" t="s">
        <v>2756</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423" t="s">
        <v>534</v>
      </c>
      <c r="Q9" s="1150" t="str">
        <f t="shared" ref="Q9:Q14" si="6">B9</f>
        <v>用途</v>
      </c>
      <c r="R9" s="1567" t="s">
        <v>8</v>
      </c>
      <c r="S9" s="1568">
        <f t="shared" si="0"/>
        <v>100</v>
      </c>
      <c r="T9" s="1567" t="s">
        <v>8</v>
      </c>
      <c r="U9" s="1568">
        <f t="shared" si="1"/>
        <v>100</v>
      </c>
      <c r="V9" s="1567" t="s">
        <v>8</v>
      </c>
      <c r="W9" s="1568">
        <f t="shared" si="2"/>
        <v>100</v>
      </c>
      <c r="X9" s="1569"/>
      <c r="Y9" s="3380" t="s">
        <v>535</v>
      </c>
      <c r="Z9" s="1149" t="str">
        <f t="shared" ref="Z9:Z14" si="7">Q9</f>
        <v>用途</v>
      </c>
      <c r="AA9" s="1570">
        <f t="shared" si="3"/>
        <v>1</v>
      </c>
      <c r="AB9" s="1570">
        <f t="shared" si="4"/>
        <v>1</v>
      </c>
      <c r="AC9" s="1570">
        <f t="shared" si="5"/>
        <v>1</v>
      </c>
    </row>
    <row r="10" spans="1:29" s="1337" customFormat="1" ht="27">
      <c r="A10" s="2892"/>
      <c r="B10" s="2897" t="s">
        <v>2757</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423"/>
      <c r="Q10" s="1150" t="str">
        <f t="shared" si="6"/>
        <v>土地使用年限（年）</v>
      </c>
      <c r="R10" s="1567" t="s">
        <v>8</v>
      </c>
      <c r="S10" s="1568">
        <f t="shared" si="0"/>
        <v>100</v>
      </c>
      <c r="T10" s="1567" t="s">
        <v>8</v>
      </c>
      <c r="U10" s="1568">
        <f t="shared" si="1"/>
        <v>100</v>
      </c>
      <c r="V10" s="1567" t="s">
        <v>8</v>
      </c>
      <c r="W10" s="1568">
        <f t="shared" si="2"/>
        <v>100</v>
      </c>
      <c r="X10" s="1569"/>
      <c r="Y10" s="3380"/>
      <c r="Z10" s="1149" t="str">
        <f t="shared" si="7"/>
        <v>土地使用年限（年）</v>
      </c>
      <c r="AA10" s="1570">
        <f t="shared" si="3"/>
        <v>1</v>
      </c>
      <c r="AB10" s="1570">
        <f t="shared" si="4"/>
        <v>1</v>
      </c>
      <c r="AC10" s="1570">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423"/>
      <c r="Q11" s="1150">
        <f t="shared" si="6"/>
        <v>111</v>
      </c>
      <c r="R11" s="1567" t="s">
        <v>8</v>
      </c>
      <c r="S11" s="1568">
        <f t="shared" si="0"/>
        <v>100</v>
      </c>
      <c r="T11" s="1567" t="s">
        <v>8</v>
      </c>
      <c r="U11" s="1568">
        <f t="shared" si="1"/>
        <v>100</v>
      </c>
      <c r="V11" s="1567" t="s">
        <v>8</v>
      </c>
      <c r="W11" s="1568">
        <f t="shared" si="2"/>
        <v>100</v>
      </c>
      <c r="X11" s="1569"/>
      <c r="Y11" s="3380"/>
      <c r="Z11" s="1149">
        <f t="shared" si="7"/>
        <v>111</v>
      </c>
      <c r="AA11" s="1570">
        <f t="shared" si="3"/>
        <v>1</v>
      </c>
      <c r="AB11" s="1570">
        <f t="shared" si="4"/>
        <v>1</v>
      </c>
      <c r="AC11" s="1570">
        <f t="shared" si="5"/>
        <v>1</v>
      </c>
    </row>
    <row r="12" spans="1:29" s="1219"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423"/>
      <c r="Q12" s="1150">
        <f t="shared" si="6"/>
        <v>111</v>
      </c>
      <c r="R12" s="1567" t="s">
        <v>8</v>
      </c>
      <c r="S12" s="1568">
        <f t="shared" si="0"/>
        <v>100</v>
      </c>
      <c r="T12" s="1567" t="s">
        <v>8</v>
      </c>
      <c r="U12" s="1568">
        <f t="shared" si="1"/>
        <v>100</v>
      </c>
      <c r="V12" s="1567" t="s">
        <v>8</v>
      </c>
      <c r="W12" s="1568">
        <f t="shared" si="2"/>
        <v>100</v>
      </c>
      <c r="X12" s="1569"/>
      <c r="Y12" s="3380"/>
      <c r="Z12" s="1149">
        <f t="shared" si="7"/>
        <v>111</v>
      </c>
      <c r="AA12" s="1570">
        <f>D12/F12</f>
        <v>1</v>
      </c>
      <c r="AB12" s="1570">
        <f>D12/H12</f>
        <v>1</v>
      </c>
      <c r="AC12" s="1570">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423"/>
      <c r="Q13" s="1150">
        <f t="shared" si="6"/>
        <v>111</v>
      </c>
      <c r="R13" s="1567" t="s">
        <v>8</v>
      </c>
      <c r="S13" s="1568">
        <f t="shared" si="0"/>
        <v>100</v>
      </c>
      <c r="T13" s="1567" t="s">
        <v>8</v>
      </c>
      <c r="U13" s="1568">
        <f t="shared" si="1"/>
        <v>100</v>
      </c>
      <c r="V13" s="1567" t="s">
        <v>8</v>
      </c>
      <c r="W13" s="1568">
        <f t="shared" si="2"/>
        <v>100</v>
      </c>
      <c r="X13" s="1569"/>
      <c r="Y13" s="3380"/>
      <c r="Z13" s="1149">
        <f t="shared" si="7"/>
        <v>111</v>
      </c>
      <c r="AA13" s="1570">
        <f t="shared" si="3"/>
        <v>1</v>
      </c>
      <c r="AB13" s="1570">
        <f t="shared" si="4"/>
        <v>1</v>
      </c>
      <c r="AC13" s="1570">
        <f t="shared" si="5"/>
        <v>1</v>
      </c>
    </row>
    <row r="14" spans="1:29" ht="85.5">
      <c r="A14" s="2887" t="s">
        <v>2754</v>
      </c>
      <c r="B14" s="547" t="s">
        <v>542</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425" t="s">
        <v>539</v>
      </c>
      <c r="Q14" s="1571" t="str">
        <f t="shared" si="6"/>
        <v>交通便捷度</v>
      </c>
      <c r="R14" s="1572" t="s">
        <v>8</v>
      </c>
      <c r="S14" s="1573">
        <f t="shared" si="0"/>
        <v>100</v>
      </c>
      <c r="T14" s="1572" t="s">
        <v>8</v>
      </c>
      <c r="U14" s="1573">
        <f t="shared" si="1"/>
        <v>100</v>
      </c>
      <c r="V14" s="1572" t="s">
        <v>8</v>
      </c>
      <c r="W14" s="1573">
        <f t="shared" si="2"/>
        <v>100</v>
      </c>
      <c r="X14" s="1566"/>
      <c r="Y14" s="3425" t="s">
        <v>539</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1"/>
      <c r="M15" s="2133"/>
      <c r="N15" s="2133"/>
      <c r="O15" s="2140"/>
      <c r="P15" s="3426"/>
      <c r="Q15" s="1571"/>
      <c r="R15" s="1572"/>
      <c r="S15" s="1573"/>
      <c r="T15" s="1572"/>
      <c r="U15" s="1573"/>
      <c r="V15" s="1572"/>
      <c r="W15" s="1573"/>
      <c r="X15" s="1566"/>
      <c r="Y15" s="3426"/>
      <c r="Z15" s="1574"/>
      <c r="AA15" s="1575">
        <v>1</v>
      </c>
      <c r="AB15" s="1575">
        <v>1</v>
      </c>
      <c r="AC15" s="1575">
        <v>1</v>
      </c>
    </row>
    <row r="16" spans="1:29" ht="42.75">
      <c r="A16" s="515"/>
      <c r="B16" s="2581"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426"/>
      <c r="Q16" s="1571" t="str">
        <f>B16</f>
        <v>公共配套设施</v>
      </c>
      <c r="R16" s="1572" t="s">
        <v>8</v>
      </c>
      <c r="S16" s="1573">
        <f>F16</f>
        <v>100</v>
      </c>
      <c r="T16" s="1572" t="s">
        <v>8</v>
      </c>
      <c r="U16" s="1573">
        <f>H16</f>
        <v>100</v>
      </c>
      <c r="V16" s="1572" t="s">
        <v>8</v>
      </c>
      <c r="W16" s="1573">
        <f>J16</f>
        <v>100</v>
      </c>
      <c r="X16" s="1566"/>
      <c r="Y16" s="3426"/>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1"/>
      <c r="M17" s="2133"/>
      <c r="N17" s="2133"/>
      <c r="O17" s="2140"/>
      <c r="P17" s="3426"/>
      <c r="Q17" s="1571"/>
      <c r="R17" s="1572"/>
      <c r="S17" s="1573"/>
      <c r="T17" s="1572"/>
      <c r="U17" s="1573"/>
      <c r="V17" s="1572"/>
      <c r="W17" s="1573"/>
      <c r="X17" s="1566"/>
      <c r="Y17" s="3426"/>
      <c r="Z17" s="1574"/>
      <c r="AA17" s="1575">
        <v>1</v>
      </c>
      <c r="AB17" s="1575">
        <v>1</v>
      </c>
      <c r="AC17" s="1575">
        <v>1</v>
      </c>
    </row>
    <row r="18" spans="1:29" ht="28.5">
      <c r="A18" s="515"/>
      <c r="B18" s="2569"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426"/>
      <c r="Q18" s="2557" t="str">
        <f>B18</f>
        <v>基础设施水平</v>
      </c>
      <c r="R18" s="1572" t="s">
        <v>8</v>
      </c>
      <c r="S18" s="1573">
        <f>F18</f>
        <v>100</v>
      </c>
      <c r="T18" s="1572" t="s">
        <v>8</v>
      </c>
      <c r="U18" s="1573">
        <f>H18</f>
        <v>100</v>
      </c>
      <c r="V18" s="1572" t="s">
        <v>8</v>
      </c>
      <c r="W18" s="1573">
        <f>J18</f>
        <v>100</v>
      </c>
      <c r="X18" s="2559"/>
      <c r="Y18" s="3426"/>
      <c r="Z18" s="2558"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80"/>
      <c r="L19" s="2141"/>
      <c r="M19" s="2133"/>
      <c r="N19" s="2133"/>
      <c r="O19" s="2140"/>
      <c r="P19" s="3426"/>
      <c r="Q19" s="2557"/>
      <c r="R19" s="1572"/>
      <c r="S19" s="1573"/>
      <c r="T19" s="1572"/>
      <c r="U19" s="1573"/>
      <c r="V19" s="1572"/>
      <c r="W19" s="1573"/>
      <c r="X19" s="2559"/>
      <c r="Y19" s="3426"/>
      <c r="Z19" s="2558"/>
      <c r="AA19" s="1575">
        <v>1</v>
      </c>
      <c r="AB19" s="1575">
        <v>1</v>
      </c>
      <c r="AC19" s="1575">
        <v>1</v>
      </c>
    </row>
    <row r="20" spans="1:29" ht="57">
      <c r="A20" s="515"/>
      <c r="B20" s="560" t="s">
        <v>803</v>
      </c>
      <c r="C20" s="872" t="str">
        <f>IF(B1="工业",估价对象房地状况!G7,估价对象房地状况!C9)</f>
        <v>区域自然环境：；人文环境；综合评价环境状况较好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426"/>
      <c r="Q20" s="1571" t="str">
        <f>B20</f>
        <v>自然及人文环境</v>
      </c>
      <c r="R20" s="1572" t="s">
        <v>8</v>
      </c>
      <c r="S20" s="1573">
        <f>F20</f>
        <v>100</v>
      </c>
      <c r="T20" s="1572" t="s">
        <v>8</v>
      </c>
      <c r="U20" s="1573">
        <f>H20</f>
        <v>100</v>
      </c>
      <c r="V20" s="1572" t="s">
        <v>8</v>
      </c>
      <c r="W20" s="1573">
        <f>J20</f>
        <v>100</v>
      </c>
      <c r="X20" s="1566"/>
      <c r="Y20" s="3426"/>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1"/>
      <c r="M21" s="2133"/>
      <c r="N21" s="2133"/>
      <c r="O21" s="2140"/>
      <c r="P21" s="3426"/>
      <c r="Q21" s="1571"/>
      <c r="R21" s="1572"/>
      <c r="S21" s="1573"/>
      <c r="T21" s="1572"/>
      <c r="U21" s="1573"/>
      <c r="V21" s="1572"/>
      <c r="W21" s="1573"/>
      <c r="X21" s="1566"/>
      <c r="Y21" s="3426"/>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26"/>
      <c r="Q22" s="1571" t="str">
        <f>B22</f>
        <v>楼层</v>
      </c>
      <c r="R22" s="1572" t="s">
        <v>8</v>
      </c>
      <c r="S22" s="1573">
        <f>F22</f>
        <v>100</v>
      </c>
      <c r="T22" s="1572" t="s">
        <v>8</v>
      </c>
      <c r="U22" s="1573">
        <f>H22</f>
        <v>100</v>
      </c>
      <c r="V22" s="1572" t="s">
        <v>8</v>
      </c>
      <c r="W22" s="1573">
        <f>J22</f>
        <v>100</v>
      </c>
      <c r="X22" s="1566"/>
      <c r="Y22" s="3426"/>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26"/>
      <c r="Q23" s="1571">
        <f>B23</f>
        <v>111</v>
      </c>
      <c r="R23" s="1572" t="s">
        <v>8</v>
      </c>
      <c r="S23" s="1573">
        <f>F23</f>
        <v>100</v>
      </c>
      <c r="T23" s="1572" t="s">
        <v>8</v>
      </c>
      <c r="U23" s="1573">
        <f>H23</f>
        <v>100</v>
      </c>
      <c r="V23" s="1572" t="s">
        <v>8</v>
      </c>
      <c r="W23" s="1573">
        <f>J23</f>
        <v>100</v>
      </c>
      <c r="X23" s="1566"/>
      <c r="Y23" s="3426"/>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26"/>
      <c r="Q24" s="1571">
        <f t="shared" ref="Q24:Q36" si="11">B24</f>
        <v>111</v>
      </c>
      <c r="R24" s="1572" t="s">
        <v>8</v>
      </c>
      <c r="S24" s="1573">
        <f>F24</f>
        <v>100</v>
      </c>
      <c r="T24" s="1572" t="s">
        <v>8</v>
      </c>
      <c r="U24" s="1573">
        <f>H24</f>
        <v>100</v>
      </c>
      <c r="V24" s="1572" t="s">
        <v>8</v>
      </c>
      <c r="W24" s="1573">
        <f>J24</f>
        <v>100</v>
      </c>
      <c r="X24" s="1566"/>
      <c r="Y24" s="3426"/>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26"/>
      <c r="Q25" s="1150">
        <f t="shared" si="11"/>
        <v>111</v>
      </c>
      <c r="R25" s="1567" t="s">
        <v>8</v>
      </c>
      <c r="S25" s="1568">
        <f>F25</f>
        <v>100</v>
      </c>
      <c r="T25" s="1567" t="s">
        <v>8</v>
      </c>
      <c r="U25" s="1568">
        <f>H25</f>
        <v>100</v>
      </c>
      <c r="V25" s="1567" t="s">
        <v>8</v>
      </c>
      <c r="W25" s="1568">
        <f>J25</f>
        <v>100</v>
      </c>
      <c r="X25" s="1569"/>
      <c r="Y25" s="3426"/>
      <c r="Z25" s="1149">
        <f>Q25</f>
        <v>111</v>
      </c>
      <c r="AA25" s="1575">
        <f>D25/F25</f>
        <v>1</v>
      </c>
      <c r="AB25" s="1575">
        <f>D25/H25</f>
        <v>1</v>
      </c>
      <c r="AC25" s="1575">
        <f>D25/J25</f>
        <v>1</v>
      </c>
    </row>
    <row r="26" spans="1:29" ht="15">
      <c r="A26" s="2884" t="s">
        <v>2755</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27"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8" t="s">
        <v>549</v>
      </c>
      <c r="Z26" s="1574" t="str">
        <f t="shared" ref="Z26:Z36" si="15">Q26</f>
        <v>配套类型</v>
      </c>
      <c r="AA26" s="1575">
        <f t="shared" si="3"/>
        <v>1</v>
      </c>
      <c r="AB26" s="1575">
        <f t="shared" si="4"/>
        <v>1</v>
      </c>
      <c r="AC26" s="1575">
        <f t="shared" si="5"/>
        <v>1</v>
      </c>
    </row>
    <row r="27" spans="1:29" s="1338"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28"/>
      <c r="Q27" s="1604" t="str">
        <f t="shared" si="11"/>
        <v>项目停车位配比</v>
      </c>
      <c r="R27" s="1576" t="s">
        <v>8</v>
      </c>
      <c r="S27" s="1577">
        <f t="shared" si="12"/>
        <v>100</v>
      </c>
      <c r="T27" s="1576" t="s">
        <v>8</v>
      </c>
      <c r="U27" s="1577">
        <f t="shared" si="13"/>
        <v>100</v>
      </c>
      <c r="V27" s="1576" t="s">
        <v>8</v>
      </c>
      <c r="W27" s="1577">
        <f t="shared" si="14"/>
        <v>100</v>
      </c>
      <c r="X27" s="1578"/>
      <c r="Y27" s="3428"/>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28"/>
      <c r="Q28" s="1571" t="str">
        <f t="shared" si="11"/>
        <v>公共部分装修</v>
      </c>
      <c r="R28" s="1572" t="s">
        <v>8</v>
      </c>
      <c r="S28" s="1573">
        <f t="shared" si="12"/>
        <v>100</v>
      </c>
      <c r="T28" s="1572" t="s">
        <v>8</v>
      </c>
      <c r="U28" s="1573">
        <f t="shared" si="13"/>
        <v>100</v>
      </c>
      <c r="V28" s="1572" t="s">
        <v>8</v>
      </c>
      <c r="W28" s="1573">
        <f t="shared" si="14"/>
        <v>100</v>
      </c>
      <c r="X28" s="1566"/>
      <c r="Y28" s="3428"/>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428"/>
      <c r="Q29" s="1571" t="str">
        <f t="shared" si="11"/>
        <v>成新率</v>
      </c>
      <c r="R29" s="1572" t="s">
        <v>8</v>
      </c>
      <c r="S29" s="1573" t="e">
        <f t="shared" si="12"/>
        <v>#N/A</v>
      </c>
      <c r="T29" s="1572" t="s">
        <v>8</v>
      </c>
      <c r="U29" s="1573" t="e">
        <f t="shared" si="13"/>
        <v>#N/A</v>
      </c>
      <c r="V29" s="1572" t="s">
        <v>8</v>
      </c>
      <c r="W29" s="1573" t="e">
        <f t="shared" si="14"/>
        <v>#N/A</v>
      </c>
      <c r="X29" s="1566"/>
      <c r="Y29" s="3428"/>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28"/>
      <c r="Q30" s="1571" t="str">
        <f t="shared" si="11"/>
        <v>物业等级</v>
      </c>
      <c r="R30" s="1572" t="s">
        <v>8</v>
      </c>
      <c r="S30" s="1573">
        <f t="shared" si="12"/>
        <v>100</v>
      </c>
      <c r="T30" s="1572" t="s">
        <v>8</v>
      </c>
      <c r="U30" s="1573">
        <f t="shared" si="13"/>
        <v>100</v>
      </c>
      <c r="V30" s="1572" t="s">
        <v>8</v>
      </c>
      <c r="W30" s="1573">
        <f t="shared" si="14"/>
        <v>100</v>
      </c>
      <c r="X30" s="1566"/>
      <c r="Y30" s="3428"/>
      <c r="Z30" s="1574" t="str">
        <f t="shared" si="15"/>
        <v>物业等级</v>
      </c>
      <c r="AA30" s="1575">
        <f t="shared" si="3"/>
        <v>1</v>
      </c>
      <c r="AB30" s="1575">
        <f t="shared" si="4"/>
        <v>1</v>
      </c>
      <c r="AC30" s="1575">
        <f t="shared" si="5"/>
        <v>1</v>
      </c>
    </row>
    <row r="31" spans="1:29" s="1219" customFormat="1" ht="15">
      <c r="A31" s="932"/>
      <c r="B31" s="582" t="s">
        <v>810</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428"/>
      <c r="Q31" s="1150" t="str">
        <f t="shared" si="11"/>
        <v>停车位面积</v>
      </c>
      <c r="R31" s="1567" t="s">
        <v>8</v>
      </c>
      <c r="S31" s="1568" t="e">
        <f t="shared" si="12"/>
        <v>#N/A</v>
      </c>
      <c r="T31" s="1567" t="s">
        <v>8</v>
      </c>
      <c r="U31" s="1568" t="e">
        <f t="shared" si="13"/>
        <v>#N/A</v>
      </c>
      <c r="V31" s="1567" t="s">
        <v>8</v>
      </c>
      <c r="W31" s="1568" t="e">
        <f t="shared" si="14"/>
        <v>#N/A</v>
      </c>
      <c r="X31" s="1569"/>
      <c r="Y31" s="3428"/>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28" t="s">
        <v>549</v>
      </c>
      <c r="Q32" s="1571" t="str">
        <f t="shared" si="11"/>
        <v>车位类型</v>
      </c>
      <c r="R32" s="1572" t="s">
        <v>8</v>
      </c>
      <c r="S32" s="1573">
        <f t="shared" si="12"/>
        <v>100</v>
      </c>
      <c r="T32" s="1572" t="s">
        <v>8</v>
      </c>
      <c r="U32" s="1573">
        <f t="shared" si="13"/>
        <v>100</v>
      </c>
      <c r="V32" s="1572" t="s">
        <v>8</v>
      </c>
      <c r="W32" s="1573">
        <f t="shared" si="14"/>
        <v>100</v>
      </c>
      <c r="X32" s="1566"/>
      <c r="Y32" s="3428" t="s">
        <v>549</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8"/>
      <c r="Q33" s="1571" t="str">
        <f t="shared" si="11"/>
        <v>是否直接入户</v>
      </c>
      <c r="R33" s="1572" t="s">
        <v>8</v>
      </c>
      <c r="S33" s="1573">
        <f t="shared" si="12"/>
        <v>100</v>
      </c>
      <c r="T33" s="1572" t="s">
        <v>8</v>
      </c>
      <c r="U33" s="1573">
        <f t="shared" si="13"/>
        <v>100</v>
      </c>
      <c r="V33" s="1572" t="s">
        <v>8</v>
      </c>
      <c r="W33" s="1573">
        <f t="shared" si="14"/>
        <v>100</v>
      </c>
      <c r="X33" s="1566"/>
      <c r="Y33" s="3428"/>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8"/>
      <c r="Q34" s="1571">
        <f t="shared" si="11"/>
        <v>111</v>
      </c>
      <c r="R34" s="1572" t="s">
        <v>8</v>
      </c>
      <c r="S34" s="1573">
        <f t="shared" si="12"/>
        <v>100</v>
      </c>
      <c r="T34" s="1572" t="s">
        <v>8</v>
      </c>
      <c r="U34" s="1573">
        <f t="shared" si="13"/>
        <v>100</v>
      </c>
      <c r="V34" s="1572" t="s">
        <v>8</v>
      </c>
      <c r="W34" s="1573">
        <f t="shared" si="14"/>
        <v>100</v>
      </c>
      <c r="X34" s="1566"/>
      <c r="Y34" s="3428"/>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8"/>
      <c r="Q35" s="1604">
        <f t="shared" si="11"/>
        <v>111</v>
      </c>
      <c r="R35" s="1576" t="s">
        <v>8</v>
      </c>
      <c r="S35" s="1577">
        <f t="shared" si="12"/>
        <v>100</v>
      </c>
      <c r="T35" s="1576" t="s">
        <v>8</v>
      </c>
      <c r="U35" s="1577">
        <f t="shared" si="13"/>
        <v>100</v>
      </c>
      <c r="V35" s="1576" t="s">
        <v>8</v>
      </c>
      <c r="W35" s="1577">
        <f t="shared" si="14"/>
        <v>100</v>
      </c>
      <c r="X35" s="1578"/>
      <c r="Y35" s="3428"/>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8"/>
      <c r="Q36" s="1571">
        <f t="shared" si="11"/>
        <v>111</v>
      </c>
      <c r="R36" s="1572" t="s">
        <v>8</v>
      </c>
      <c r="S36" s="1573">
        <f t="shared" si="12"/>
        <v>100</v>
      </c>
      <c r="T36" s="1572" t="s">
        <v>8</v>
      </c>
      <c r="U36" s="1573">
        <f t="shared" si="13"/>
        <v>100</v>
      </c>
      <c r="V36" s="1572" t="s">
        <v>8</v>
      </c>
      <c r="W36" s="1573">
        <f t="shared" si="14"/>
        <v>100</v>
      </c>
      <c r="X36" s="1566"/>
      <c r="Y36" s="3428"/>
      <c r="Z36" s="1574">
        <f t="shared" si="15"/>
        <v>111</v>
      </c>
      <c r="AA36" s="1575">
        <f t="shared" si="3"/>
        <v>1</v>
      </c>
      <c r="AB36" s="1575">
        <f t="shared" si="4"/>
        <v>1</v>
      </c>
      <c r="AC36" s="1575">
        <f t="shared" si="5"/>
        <v>1</v>
      </c>
    </row>
    <row r="37" spans="1:29" ht="15">
      <c r="A37" s="1845" t="s">
        <v>2077</v>
      </c>
      <c r="B37" s="1846" t="s">
        <v>2078</v>
      </c>
      <c r="C37" s="2605" t="s">
        <v>1</v>
      </c>
      <c r="D37" s="2606"/>
      <c r="E37" s="2607"/>
      <c r="F37" s="2608"/>
      <c r="G37" s="2609"/>
      <c r="H37" s="2610"/>
      <c r="I37" s="2607"/>
      <c r="J37" s="2610"/>
      <c r="K37" s="1610"/>
      <c r="L37" s="2143"/>
      <c r="M37" s="2144"/>
      <c r="N37" s="2133"/>
      <c r="O37" s="2144"/>
      <c r="P37" s="3423" t="str">
        <f>A37</f>
        <v>成交单价</v>
      </c>
      <c r="Q37" s="3423"/>
      <c r="R37" s="3510">
        <f>E37</f>
        <v>0</v>
      </c>
      <c r="S37" s="3510"/>
      <c r="T37" s="3510">
        <f>G37</f>
        <v>0</v>
      </c>
      <c r="U37" s="3510"/>
      <c r="V37" s="3510">
        <f>I37</f>
        <v>0</v>
      </c>
      <c r="W37" s="3510"/>
      <c r="X37" s="1558"/>
      <c r="Y37" s="1580"/>
      <c r="Z37" s="1558"/>
      <c r="AA37" s="1558"/>
      <c r="AB37" s="1558"/>
      <c r="AC37" s="1558"/>
    </row>
    <row r="38" spans="1:29" ht="15.75" thickBot="1">
      <c r="A38" s="615" t="s">
        <v>2760</v>
      </c>
      <c r="B38" s="887"/>
      <c r="C38" s="2611" t="e">
        <f>R39</f>
        <v>#DIV/0!</v>
      </c>
      <c r="D38" s="2612"/>
      <c r="E38" s="2613" t="e">
        <f>R38</f>
        <v>#DIV/0!</v>
      </c>
      <c r="F38" s="2613"/>
      <c r="G38" s="2611" t="e">
        <f>T38</f>
        <v>#DIV/0!</v>
      </c>
      <c r="H38" s="2612"/>
      <c r="I38" s="2613" t="e">
        <f>V38</f>
        <v>#DIV/0!</v>
      </c>
      <c r="J38" s="2612"/>
      <c r="K38" s="1611"/>
      <c r="L38" s="2143"/>
      <c r="M38" s="2144"/>
      <c r="N38" s="2144"/>
      <c r="O38" s="2144"/>
      <c r="P38" s="3423" t="str">
        <f>A38</f>
        <v>比较价格（元/平方米）</v>
      </c>
      <c r="Q38" s="3423"/>
      <c r="R38" s="3510" t="e">
        <f>IF(F1="售价",ROUND(PRODUCT(R37,AA7:AA36),0),ROUND(PRODUCT(R37,AA7:AA36),1))</f>
        <v>#DIV/0!</v>
      </c>
      <c r="S38" s="3510"/>
      <c r="T38" s="3510" t="e">
        <f>IF(F1="售价",ROUND(PRODUCT(T37,AB7:AB36),0),ROUND(PRODUCT(T37,AB7:AB36),1))</f>
        <v>#DIV/0!</v>
      </c>
      <c r="U38" s="3510"/>
      <c r="V38" s="3510" t="e">
        <f>IF(F1="售价",ROUND(PRODUCT(V37,AC7:AC36),0),ROUND(PRODUCT(V37,AC7:AC36),1))</f>
        <v>#DIV/0!</v>
      </c>
      <c r="W38" s="3510"/>
      <c r="X38" s="1558"/>
      <c r="Y38" s="1558"/>
      <c r="Z38" s="1558"/>
      <c r="AA38" s="1558"/>
      <c r="AB38" s="1558"/>
      <c r="AC38" s="1558"/>
    </row>
    <row r="39" spans="1:29" ht="15.75" thickBot="1">
      <c r="A39" s="621" t="s">
        <v>2931</v>
      </c>
      <c r="B39" s="622"/>
      <c r="C39" s="2614" t="e">
        <f>R39</f>
        <v>#DIV/0!</v>
      </c>
      <c r="D39" s="2614"/>
      <c r="E39" s="2614"/>
      <c r="F39" s="2614"/>
      <c r="G39" s="2614"/>
      <c r="H39" s="2614"/>
      <c r="I39" s="2614"/>
      <c r="J39" s="2614"/>
      <c r="K39" s="1612"/>
      <c r="L39" s="2143"/>
      <c r="M39" s="2144"/>
      <c r="N39" s="2144"/>
      <c r="O39" s="2144"/>
      <c r="P39" s="3444" t="str">
        <f>A39</f>
        <v>估价对象XX用房的比较价格（楼面单价，元/平方米）</v>
      </c>
      <c r="Q39" s="3445"/>
      <c r="R39" s="3509" t="e">
        <f>IF(F1="售价",ROUND(AVERAGE(R38:V38),0),ROUND(AVERAGE(R38:V38),1))</f>
        <v>#DIV/0!</v>
      </c>
      <c r="S39" s="3509"/>
      <c r="T39" s="3509"/>
      <c r="U39" s="3509"/>
      <c r="V39" s="3509"/>
      <c r="W39" s="3509"/>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573</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528</v>
      </c>
      <c r="B48" s="646"/>
      <c r="C48" s="2779" t="str">
        <f>YEAR(C7)&amp;"-"&amp;MONTH(C7)</f>
        <v>2019-3</v>
      </c>
      <c r="D48" s="2781">
        <f>EDATE(C48,-1)</f>
        <v>43497</v>
      </c>
      <c r="E48" s="2781">
        <f t="shared" ref="E48:O48" si="16">EDATE(D48,-1)</f>
        <v>43466</v>
      </c>
      <c r="F48" s="2781">
        <f t="shared" si="16"/>
        <v>43435</v>
      </c>
      <c r="G48" s="2781">
        <f t="shared" si="16"/>
        <v>43405</v>
      </c>
      <c r="H48" s="2781">
        <f t="shared" si="16"/>
        <v>43374</v>
      </c>
      <c r="I48" s="2781">
        <f t="shared" si="16"/>
        <v>43344</v>
      </c>
      <c r="J48" s="2781">
        <f t="shared" si="16"/>
        <v>43313</v>
      </c>
      <c r="K48" s="2781">
        <f t="shared" si="16"/>
        <v>43282</v>
      </c>
      <c r="L48" s="2781">
        <f t="shared" si="16"/>
        <v>43252</v>
      </c>
      <c r="M48" s="2781">
        <f t="shared" si="16"/>
        <v>43221</v>
      </c>
      <c r="N48" s="2781">
        <f t="shared" si="16"/>
        <v>43191</v>
      </c>
      <c r="O48" s="2781">
        <f t="shared" si="16"/>
        <v>43160</v>
      </c>
      <c r="P48" s="2159"/>
      <c r="Q48" s="2160"/>
      <c r="R48" s="2160"/>
      <c r="S48" s="2160"/>
      <c r="T48" s="2160"/>
      <c r="U48" s="2160"/>
      <c r="V48" s="2160"/>
      <c r="W48" s="2160"/>
      <c r="X48" s="2160"/>
      <c r="Y48" s="2160"/>
      <c r="Z48" s="2160"/>
      <c r="AA48" s="2160"/>
      <c r="AB48" s="2160"/>
      <c r="AC48" s="2160"/>
    </row>
    <row r="49" spans="1:29" s="1219"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574</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530</v>
      </c>
      <c r="B51" s="648"/>
      <c r="C51" s="660" t="s">
        <v>575</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576</v>
      </c>
      <c r="B53" s="665" t="s">
        <v>533</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2557</v>
      </c>
      <c r="C65" s="708" t="s">
        <v>578</v>
      </c>
      <c r="D65" s="708" t="s">
        <v>579</v>
      </c>
      <c r="E65" s="708" t="s">
        <v>580</v>
      </c>
      <c r="F65" s="708" t="s">
        <v>581</v>
      </c>
      <c r="G65" s="708" t="s">
        <v>582</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2558</v>
      </c>
      <c r="C67" s="2576" t="s">
        <v>2559</v>
      </c>
      <c r="D67" s="2576" t="s">
        <v>2560</v>
      </c>
      <c r="E67" s="2576" t="s">
        <v>2561</v>
      </c>
      <c r="F67" s="2576" t="s">
        <v>2562</v>
      </c>
      <c r="G67" s="2576" t="s">
        <v>2563</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743</v>
      </c>
      <c r="C69" s="708" t="s">
        <v>578</v>
      </c>
      <c r="D69" s="708" t="s">
        <v>579</v>
      </c>
      <c r="E69" s="708" t="s">
        <v>580</v>
      </c>
      <c r="F69" s="708" t="s">
        <v>581</v>
      </c>
      <c r="G69" s="708" t="s">
        <v>582</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744</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550</v>
      </c>
      <c r="B79" s="665" t="s">
        <v>813</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814</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750</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819</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784"/>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796</v>
      </c>
      <c r="B4" s="513"/>
      <c r="C4" s="3429" t="s">
        <v>797</v>
      </c>
      <c r="D4" s="3430"/>
      <c r="E4" s="3453" t="s">
        <v>798</v>
      </c>
      <c r="F4" s="3454"/>
      <c r="G4" s="3429" t="s">
        <v>799</v>
      </c>
      <c r="H4" s="3430"/>
      <c r="I4" s="3429" t="s">
        <v>800</v>
      </c>
      <c r="J4" s="3430"/>
      <c r="K4" s="514" t="s">
        <v>801</v>
      </c>
      <c r="L4" s="2132"/>
      <c r="M4" s="2133"/>
      <c r="N4" s="2133"/>
      <c r="O4" s="2133"/>
      <c r="P4" s="3431" t="s">
        <v>802</v>
      </c>
      <c r="Q4" s="3432"/>
      <c r="R4" s="3417" t="s">
        <v>798</v>
      </c>
      <c r="S4" s="3418"/>
      <c r="T4" s="3417" t="s">
        <v>799</v>
      </c>
      <c r="U4" s="3418"/>
      <c r="V4" s="3437" t="s">
        <v>800</v>
      </c>
      <c r="W4" s="3437"/>
      <c r="X4" s="1566"/>
      <c r="Y4" s="3417" t="s">
        <v>802</v>
      </c>
      <c r="Z4" s="3418"/>
      <c r="AA4" s="3412" t="s">
        <v>798</v>
      </c>
      <c r="AB4" s="3413" t="s">
        <v>799</v>
      </c>
      <c r="AC4" s="3412" t="s">
        <v>800</v>
      </c>
    </row>
    <row r="5" spans="1:29" ht="15">
      <c r="A5" s="515"/>
      <c r="B5" s="516"/>
      <c r="C5" s="3440" t="s">
        <v>2925</v>
      </c>
      <c r="D5" s="3441"/>
      <c r="E5" s="3455" t="s">
        <v>2926</v>
      </c>
      <c r="F5" s="3456"/>
      <c r="G5" s="3440" t="s">
        <v>2927</v>
      </c>
      <c r="H5" s="3441"/>
      <c r="I5" s="3440" t="s">
        <v>2928</v>
      </c>
      <c r="J5" s="3441"/>
      <c r="K5" s="514"/>
      <c r="L5" s="2132"/>
      <c r="M5" s="2133"/>
      <c r="N5" s="2133"/>
      <c r="O5" s="2133"/>
      <c r="P5" s="3433"/>
      <c r="Q5" s="3434"/>
      <c r="R5" s="3419"/>
      <c r="S5" s="3420"/>
      <c r="T5" s="3419"/>
      <c r="U5" s="3420"/>
      <c r="V5" s="3437"/>
      <c r="W5" s="3437"/>
      <c r="X5" s="1566"/>
      <c r="Y5" s="3419"/>
      <c r="Z5" s="3420"/>
      <c r="AA5" s="3413"/>
      <c r="AB5" s="3413"/>
      <c r="AC5" s="3413"/>
    </row>
    <row r="6" spans="1:29" ht="15.75" thickBot="1">
      <c r="A6" s="517"/>
      <c r="B6" s="518"/>
      <c r="C6" s="3438" t="s">
        <v>2929</v>
      </c>
      <c r="D6" s="3439"/>
      <c r="E6" s="3457" t="s">
        <v>2929</v>
      </c>
      <c r="F6" s="3458"/>
      <c r="G6" s="3438" t="s">
        <v>2929</v>
      </c>
      <c r="H6" s="3439"/>
      <c r="I6" s="3438" t="s">
        <v>2929</v>
      </c>
      <c r="J6" s="3439"/>
      <c r="K6" s="514" t="s">
        <v>527</v>
      </c>
      <c r="L6" s="2132"/>
      <c r="M6" s="2133"/>
      <c r="N6" s="2133"/>
      <c r="O6" s="2133"/>
      <c r="P6" s="3435"/>
      <c r="Q6" s="3436"/>
      <c r="R6" s="3419"/>
      <c r="S6" s="3420"/>
      <c r="T6" s="3421"/>
      <c r="U6" s="3422"/>
      <c r="V6" s="3437"/>
      <c r="W6" s="3437"/>
      <c r="X6" s="1566"/>
      <c r="Y6" s="3421"/>
      <c r="Z6" s="3422"/>
      <c r="AA6" s="3414"/>
      <c r="AB6" s="3414"/>
      <c r="AC6" s="3414"/>
    </row>
    <row r="7" spans="1:29" s="1219" customFormat="1" ht="15.75" thickBot="1">
      <c r="A7" s="2889"/>
      <c r="B7" s="2896" t="s">
        <v>528</v>
      </c>
      <c r="C7" s="519">
        <f>'数据-取费表'!B2</f>
        <v>43528</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15" t="s">
        <v>529</v>
      </c>
      <c r="Q7" s="3424"/>
      <c r="R7" s="1567" t="s">
        <v>8</v>
      </c>
      <c r="S7" s="1568">
        <f t="shared" ref="S7:S14" si="0">F7</f>
        <v>0</v>
      </c>
      <c r="T7" s="1567" t="s">
        <v>8</v>
      </c>
      <c r="U7" s="1568">
        <f t="shared" ref="U7:U14" si="1">H7</f>
        <v>0</v>
      </c>
      <c r="V7" s="1567" t="s">
        <v>8</v>
      </c>
      <c r="W7" s="1568">
        <f t="shared" ref="W7:W14" si="2">J7</f>
        <v>0</v>
      </c>
      <c r="X7" s="1569"/>
      <c r="Y7" s="3415" t="s">
        <v>529</v>
      </c>
      <c r="Z7" s="3416"/>
      <c r="AA7" s="1570" t="e">
        <f>D7/F7</f>
        <v>#DIV/0!</v>
      </c>
      <c r="AB7" s="1570" t="e">
        <f>D7/H7</f>
        <v>#DIV/0!</v>
      </c>
      <c r="AC7" s="1570" t="e">
        <f>D7/J7</f>
        <v>#DIV/0!</v>
      </c>
    </row>
    <row r="8" spans="1:29" s="1219" customFormat="1" ht="15.75" thickBot="1">
      <c r="A8" s="2890"/>
      <c r="B8" s="2897" t="s">
        <v>530</v>
      </c>
      <c r="C8" s="525" t="s">
        <v>575</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15" t="s">
        <v>532</v>
      </c>
      <c r="Q8" s="3416"/>
      <c r="R8" s="1567" t="s">
        <v>8</v>
      </c>
      <c r="S8" s="1568">
        <f t="shared" si="0"/>
        <v>0</v>
      </c>
      <c r="T8" s="1567" t="s">
        <v>8</v>
      </c>
      <c r="U8" s="1568">
        <f t="shared" si="1"/>
        <v>0</v>
      </c>
      <c r="V8" s="1567" t="s">
        <v>8</v>
      </c>
      <c r="W8" s="1568">
        <f t="shared" si="2"/>
        <v>0</v>
      </c>
      <c r="X8" s="1569"/>
      <c r="Y8" s="3415" t="s">
        <v>532</v>
      </c>
      <c r="Z8" s="3416"/>
      <c r="AA8" s="1570" t="e">
        <f t="shared" ref="AA8:AA34" si="3">D8/F8</f>
        <v>#DIV/0!</v>
      </c>
      <c r="AB8" s="1570" t="e">
        <f t="shared" ref="AB8:AB34" si="4">D8/H8</f>
        <v>#DIV/0!</v>
      </c>
      <c r="AC8" s="1570" t="e">
        <f t="shared" ref="AC8:AC34" si="5">D8/J8</f>
        <v>#DIV/0!</v>
      </c>
    </row>
    <row r="9" spans="1:29" s="1219" customFormat="1" ht="15">
      <c r="A9" s="2891"/>
      <c r="B9" s="2898" t="s">
        <v>2756</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423" t="s">
        <v>534</v>
      </c>
      <c r="Q9" s="1150" t="str">
        <f t="shared" ref="Q9:Q14" si="6">B9</f>
        <v>用途</v>
      </c>
      <c r="R9" s="1567" t="s">
        <v>8</v>
      </c>
      <c r="S9" s="1568">
        <f t="shared" si="0"/>
        <v>100</v>
      </c>
      <c r="T9" s="1567" t="s">
        <v>8</v>
      </c>
      <c r="U9" s="1568">
        <f t="shared" si="1"/>
        <v>100</v>
      </c>
      <c r="V9" s="1567" t="s">
        <v>8</v>
      </c>
      <c r="W9" s="1568">
        <f t="shared" si="2"/>
        <v>100</v>
      </c>
      <c r="X9" s="1569"/>
      <c r="Y9" s="3380" t="s">
        <v>535</v>
      </c>
      <c r="Z9" s="1149" t="str">
        <f t="shared" ref="Z9:Z14" si="7">Q9</f>
        <v>用途</v>
      </c>
      <c r="AA9" s="1570">
        <f t="shared" si="3"/>
        <v>1</v>
      </c>
      <c r="AB9" s="1570">
        <f t="shared" si="4"/>
        <v>1</v>
      </c>
      <c r="AC9" s="1570">
        <f t="shared" si="5"/>
        <v>1</v>
      </c>
    </row>
    <row r="10" spans="1:29" s="1337" customFormat="1" ht="27">
      <c r="A10" s="2892"/>
      <c r="B10" s="2897" t="s">
        <v>2757</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423"/>
      <c r="Q10" s="1150" t="str">
        <f t="shared" si="6"/>
        <v>土地使用年限（年）</v>
      </c>
      <c r="R10" s="1567" t="s">
        <v>8</v>
      </c>
      <c r="S10" s="1568">
        <f t="shared" si="0"/>
        <v>100</v>
      </c>
      <c r="T10" s="1567" t="s">
        <v>8</v>
      </c>
      <c r="U10" s="1568">
        <f t="shared" si="1"/>
        <v>100</v>
      </c>
      <c r="V10" s="1567" t="s">
        <v>8</v>
      </c>
      <c r="W10" s="1568">
        <f t="shared" si="2"/>
        <v>100</v>
      </c>
      <c r="X10" s="1569"/>
      <c r="Y10" s="3380"/>
      <c r="Z10" s="1149" t="str">
        <f t="shared" si="7"/>
        <v>土地使用年限（年）</v>
      </c>
      <c r="AA10" s="1570">
        <f t="shared" si="3"/>
        <v>1</v>
      </c>
      <c r="AB10" s="1570">
        <f t="shared" si="4"/>
        <v>1</v>
      </c>
      <c r="AC10" s="1570">
        <f t="shared" si="5"/>
        <v>1</v>
      </c>
    </row>
    <row r="11" spans="1:29" ht="15">
      <c r="A11" s="2894"/>
      <c r="B11" s="2900">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423"/>
      <c r="Q11" s="1150">
        <f t="shared" si="6"/>
        <v>111</v>
      </c>
      <c r="R11" s="1567" t="s">
        <v>8</v>
      </c>
      <c r="S11" s="1568">
        <f t="shared" si="0"/>
        <v>100</v>
      </c>
      <c r="T11" s="1567" t="s">
        <v>8</v>
      </c>
      <c r="U11" s="1568">
        <f t="shared" si="1"/>
        <v>100</v>
      </c>
      <c r="V11" s="1567" t="s">
        <v>8</v>
      </c>
      <c r="W11" s="1568">
        <f t="shared" si="2"/>
        <v>100</v>
      </c>
      <c r="X11" s="1569"/>
      <c r="Y11" s="3380"/>
      <c r="Z11" s="1149">
        <f t="shared" si="7"/>
        <v>111</v>
      </c>
      <c r="AA11" s="1570">
        <f t="shared" si="3"/>
        <v>1</v>
      </c>
      <c r="AB11" s="1570">
        <f t="shared" si="4"/>
        <v>1</v>
      </c>
      <c r="AC11" s="1570">
        <f t="shared" si="5"/>
        <v>1</v>
      </c>
    </row>
    <row r="12" spans="1:29" s="1219" customFormat="1" ht="15">
      <c r="A12" s="2894"/>
      <c r="B12" s="2900">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423"/>
      <c r="Q12" s="1150">
        <f t="shared" si="6"/>
        <v>111</v>
      </c>
      <c r="R12" s="1567" t="s">
        <v>8</v>
      </c>
      <c r="S12" s="1568">
        <f t="shared" si="0"/>
        <v>100</v>
      </c>
      <c r="T12" s="1567" t="s">
        <v>8</v>
      </c>
      <c r="U12" s="1568">
        <f t="shared" si="1"/>
        <v>100</v>
      </c>
      <c r="V12" s="1567" t="s">
        <v>8</v>
      </c>
      <c r="W12" s="1568">
        <f t="shared" si="2"/>
        <v>100</v>
      </c>
      <c r="X12" s="1569"/>
      <c r="Y12" s="3380"/>
      <c r="Z12" s="1149">
        <f t="shared" si="7"/>
        <v>111</v>
      </c>
      <c r="AA12" s="1570">
        <f>D12/F12</f>
        <v>1</v>
      </c>
      <c r="AB12" s="1570">
        <f>D12/H12</f>
        <v>1</v>
      </c>
      <c r="AC12" s="1570">
        <f>D12/J12</f>
        <v>1</v>
      </c>
    </row>
    <row r="13" spans="1:29" ht="15.75" thickBot="1">
      <c r="A13" s="2895"/>
      <c r="B13" s="2901">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423"/>
      <c r="Q13" s="1150">
        <f t="shared" si="6"/>
        <v>111</v>
      </c>
      <c r="R13" s="1567" t="s">
        <v>8</v>
      </c>
      <c r="S13" s="1568">
        <f t="shared" si="0"/>
        <v>100</v>
      </c>
      <c r="T13" s="1567" t="s">
        <v>8</v>
      </c>
      <c r="U13" s="1568">
        <f t="shared" si="1"/>
        <v>100</v>
      </c>
      <c r="V13" s="1567" t="s">
        <v>8</v>
      </c>
      <c r="W13" s="1568">
        <f t="shared" si="2"/>
        <v>100</v>
      </c>
      <c r="X13" s="1569"/>
      <c r="Y13" s="3380"/>
      <c r="Z13" s="1149">
        <f t="shared" si="7"/>
        <v>111</v>
      </c>
      <c r="AA13" s="1570">
        <f t="shared" si="3"/>
        <v>1</v>
      </c>
      <c r="AB13" s="1570">
        <f t="shared" si="4"/>
        <v>1</v>
      </c>
      <c r="AC13" s="1570">
        <f t="shared" si="5"/>
        <v>1</v>
      </c>
    </row>
    <row r="14" spans="1:29" ht="85.5">
      <c r="A14" s="2887" t="s">
        <v>2754</v>
      </c>
      <c r="B14" s="166" t="s">
        <v>542</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25" t="s">
        <v>539</v>
      </c>
      <c r="Q14" s="1571" t="str">
        <f t="shared" si="6"/>
        <v>交通便捷度</v>
      </c>
      <c r="R14" s="1572" t="s">
        <v>8</v>
      </c>
      <c r="S14" s="1573">
        <f t="shared" si="0"/>
        <v>100</v>
      </c>
      <c r="T14" s="1572" t="s">
        <v>8</v>
      </c>
      <c r="U14" s="1573">
        <f t="shared" si="1"/>
        <v>100</v>
      </c>
      <c r="V14" s="1572" t="s">
        <v>8</v>
      </c>
      <c r="W14" s="1573">
        <f t="shared" si="2"/>
        <v>100</v>
      </c>
      <c r="X14" s="1566"/>
      <c r="Y14" s="3425"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26"/>
      <c r="Q15" s="1571"/>
      <c r="R15" s="1572"/>
      <c r="S15" s="1573"/>
      <c r="T15" s="1572"/>
      <c r="U15" s="1573"/>
      <c r="V15" s="1572"/>
      <c r="W15" s="1573"/>
      <c r="X15" s="1566"/>
      <c r="Y15" s="3426"/>
      <c r="Z15" s="1574"/>
      <c r="AA15" s="1575">
        <v>1</v>
      </c>
      <c r="AB15" s="1575">
        <v>1</v>
      </c>
      <c r="AC15" s="1575">
        <v>1</v>
      </c>
    </row>
    <row r="16" spans="1:29" ht="42.75">
      <c r="A16" s="532"/>
      <c r="B16" s="2581"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26"/>
      <c r="Q16" s="1571" t="str">
        <f>B16</f>
        <v>公共配套设施</v>
      </c>
      <c r="R16" s="1572" t="s">
        <v>8</v>
      </c>
      <c r="S16" s="1573">
        <f>F16</f>
        <v>100</v>
      </c>
      <c r="T16" s="1572" t="s">
        <v>8</v>
      </c>
      <c r="U16" s="1573">
        <f>H16</f>
        <v>100</v>
      </c>
      <c r="V16" s="1572" t="s">
        <v>8</v>
      </c>
      <c r="W16" s="1573">
        <f>J16</f>
        <v>100</v>
      </c>
      <c r="X16" s="1566"/>
      <c r="Y16" s="3426"/>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26"/>
      <c r="Q17" s="1571"/>
      <c r="R17" s="1572"/>
      <c r="S17" s="1573"/>
      <c r="T17" s="1572"/>
      <c r="U17" s="1573"/>
      <c r="V17" s="1572"/>
      <c r="W17" s="1573"/>
      <c r="X17" s="1566"/>
      <c r="Y17" s="3426"/>
      <c r="Z17" s="1574"/>
      <c r="AA17" s="1575">
        <v>1</v>
      </c>
      <c r="AB17" s="1575">
        <v>1</v>
      </c>
      <c r="AC17" s="1575">
        <v>1</v>
      </c>
    </row>
    <row r="18" spans="1:29" ht="28.5">
      <c r="A18" s="532"/>
      <c r="B18" s="2569"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26"/>
      <c r="Q18" s="2557" t="str">
        <f>B18</f>
        <v>基础设施水平</v>
      </c>
      <c r="R18" s="1572" t="s">
        <v>8</v>
      </c>
      <c r="S18" s="1573">
        <f>F18</f>
        <v>100</v>
      </c>
      <c r="T18" s="1572" t="s">
        <v>8</v>
      </c>
      <c r="U18" s="1573">
        <f>H18</f>
        <v>100</v>
      </c>
      <c r="V18" s="1572" t="s">
        <v>8</v>
      </c>
      <c r="W18" s="1573">
        <f>J18</f>
        <v>100</v>
      </c>
      <c r="X18" s="2559"/>
      <c r="Y18" s="3426"/>
      <c r="Z18" s="2558"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80"/>
      <c r="L19" s="2141"/>
      <c r="M19" s="2133"/>
      <c r="N19" s="2133"/>
      <c r="O19" s="2140"/>
      <c r="P19" s="3426"/>
      <c r="Q19" s="2557"/>
      <c r="R19" s="1572"/>
      <c r="S19" s="1573"/>
      <c r="T19" s="1572"/>
      <c r="U19" s="1573"/>
      <c r="V19" s="1572"/>
      <c r="W19" s="1573"/>
      <c r="X19" s="2559"/>
      <c r="Y19" s="3426"/>
      <c r="Z19" s="2558"/>
      <c r="AA19" s="1575">
        <v>1</v>
      </c>
      <c r="AB19" s="1575">
        <v>1</v>
      </c>
      <c r="AC19" s="1575">
        <v>1</v>
      </c>
    </row>
    <row r="20" spans="1:29" ht="57">
      <c r="A20" s="532"/>
      <c r="B20" s="871" t="s">
        <v>803</v>
      </c>
      <c r="C20" s="872" t="str">
        <f>IF(B1="工业",估价对象房地状况!G7,估价对象房地状况!C9)</f>
        <v>区域自然环境：；人文环境；综合评价环境状况较好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26"/>
      <c r="Q20" s="1571" t="str">
        <f>B20</f>
        <v>自然及人文环境</v>
      </c>
      <c r="R20" s="1572" t="s">
        <v>8</v>
      </c>
      <c r="S20" s="1573">
        <f>F20</f>
        <v>100</v>
      </c>
      <c r="T20" s="1572" t="s">
        <v>8</v>
      </c>
      <c r="U20" s="1573">
        <f>H20</f>
        <v>100</v>
      </c>
      <c r="V20" s="1572" t="s">
        <v>8</v>
      </c>
      <c r="W20" s="1573">
        <f>J20</f>
        <v>100</v>
      </c>
      <c r="X20" s="1566"/>
      <c r="Y20" s="3426"/>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26"/>
      <c r="Q21" s="1571"/>
      <c r="R21" s="1572"/>
      <c r="S21" s="1573"/>
      <c r="T21" s="1572"/>
      <c r="U21" s="1573"/>
      <c r="V21" s="1572"/>
      <c r="W21" s="1573"/>
      <c r="X21" s="1566"/>
      <c r="Y21" s="3426"/>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26"/>
      <c r="Q22" s="1571" t="str">
        <f>B22</f>
        <v>楼层</v>
      </c>
      <c r="R22" s="1572" t="s">
        <v>8</v>
      </c>
      <c r="S22" s="1573">
        <f>F22</f>
        <v>100</v>
      </c>
      <c r="T22" s="1572" t="s">
        <v>8</v>
      </c>
      <c r="U22" s="1573">
        <f>H22</f>
        <v>100</v>
      </c>
      <c r="V22" s="1572" t="s">
        <v>8</v>
      </c>
      <c r="W22" s="1573">
        <f>J22</f>
        <v>100</v>
      </c>
      <c r="X22" s="1566"/>
      <c r="Y22" s="3426"/>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26"/>
      <c r="Q23" s="1571">
        <f>B23</f>
        <v>111</v>
      </c>
      <c r="R23" s="1572" t="s">
        <v>8</v>
      </c>
      <c r="S23" s="1573">
        <f>F23</f>
        <v>100</v>
      </c>
      <c r="T23" s="1572" t="s">
        <v>8</v>
      </c>
      <c r="U23" s="1573">
        <f>H23</f>
        <v>100</v>
      </c>
      <c r="V23" s="1572" t="s">
        <v>8</v>
      </c>
      <c r="W23" s="1573">
        <f>J23</f>
        <v>100</v>
      </c>
      <c r="X23" s="1566"/>
      <c r="Y23" s="3426"/>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26"/>
      <c r="Q24" s="1571">
        <f t="shared" ref="Q24:Q34" si="11">B24</f>
        <v>111</v>
      </c>
      <c r="R24" s="1572" t="s">
        <v>8</v>
      </c>
      <c r="S24" s="1573">
        <f>F24</f>
        <v>100</v>
      </c>
      <c r="T24" s="1572" t="s">
        <v>8</v>
      </c>
      <c r="U24" s="1573">
        <f>H24</f>
        <v>100</v>
      </c>
      <c r="V24" s="1572" t="s">
        <v>8</v>
      </c>
      <c r="W24" s="1573">
        <f>J24</f>
        <v>100</v>
      </c>
      <c r="X24" s="1566"/>
      <c r="Y24" s="3426"/>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26"/>
      <c r="Q25" s="1150">
        <f t="shared" si="11"/>
        <v>111</v>
      </c>
      <c r="R25" s="1567" t="s">
        <v>8</v>
      </c>
      <c r="S25" s="1568">
        <f>F25</f>
        <v>100</v>
      </c>
      <c r="T25" s="1567" t="s">
        <v>8</v>
      </c>
      <c r="U25" s="1568">
        <f>H25</f>
        <v>100</v>
      </c>
      <c r="V25" s="1567" t="s">
        <v>8</v>
      </c>
      <c r="W25" s="1568">
        <f>J25</f>
        <v>100</v>
      </c>
      <c r="X25" s="1569"/>
      <c r="Y25" s="3426"/>
      <c r="Z25" s="1149">
        <f>Q25</f>
        <v>111</v>
      </c>
      <c r="AA25" s="1575">
        <f>D25/F25</f>
        <v>1</v>
      </c>
      <c r="AB25" s="1575">
        <f>D25/H25</f>
        <v>1</v>
      </c>
      <c r="AC25" s="1575">
        <f>D25/J25</f>
        <v>1</v>
      </c>
    </row>
    <row r="26" spans="1:29" ht="15">
      <c r="A26" s="2884" t="s">
        <v>2755</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27"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8" t="s">
        <v>820</v>
      </c>
      <c r="Z26" s="1574" t="str">
        <f t="shared" ref="Z26:Z34" si="15">Q26</f>
        <v>公共部分装修</v>
      </c>
      <c r="AA26" s="1575">
        <f t="shared" si="3"/>
        <v>1</v>
      </c>
      <c r="AB26" s="1575">
        <f t="shared" si="4"/>
        <v>1</v>
      </c>
      <c r="AC26" s="1575">
        <f t="shared" si="5"/>
        <v>1</v>
      </c>
    </row>
    <row r="27" spans="1:29" s="1338"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28"/>
      <c r="Q27" s="1604" t="str">
        <f t="shared" si="11"/>
        <v>成新率</v>
      </c>
      <c r="R27" s="1576" t="s">
        <v>8</v>
      </c>
      <c r="S27" s="1577" t="e">
        <f t="shared" si="12"/>
        <v>#N/A</v>
      </c>
      <c r="T27" s="1576" t="s">
        <v>8</v>
      </c>
      <c r="U27" s="1577" t="e">
        <f t="shared" si="13"/>
        <v>#N/A</v>
      </c>
      <c r="V27" s="1576" t="s">
        <v>8</v>
      </c>
      <c r="W27" s="1577" t="e">
        <f t="shared" si="14"/>
        <v>#N/A</v>
      </c>
      <c r="X27" s="1578"/>
      <c r="Y27" s="3428"/>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8"/>
      <c r="Q28" s="1571" t="str">
        <f t="shared" si="11"/>
        <v>物业等级</v>
      </c>
      <c r="R28" s="1572" t="s">
        <v>8</v>
      </c>
      <c r="S28" s="1573">
        <f t="shared" si="12"/>
        <v>100</v>
      </c>
      <c r="T28" s="1572" t="s">
        <v>8</v>
      </c>
      <c r="U28" s="1573">
        <f t="shared" si="13"/>
        <v>100</v>
      </c>
      <c r="V28" s="1572" t="s">
        <v>8</v>
      </c>
      <c r="W28" s="1573">
        <f t="shared" si="14"/>
        <v>100</v>
      </c>
      <c r="X28" s="1566"/>
      <c r="Y28" s="3428"/>
      <c r="Z28" s="1574" t="str">
        <f t="shared" si="15"/>
        <v>物业等级</v>
      </c>
      <c r="AA28" s="1575">
        <f t="shared" si="3"/>
        <v>1</v>
      </c>
      <c r="AB28" s="1575">
        <f t="shared" si="4"/>
        <v>1</v>
      </c>
      <c r="AC28" s="1575">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28"/>
      <c r="Q29" s="1571" t="str">
        <f t="shared" si="11"/>
        <v>有无电梯</v>
      </c>
      <c r="R29" s="1572" t="s">
        <v>8</v>
      </c>
      <c r="S29" s="1573">
        <f t="shared" si="12"/>
        <v>100</v>
      </c>
      <c r="T29" s="1572" t="s">
        <v>8</v>
      </c>
      <c r="U29" s="1573">
        <f t="shared" si="13"/>
        <v>100</v>
      </c>
      <c r="V29" s="1572" t="s">
        <v>8</v>
      </c>
      <c r="W29" s="1573">
        <f t="shared" si="14"/>
        <v>100</v>
      </c>
      <c r="X29" s="1566"/>
      <c r="Y29" s="3428"/>
      <c r="Z29" s="1574" t="str">
        <f t="shared" si="15"/>
        <v>有无电梯</v>
      </c>
      <c r="AA29" s="1575">
        <f t="shared" si="3"/>
        <v>1</v>
      </c>
      <c r="AB29" s="1575">
        <f t="shared" si="4"/>
        <v>1</v>
      </c>
      <c r="AC29" s="1575">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28"/>
      <c r="Q30" s="1571" t="str">
        <f t="shared" si="11"/>
        <v>建筑面积</v>
      </c>
      <c r="R30" s="1572" t="s">
        <v>8</v>
      </c>
      <c r="S30" s="1573" t="e">
        <f t="shared" si="12"/>
        <v>#N/A</v>
      </c>
      <c r="T30" s="1572" t="s">
        <v>8</v>
      </c>
      <c r="U30" s="1573" t="e">
        <f t="shared" si="13"/>
        <v>#N/A</v>
      </c>
      <c r="V30" s="1572" t="s">
        <v>8</v>
      </c>
      <c r="W30" s="1573" t="e">
        <f t="shared" si="14"/>
        <v>#N/A</v>
      </c>
      <c r="X30" s="1566"/>
      <c r="Y30" s="3428"/>
      <c r="Z30" s="1574" t="str">
        <f t="shared" si="15"/>
        <v>建筑面积</v>
      </c>
      <c r="AA30" s="1575" t="e">
        <f t="shared" si="3"/>
        <v>#N/A</v>
      </c>
      <c r="AB30" s="1575" t="e">
        <f t="shared" si="4"/>
        <v>#N/A</v>
      </c>
      <c r="AC30" s="1575" t="e">
        <f t="shared" si="5"/>
        <v>#N/A</v>
      </c>
    </row>
    <row r="31" spans="1:29" s="1219"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28"/>
      <c r="Q31" s="1150" t="str">
        <f t="shared" si="11"/>
        <v>是否封闭</v>
      </c>
      <c r="R31" s="1567" t="s">
        <v>8</v>
      </c>
      <c r="S31" s="1568">
        <f t="shared" si="12"/>
        <v>100</v>
      </c>
      <c r="T31" s="1567" t="s">
        <v>8</v>
      </c>
      <c r="U31" s="1568">
        <f t="shared" si="13"/>
        <v>100</v>
      </c>
      <c r="V31" s="1567" t="s">
        <v>8</v>
      </c>
      <c r="W31" s="1568">
        <f t="shared" si="14"/>
        <v>100</v>
      </c>
      <c r="X31" s="1569"/>
      <c r="Y31" s="3428"/>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28" t="s">
        <v>549</v>
      </c>
      <c r="Q32" s="1571">
        <f t="shared" si="11"/>
        <v>111</v>
      </c>
      <c r="R32" s="1572" t="s">
        <v>8</v>
      </c>
      <c r="S32" s="1573">
        <f t="shared" si="12"/>
        <v>100</v>
      </c>
      <c r="T32" s="1572" t="s">
        <v>8</v>
      </c>
      <c r="U32" s="1573">
        <f t="shared" si="13"/>
        <v>100</v>
      </c>
      <c r="V32" s="1572" t="s">
        <v>8</v>
      </c>
      <c r="W32" s="1573">
        <f t="shared" si="14"/>
        <v>100</v>
      </c>
      <c r="X32" s="1566"/>
      <c r="Y32" s="3428" t="s">
        <v>549</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28"/>
      <c r="Q33" s="1571">
        <f t="shared" si="11"/>
        <v>111</v>
      </c>
      <c r="R33" s="1572" t="s">
        <v>8</v>
      </c>
      <c r="S33" s="1573">
        <f t="shared" si="12"/>
        <v>100</v>
      </c>
      <c r="T33" s="1572" t="s">
        <v>8</v>
      </c>
      <c r="U33" s="1573">
        <f t="shared" si="13"/>
        <v>100</v>
      </c>
      <c r="V33" s="1572" t="s">
        <v>8</v>
      </c>
      <c r="W33" s="1573">
        <f t="shared" si="14"/>
        <v>100</v>
      </c>
      <c r="X33" s="1566"/>
      <c r="Y33" s="3428"/>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28"/>
      <c r="Q34" s="1571">
        <f t="shared" si="11"/>
        <v>111</v>
      </c>
      <c r="R34" s="1572" t="s">
        <v>8</v>
      </c>
      <c r="S34" s="1573">
        <f t="shared" si="12"/>
        <v>100</v>
      </c>
      <c r="T34" s="1572" t="s">
        <v>8</v>
      </c>
      <c r="U34" s="1573">
        <f t="shared" si="13"/>
        <v>100</v>
      </c>
      <c r="V34" s="1572" t="s">
        <v>8</v>
      </c>
      <c r="W34" s="1573">
        <f t="shared" si="14"/>
        <v>100</v>
      </c>
      <c r="X34" s="1566"/>
      <c r="Y34" s="3428"/>
      <c r="Z34" s="1574">
        <f t="shared" si="15"/>
        <v>111</v>
      </c>
      <c r="AA34" s="1575">
        <f t="shared" si="3"/>
        <v>1</v>
      </c>
      <c r="AB34" s="1575">
        <f t="shared" si="4"/>
        <v>1</v>
      </c>
      <c r="AC34" s="1575">
        <f t="shared" si="5"/>
        <v>1</v>
      </c>
    </row>
    <row r="35" spans="1:29" ht="15">
      <c r="A35" s="607" t="s">
        <v>735</v>
      </c>
      <c r="B35" s="886"/>
      <c r="C35" s="2605" t="s">
        <v>1</v>
      </c>
      <c r="D35" s="2606"/>
      <c r="E35" s="2607"/>
      <c r="F35" s="2608"/>
      <c r="G35" s="2609"/>
      <c r="H35" s="2610"/>
      <c r="I35" s="2607"/>
      <c r="J35" s="2610"/>
      <c r="K35" s="1610"/>
      <c r="L35" s="2143"/>
      <c r="M35" s="2144"/>
      <c r="N35" s="2133"/>
      <c r="O35" s="2144"/>
      <c r="P35" s="3423" t="str">
        <f>A35</f>
        <v>成交单价（元/平方米）</v>
      </c>
      <c r="Q35" s="3423"/>
      <c r="R35" s="3510">
        <f>E35</f>
        <v>0</v>
      </c>
      <c r="S35" s="3510"/>
      <c r="T35" s="3510">
        <f>G35</f>
        <v>0</v>
      </c>
      <c r="U35" s="3510"/>
      <c r="V35" s="3510">
        <f>I35</f>
        <v>0</v>
      </c>
      <c r="W35" s="3510"/>
      <c r="X35" s="1558"/>
      <c r="Y35" s="1580"/>
      <c r="Z35" s="1558"/>
      <c r="AA35" s="1558"/>
      <c r="AB35" s="1558"/>
      <c r="AC35" s="1558"/>
    </row>
    <row r="36" spans="1:29" ht="15.75" thickBot="1">
      <c r="A36" s="615" t="s">
        <v>2760</v>
      </c>
      <c r="B36" s="887"/>
      <c r="C36" s="2611" t="e">
        <f>R37</f>
        <v>#DIV/0!</v>
      </c>
      <c r="D36" s="2612"/>
      <c r="E36" s="2613" t="e">
        <f>R36</f>
        <v>#DIV/0!</v>
      </c>
      <c r="F36" s="2613"/>
      <c r="G36" s="2611" t="e">
        <f>T36</f>
        <v>#DIV/0!</v>
      </c>
      <c r="H36" s="2612"/>
      <c r="I36" s="2613" t="e">
        <f>V36</f>
        <v>#DIV/0!</v>
      </c>
      <c r="J36" s="2612"/>
      <c r="K36" s="1611"/>
      <c r="L36" s="2143"/>
      <c r="M36" s="2144"/>
      <c r="N36" s="2133"/>
      <c r="O36" s="2144"/>
      <c r="P36" s="3423" t="str">
        <f>A36</f>
        <v>比较价格（元/平方米）</v>
      </c>
      <c r="Q36" s="3423"/>
      <c r="R36" s="3510" t="e">
        <f>IF(F1="售价",ROUND(PRODUCT(R35,AA7:AA34),0),ROUND(PRODUCT(R35,AA7:AA34),1))</f>
        <v>#DIV/0!</v>
      </c>
      <c r="S36" s="3510"/>
      <c r="T36" s="3510" t="e">
        <f>IF(F1="售价",ROUND(PRODUCT(T35,AB7:AB34),0),ROUND(PRODUCT(T35,AB7:AB34),1))</f>
        <v>#DIV/0!</v>
      </c>
      <c r="U36" s="3510"/>
      <c r="V36" s="3510" t="e">
        <f>IF(F1="售价",ROUND(PRODUCT(V35,AC7:AC34),0),ROUND(PRODUCT(V35,AC7:AC34),1))</f>
        <v>#DIV/0!</v>
      </c>
      <c r="W36" s="3510"/>
      <c r="X36" s="1558"/>
      <c r="Y36" s="1558"/>
      <c r="Z36" s="1558"/>
      <c r="AA36" s="1558"/>
      <c r="AB36" s="1558"/>
      <c r="AC36" s="1558"/>
    </row>
    <row r="37" spans="1:29" ht="15.75" thickBot="1">
      <c r="A37" s="621" t="s">
        <v>2931</v>
      </c>
      <c r="B37" s="622"/>
      <c r="C37" s="2614" t="e">
        <f>R37</f>
        <v>#DIV/0!</v>
      </c>
      <c r="D37" s="2614"/>
      <c r="E37" s="2614"/>
      <c r="F37" s="2614"/>
      <c r="G37" s="2614"/>
      <c r="H37" s="2614"/>
      <c r="I37" s="2614"/>
      <c r="J37" s="2614"/>
      <c r="K37" s="1612"/>
      <c r="L37" s="2143"/>
      <c r="M37" s="2144"/>
      <c r="N37" s="2144"/>
      <c r="O37" s="2144"/>
      <c r="P37" s="3444" t="str">
        <f>A37</f>
        <v>估价对象XX用房的比较价格（楼面单价，元/平方米）</v>
      </c>
      <c r="Q37" s="3445"/>
      <c r="R37" s="3509" t="e">
        <f>IF(F1="售价",ROUND(AVERAGE(R36:V36),0),ROUND(AVERAGE(R36:V36),1))</f>
        <v>#DIV/0!</v>
      </c>
      <c r="S37" s="3509"/>
      <c r="T37" s="3509"/>
      <c r="U37" s="3509"/>
      <c r="V37" s="3509"/>
      <c r="W37" s="3509"/>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573</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528</v>
      </c>
      <c r="B46" s="646"/>
      <c r="C46" s="2779" t="str">
        <f>YEAR(C7)&amp;"-"&amp;MONTH(C7)</f>
        <v>2019-3</v>
      </c>
      <c r="D46" s="2781">
        <f>EDATE(C46,-1)</f>
        <v>43497</v>
      </c>
      <c r="E46" s="2781">
        <f t="shared" ref="E46:O46" si="16">EDATE(D46,-1)</f>
        <v>43466</v>
      </c>
      <c r="F46" s="2781">
        <f t="shared" si="16"/>
        <v>43435</v>
      </c>
      <c r="G46" s="2781">
        <f t="shared" si="16"/>
        <v>43405</v>
      </c>
      <c r="H46" s="2781">
        <f t="shared" si="16"/>
        <v>43374</v>
      </c>
      <c r="I46" s="2781">
        <f t="shared" si="16"/>
        <v>43344</v>
      </c>
      <c r="J46" s="2781">
        <f t="shared" si="16"/>
        <v>43313</v>
      </c>
      <c r="K46" s="2781">
        <f t="shared" si="16"/>
        <v>43282</v>
      </c>
      <c r="L46" s="2781">
        <f t="shared" si="16"/>
        <v>43252</v>
      </c>
      <c r="M46" s="2781">
        <f t="shared" si="16"/>
        <v>43221</v>
      </c>
      <c r="N46" s="2781">
        <f t="shared" si="16"/>
        <v>43191</v>
      </c>
      <c r="O46" s="2781">
        <f t="shared" si="16"/>
        <v>43160</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574</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530</v>
      </c>
      <c r="B49" s="648"/>
      <c r="C49" s="660" t="s">
        <v>575</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576</v>
      </c>
      <c r="B51" s="665" t="s">
        <v>533</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2557</v>
      </c>
      <c r="C63" s="708" t="s">
        <v>578</v>
      </c>
      <c r="D63" s="708" t="s">
        <v>579</v>
      </c>
      <c r="E63" s="708" t="s">
        <v>580</v>
      </c>
      <c r="F63" s="708" t="s">
        <v>581</v>
      </c>
      <c r="G63" s="708" t="s">
        <v>582</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2558</v>
      </c>
      <c r="C65" s="2576" t="s">
        <v>2559</v>
      </c>
      <c r="D65" s="2576" t="s">
        <v>2560</v>
      </c>
      <c r="E65" s="2576" t="s">
        <v>2561</v>
      </c>
      <c r="F65" s="2576" t="s">
        <v>2562</v>
      </c>
      <c r="G65" s="2576" t="s">
        <v>2563</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743</v>
      </c>
      <c r="C67" s="708" t="s">
        <v>578</v>
      </c>
      <c r="D67" s="708" t="s">
        <v>579</v>
      </c>
      <c r="E67" s="708" t="s">
        <v>580</v>
      </c>
      <c r="F67" s="708" t="s">
        <v>581</v>
      </c>
      <c r="G67" s="708" t="s">
        <v>582</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550</v>
      </c>
      <c r="B77" s="665" t="s">
        <v>750</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816</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824</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826</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受贵公司委托，我公司对北京市出让国有建设用地使用权进行了预评估。</v>
      </c>
    </row>
    <row r="5" spans="1:4" ht="18.75">
      <c r="A5" s="1793" t="s">
        <v>1905</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68743.19平方米。根据《建设工程规划许可证》[]、《出让合同》[]，估价对象规划建筑面积为31245.48平方米。</v>
      </c>
    </row>
    <row r="7" spans="1:4" ht="93.75">
      <c r="A7" s="2850" t="s">
        <v>2748</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2019年3月4日</v>
      </c>
    </row>
    <row r="12" spans="1:4" ht="18.75">
      <c r="A12" s="1796" t="s">
        <v>2025</v>
      </c>
    </row>
    <row r="13" spans="1:4" ht="18.75">
      <c r="A13" s="1790" t="s">
        <v>2071</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根据《国有土地使用证》[]，估价对象（分摊）出让国有建设用地使用权面积为68743.19平方米。根据《建设工程规划许可证》[]、《出让合同》[]，估价对象规划建筑面积为31245.48平方米。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52" t="s">
        <v>2749</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2303</v>
      </c>
      <c r="C1" s="3535" t="s">
        <v>2304</v>
      </c>
      <c r="D1" s="3536"/>
      <c r="E1" s="3536"/>
      <c r="F1" s="3536"/>
      <c r="G1" s="3536"/>
      <c r="H1" s="3536"/>
      <c r="I1" s="3536"/>
      <c r="J1" s="3536"/>
      <c r="K1" s="3536"/>
      <c r="L1" s="3536"/>
      <c r="M1" s="3536"/>
      <c r="N1" s="3536"/>
      <c r="O1" s="3536"/>
      <c r="P1" s="3536"/>
      <c r="Q1" s="3536"/>
      <c r="R1" s="3536"/>
      <c r="S1" s="3537"/>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3" t="s">
        <v>2924</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5" t="s">
        <v>2923</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5" t="s">
        <v>2922</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3" t="s">
        <v>2935</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3" t="s">
        <v>2921</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3" t="s">
        <v>2920</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827</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828</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829</v>
      </c>
      <c r="B22" s="53">
        <f>SUM(B24:B10000)</f>
        <v>0</v>
      </c>
      <c r="C22" s="3532" t="s">
        <v>20</v>
      </c>
      <c r="D22" s="3533"/>
      <c r="E22" s="3533"/>
      <c r="F22" s="3533"/>
      <c r="G22" s="3533"/>
      <c r="H22" s="3533"/>
      <c r="I22" s="3533"/>
      <c r="J22" s="3533"/>
      <c r="K22" s="3533"/>
      <c r="L22" s="3533"/>
      <c r="M22" s="3533"/>
      <c r="N22" s="3533"/>
      <c r="O22" s="3533"/>
      <c r="P22" s="3533"/>
      <c r="Q22" s="3534"/>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2787</v>
      </c>
      <c r="C1" s="2981">
        <f>项目基本情况!D3</f>
        <v>43528</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2818</v>
      </c>
      <c r="C2" s="2982">
        <f>'数据-取费表'!B22</f>
        <v>1.5</v>
      </c>
      <c r="D2" s="2977" t="s">
        <v>2788</v>
      </c>
      <c r="E2" s="2980">
        <f ca="1">INDIRECT("I"&amp;$I$1)/100</f>
        <v>4.7500000000000001E-2</v>
      </c>
      <c r="G2" s="2917"/>
      <c r="H2" s="2917"/>
      <c r="I2" s="2917" t="s">
        <v>2789</v>
      </c>
      <c r="K2" s="2917"/>
      <c r="L2" s="2917"/>
      <c r="M2" s="2917"/>
      <c r="N2" s="2917" t="s">
        <v>2790</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2820</v>
      </c>
      <c r="C3" s="2979">
        <f>'数据-取费表'!B19</f>
        <v>0</v>
      </c>
      <c r="D3" s="2977" t="s">
        <v>2788</v>
      </c>
      <c r="E3" s="2980">
        <f ca="1">INDIRECT("J"&amp;$J$1)/100</f>
        <v>0</v>
      </c>
      <c r="G3" s="2919" t="s">
        <v>2791</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2819</v>
      </c>
      <c r="C4" s="2980">
        <f ca="1">N4/100</f>
        <v>1.4999999999999999E-2</v>
      </c>
      <c r="G4" s="2925" t="s">
        <v>2792</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2793</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2794</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2795</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2796</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2797</v>
      </c>
      <c r="C10" s="2944"/>
      <c r="D10" s="2944"/>
      <c r="E10" s="2944"/>
      <c r="F10" s="2944"/>
      <c r="G10" s="2944"/>
      <c r="H10" s="2944"/>
      <c r="I10" s="2918"/>
      <c r="J10" s="2918"/>
      <c r="K10" s="2944"/>
      <c r="L10" s="2945" t="s">
        <v>2798</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2799</v>
      </c>
      <c r="C11" s="2949" t="s">
        <v>2800</v>
      </c>
      <c r="D11" s="2950" t="s">
        <v>2801</v>
      </c>
      <c r="E11" s="2951"/>
      <c r="F11" s="2950" t="s">
        <v>2802</v>
      </c>
      <c r="G11" s="2952"/>
      <c r="H11" s="2951"/>
      <c r="I11" s="2950" t="s">
        <v>2803</v>
      </c>
      <c r="J11" s="2951"/>
      <c r="K11" s="2947"/>
      <c r="L11" s="2948" t="s">
        <v>2799</v>
      </c>
      <c r="M11" s="2949" t="s">
        <v>2800</v>
      </c>
      <c r="N11" s="2948" t="s">
        <v>2804</v>
      </c>
      <c r="O11" s="2950" t="s">
        <v>2805</v>
      </c>
      <c r="P11" s="2952"/>
      <c r="Q11" s="2952"/>
      <c r="R11" s="2952"/>
      <c r="S11" s="2952"/>
      <c r="T11" s="2951"/>
      <c r="U11" s="2950" t="s">
        <v>2806</v>
      </c>
      <c r="V11" s="2952"/>
      <c r="W11" s="2951"/>
      <c r="X11" s="2948" t="s">
        <v>2807</v>
      </c>
      <c r="Y11" s="2948" t="s">
        <v>2808</v>
      </c>
      <c r="Z11" s="2948" t="s">
        <v>2809</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2810</v>
      </c>
      <c r="E12" s="2957" t="s">
        <v>2811</v>
      </c>
      <c r="F12" s="2957" t="s">
        <v>2812</v>
      </c>
      <c r="G12" s="2957" t="s">
        <v>2813</v>
      </c>
      <c r="H12" s="2957" t="s">
        <v>2795</v>
      </c>
      <c r="I12" s="2958" t="s">
        <v>2814</v>
      </c>
      <c r="J12" s="2958" t="s">
        <v>2814</v>
      </c>
      <c r="K12" s="2954"/>
      <c r="L12" s="2955"/>
      <c r="M12" s="2956"/>
      <c r="N12" s="2955"/>
      <c r="O12" s="2958" t="s">
        <v>2815</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2816</v>
      </c>
      <c r="C13" s="2962">
        <v>42301</v>
      </c>
      <c r="D13" s="2963">
        <v>4.3499999999999996</v>
      </c>
      <c r="E13" s="2963">
        <v>4.3499999999999996</v>
      </c>
      <c r="F13" s="2963">
        <v>4.75</v>
      </c>
      <c r="G13" s="2963">
        <v>4.75</v>
      </c>
      <c r="H13" s="2963">
        <v>4.9000000000000004</v>
      </c>
      <c r="I13" s="2963">
        <v>2.75</v>
      </c>
      <c r="J13" s="2963">
        <v>3.25</v>
      </c>
      <c r="K13" s="2960"/>
      <c r="L13" s="2961" t="s">
        <v>2816</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2817</v>
      </c>
      <c r="Y42" s="2967" t="s">
        <v>2817</v>
      </c>
      <c r="Z42" s="2967" t="s">
        <v>2817</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2817</v>
      </c>
      <c r="Y43" s="2967" t="s">
        <v>2817</v>
      </c>
      <c r="Z43" s="2967" t="s">
        <v>2817</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2817</v>
      </c>
      <c r="Y44" s="2967" t="s">
        <v>2817</v>
      </c>
      <c r="Z44" s="2967" t="s">
        <v>2817</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2817</v>
      </c>
      <c r="Y45" s="2967" t="s">
        <v>2817</v>
      </c>
      <c r="Z45" s="2967" t="s">
        <v>2817</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2817</v>
      </c>
      <c r="Y46" s="2967" t="s">
        <v>2817</v>
      </c>
      <c r="Z46" s="2967" t="s">
        <v>2817</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2817</v>
      </c>
      <c r="Y47" s="2967" t="s">
        <v>2817</v>
      </c>
      <c r="Z47" s="2967" t="s">
        <v>2817</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2817</v>
      </c>
      <c r="Y48" s="2967" t="s">
        <v>2817</v>
      </c>
      <c r="Z48" s="2967" t="s">
        <v>2817</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2817</v>
      </c>
      <c r="Y49" s="2967" t="s">
        <v>2817</v>
      </c>
      <c r="Z49" s="2967" t="s">
        <v>2817</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2817</v>
      </c>
      <c r="Y50" s="2967" t="s">
        <v>2817</v>
      </c>
      <c r="Z50" s="2967" t="s">
        <v>2817</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2817</v>
      </c>
      <c r="V51" s="2967" t="s">
        <v>2817</v>
      </c>
      <c r="W51" s="2967" t="s">
        <v>2817</v>
      </c>
      <c r="X51" s="2967" t="s">
        <v>2817</v>
      </c>
      <c r="Y51" s="2967" t="s">
        <v>2817</v>
      </c>
      <c r="Z51" s="2967" t="s">
        <v>2817</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2817</v>
      </c>
      <c r="J55" s="2967" t="s">
        <v>2817</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sheetPr>
    <tabColor rgb="FFFF0000"/>
  </sheetPr>
  <dimension ref="A1:T36"/>
  <sheetViews>
    <sheetView topLeftCell="A7" workbookViewId="0">
      <selection activeCell="I39" sqref="I39"/>
    </sheetView>
  </sheetViews>
  <sheetFormatPr defaultRowHeight="13.5"/>
  <cols>
    <col min="1" max="1" width="8.75" customWidth="1"/>
    <col min="2" max="2" width="10.375" customWidth="1"/>
    <col min="3" max="3" width="10.5" customWidth="1"/>
    <col min="4" max="4" width="7.875" style="3190" customWidth="1"/>
    <col min="5" max="5" width="12" customWidth="1"/>
    <col min="6" max="6" width="10.375" customWidth="1"/>
    <col min="7" max="7" width="10.25" customWidth="1"/>
    <col min="8" max="8" width="8.875" style="3190" customWidth="1"/>
    <col min="9" max="9" width="10" customWidth="1"/>
    <col min="10" max="10" width="7.75" customWidth="1"/>
    <col min="11" max="11" width="11.625" customWidth="1"/>
    <col min="12" max="12" width="13" customWidth="1"/>
  </cols>
  <sheetData>
    <row r="1" spans="1:10">
      <c r="A1" s="3587" t="s">
        <v>3003</v>
      </c>
      <c r="B1" s="3587"/>
      <c r="C1" s="3587"/>
      <c r="E1" s="3587" t="s">
        <v>3004</v>
      </c>
      <c r="F1" s="3587"/>
      <c r="G1" s="3588"/>
    </row>
    <row r="2" spans="1:10">
      <c r="A2" s="3585" t="s">
        <v>2993</v>
      </c>
      <c r="B2" s="3183" t="s">
        <v>3000</v>
      </c>
      <c r="C2" s="3192">
        <v>83247.820000000007</v>
      </c>
      <c r="E2" s="3585" t="s">
        <v>2993</v>
      </c>
      <c r="F2" s="3183" t="s">
        <v>3000</v>
      </c>
      <c r="G2" s="3184">
        <v>83884.960000000006</v>
      </c>
      <c r="I2">
        <f>C2-G2</f>
        <v>-637.13999999999942</v>
      </c>
      <c r="J2" s="3182" t="s">
        <v>3005</v>
      </c>
    </row>
    <row r="3" spans="1:10">
      <c r="A3" s="3586"/>
      <c r="B3" s="3183" t="s">
        <v>2994</v>
      </c>
      <c r="C3" s="3189">
        <v>15426.7</v>
      </c>
      <c r="E3" s="3586"/>
      <c r="F3" s="3183" t="s">
        <v>2994</v>
      </c>
      <c r="G3" s="3184">
        <v>15502</v>
      </c>
      <c r="I3">
        <f>C3-G3</f>
        <v>-75.299999999999272</v>
      </c>
      <c r="J3" s="3182" t="s">
        <v>3006</v>
      </c>
    </row>
    <row r="4" spans="1:10">
      <c r="A4" s="3589" t="s">
        <v>2995</v>
      </c>
      <c r="B4" s="3590"/>
      <c r="C4" s="3185">
        <f>SUM(C2:C3)</f>
        <v>98674.52</v>
      </c>
      <c r="D4" s="3191" t="s">
        <v>3001</v>
      </c>
      <c r="E4" s="3589" t="s">
        <v>2995</v>
      </c>
      <c r="F4" s="3590"/>
      <c r="G4" s="3185">
        <f>G2+G3</f>
        <v>99386.96</v>
      </c>
      <c r="H4" s="3191" t="s">
        <v>3002</v>
      </c>
    </row>
    <row r="5" spans="1:10">
      <c r="A5" s="3585" t="s">
        <v>2996</v>
      </c>
      <c r="B5" s="3183" t="s">
        <v>2998</v>
      </c>
      <c r="C5" s="3188">
        <v>2364.58</v>
      </c>
      <c r="E5" s="3585" t="s">
        <v>2996</v>
      </c>
      <c r="F5" s="3183"/>
      <c r="G5" s="3184">
        <f>G7-G6</f>
        <v>4632</v>
      </c>
      <c r="I5">
        <f>G5</f>
        <v>4632</v>
      </c>
      <c r="J5" s="3182" t="s">
        <v>3008</v>
      </c>
    </row>
    <row r="6" spans="1:10">
      <c r="A6" s="3586"/>
      <c r="B6" s="3183" t="s">
        <v>2997</v>
      </c>
      <c r="C6" s="3189">
        <v>8880.9</v>
      </c>
      <c r="E6" s="3586"/>
      <c r="F6" s="3183" t="s">
        <v>2997</v>
      </c>
      <c r="G6" s="3184">
        <v>8880.9</v>
      </c>
      <c r="I6">
        <f>C6-G6</f>
        <v>0</v>
      </c>
      <c r="J6" s="3182" t="s">
        <v>3007</v>
      </c>
    </row>
    <row r="7" spans="1:10">
      <c r="A7" s="3589" t="s">
        <v>2995</v>
      </c>
      <c r="B7" s="3591"/>
      <c r="C7" s="3185">
        <f>SUM(C5:C6)</f>
        <v>11245.48</v>
      </c>
      <c r="E7" s="3589" t="s">
        <v>2995</v>
      </c>
      <c r="F7" s="3591"/>
      <c r="G7" s="3185">
        <v>13512.9</v>
      </c>
    </row>
    <row r="8" spans="1:10">
      <c r="A8" s="3186" t="s">
        <v>2999</v>
      </c>
      <c r="B8" s="3187"/>
      <c r="C8" s="3187">
        <f>C4+C7</f>
        <v>109920</v>
      </c>
      <c r="E8" s="3186" t="s">
        <v>2999</v>
      </c>
      <c r="F8" s="3187"/>
      <c r="G8" s="3187">
        <f>G4+G7</f>
        <v>112899.86</v>
      </c>
    </row>
    <row r="11" spans="1:10" ht="71.25">
      <c r="A11" s="3208" t="s">
        <v>3113</v>
      </c>
      <c r="B11" s="3208" t="s">
        <v>3114</v>
      </c>
      <c r="C11" s="3208" t="s">
        <v>3115</v>
      </c>
      <c r="D11" s="3208" t="s">
        <v>3116</v>
      </c>
      <c r="E11" s="3208" t="s">
        <v>3117</v>
      </c>
      <c r="F11" s="3209" t="s">
        <v>3118</v>
      </c>
      <c r="G11" s="3210" t="s">
        <v>3119</v>
      </c>
      <c r="H11" s="3210" t="s">
        <v>3120</v>
      </c>
      <c r="I11" s="3210" t="s">
        <v>3121</v>
      </c>
    </row>
    <row r="12" spans="1:10" ht="13.5" customHeight="1">
      <c r="A12" s="3555" t="s">
        <v>3122</v>
      </c>
      <c r="B12" s="3211" t="s">
        <v>3123</v>
      </c>
      <c r="C12" s="3212">
        <f>'[2]基准地价-70住宅'!C29</f>
        <v>24574</v>
      </c>
      <c r="D12" s="3212">
        <f>[2]结果表一!$D$12</f>
        <v>0.4</v>
      </c>
      <c r="E12" s="3557">
        <f>ROUND(C12*D12+C13*D13,0)</f>
        <v>27046</v>
      </c>
      <c r="F12" s="3577">
        <f>E12*C2/10000</f>
        <v>225152.05397200002</v>
      </c>
      <c r="G12" s="3577">
        <f>ROUND(E12/4,0)</f>
        <v>6762</v>
      </c>
      <c r="H12" s="3577"/>
      <c r="I12" s="3577">
        <f>ROUND(E12/1.44,0)</f>
        <v>18782</v>
      </c>
    </row>
    <row r="13" spans="1:10">
      <c r="A13" s="3556"/>
      <c r="B13" s="3211" t="s">
        <v>3124</v>
      </c>
      <c r="C13" s="3212">
        <f>'[2]剩余法-待开发住宅'!C36</f>
        <v>28694</v>
      </c>
      <c r="D13" s="3212">
        <f>1-D12</f>
        <v>0.6</v>
      </c>
      <c r="E13" s="3558"/>
      <c r="F13" s="3578"/>
      <c r="G13" s="3578"/>
      <c r="H13" s="3578"/>
      <c r="I13" s="3578"/>
    </row>
    <row r="14" spans="1:10" ht="13.5" customHeight="1">
      <c r="A14" s="3583" t="s">
        <v>3125</v>
      </c>
      <c r="B14" s="3213" t="s">
        <v>3123</v>
      </c>
      <c r="C14" s="3214">
        <f>'[2]基准地价-70住宅'!C38</f>
        <v>4420</v>
      </c>
      <c r="D14" s="3214">
        <f>D12</f>
        <v>0.4</v>
      </c>
      <c r="E14" s="3563">
        <f>ROUND(C14*D14+C15*D15,0)</f>
        <v>6072</v>
      </c>
      <c r="F14" s="3575">
        <f>E14*C5/10000</f>
        <v>1435.772976</v>
      </c>
      <c r="G14" s="3575">
        <f t="shared" ref="G14" si="0">ROUND(E14/4,0)</f>
        <v>1518</v>
      </c>
      <c r="H14" s="3575"/>
      <c r="I14" s="3575">
        <f t="shared" ref="I14" si="1">ROUND(E14/1.44,0)</f>
        <v>4217</v>
      </c>
    </row>
    <row r="15" spans="1:10">
      <c r="A15" s="3584"/>
      <c r="B15" s="3213" t="s">
        <v>3124</v>
      </c>
      <c r="C15" s="3214">
        <f>ROUND(C13*0.25,0)</f>
        <v>7174</v>
      </c>
      <c r="D15" s="3214">
        <f>1-D14</f>
        <v>0.6</v>
      </c>
      <c r="E15" s="3564"/>
      <c r="F15" s="3576"/>
      <c r="G15" s="3576"/>
      <c r="H15" s="3576"/>
      <c r="I15" s="3576"/>
    </row>
    <row r="16" spans="1:10">
      <c r="A16" s="3559" t="s">
        <v>3126</v>
      </c>
      <c r="B16" s="3215" t="s">
        <v>3123</v>
      </c>
      <c r="C16" s="3216">
        <f ca="1">ROUND(C12*B24,0)</f>
        <v>23677</v>
      </c>
      <c r="D16" s="3216">
        <f>D12</f>
        <v>0.4</v>
      </c>
      <c r="E16" s="3561">
        <f ca="1">ROUND(C16*D16+C17*D17,0)</f>
        <v>26059</v>
      </c>
      <c r="F16" s="3573">
        <f ca="1">E16*C2/10000</f>
        <v>216935.49413800001</v>
      </c>
      <c r="G16" s="3573">
        <f t="shared" ref="G16" ca="1" si="2">ROUND(E16/4,0)</f>
        <v>6515</v>
      </c>
      <c r="H16" s="3573"/>
      <c r="I16" s="3573">
        <f t="shared" ref="I16" ca="1" si="3">ROUND(E16/1.44,0)</f>
        <v>18097</v>
      </c>
    </row>
    <row r="17" spans="1:20">
      <c r="A17" s="3560"/>
      <c r="B17" s="3215" t="s">
        <v>3124</v>
      </c>
      <c r="C17" s="3216">
        <f ca="1">ROUND(C13*B24,0)</f>
        <v>27647</v>
      </c>
      <c r="D17" s="3216">
        <f>1-D16</f>
        <v>0.6</v>
      </c>
      <c r="E17" s="3562"/>
      <c r="F17" s="3574"/>
      <c r="G17" s="3574"/>
      <c r="H17" s="3574"/>
      <c r="I17" s="3574"/>
    </row>
    <row r="18" spans="1:20">
      <c r="A18" s="3579" t="s">
        <v>35</v>
      </c>
      <c r="B18" s="3217" t="s">
        <v>3123</v>
      </c>
      <c r="C18" s="3218">
        <f ca="1">'基准地价-住宅'!$C$39</f>
        <v>3187</v>
      </c>
      <c r="D18" s="3218">
        <f>D12</f>
        <v>0.4</v>
      </c>
      <c r="E18" s="3581">
        <f ca="1">ROUND(C18*D18+C19*D19,0)</f>
        <v>4592</v>
      </c>
      <c r="F18" s="3571">
        <f ca="1">E18*C6/10000</f>
        <v>4078.1092799999997</v>
      </c>
      <c r="G18" s="3571">
        <f t="shared" ref="G18" ca="1" si="4">ROUND(E18/4,0)</f>
        <v>1148</v>
      </c>
      <c r="H18" s="3571"/>
      <c r="I18" s="3571">
        <f t="shared" ref="I18" ca="1" si="5">ROUND(E18/1.44,0)</f>
        <v>3189</v>
      </c>
    </row>
    <row r="19" spans="1:20">
      <c r="A19" s="3580"/>
      <c r="B19" s="3217" t="s">
        <v>3124</v>
      </c>
      <c r="C19" s="3218">
        <f ca="1">ROUND(C17*0.2,0)</f>
        <v>5529</v>
      </c>
      <c r="D19" s="3218">
        <f>1-D18</f>
        <v>0.6</v>
      </c>
      <c r="E19" s="3582"/>
      <c r="F19" s="3572"/>
      <c r="G19" s="3572"/>
      <c r="H19" s="3572"/>
      <c r="I19" s="3572"/>
    </row>
    <row r="20" spans="1:20" ht="13.5" customHeight="1">
      <c r="A20" s="3565" t="s">
        <v>3014</v>
      </c>
      <c r="B20" s="3219" t="s">
        <v>3123</v>
      </c>
      <c r="C20" s="3220">
        <f>'[2]基准地价-商业'!C29</f>
        <v>14628</v>
      </c>
      <c r="D20" s="3220">
        <f>D12</f>
        <v>0.4</v>
      </c>
      <c r="E20" s="3567">
        <f>ROUND(C20*D20+C21*D21,0)</f>
        <v>16387</v>
      </c>
      <c r="F20" s="3569">
        <f>E20*C3/10000</f>
        <v>25279.73329</v>
      </c>
      <c r="G20" s="3569">
        <f t="shared" ref="G20" si="6">ROUND(E20/4,0)</f>
        <v>4097</v>
      </c>
      <c r="H20" s="3569"/>
      <c r="I20" s="3569">
        <f t="shared" ref="I20" si="7">ROUND(E20/1.44,0)</f>
        <v>11380</v>
      </c>
    </row>
    <row r="21" spans="1:20">
      <c r="A21" s="3566"/>
      <c r="B21" s="3219" t="s">
        <v>3124</v>
      </c>
      <c r="C21" s="3220">
        <f>[3]结果表一!$C$21</f>
        <v>17560</v>
      </c>
      <c r="D21" s="3220">
        <f>1-D20</f>
        <v>0.6</v>
      </c>
      <c r="E21" s="3568"/>
      <c r="F21" s="3570"/>
      <c r="G21" s="3570"/>
      <c r="H21" s="3570"/>
      <c r="I21" s="3570"/>
    </row>
    <row r="24" spans="1:20">
      <c r="A24" s="3186" t="s">
        <v>3127</v>
      </c>
      <c r="B24" s="3187">
        <f ca="1">'基准地价-住宅'!$C$20</f>
        <v>0.96350000000000002</v>
      </c>
    </row>
    <row r="26" spans="1:20" hidden="1"/>
    <row r="27" spans="1:20" ht="19.5" hidden="1" thickBot="1">
      <c r="A27" s="3221" t="s">
        <v>3128</v>
      </c>
      <c r="D27"/>
      <c r="H27" s="3543" t="s">
        <v>3129</v>
      </c>
      <c r="I27" s="3543"/>
      <c r="J27" s="3543"/>
      <c r="N27" s="3544"/>
      <c r="O27" s="3544"/>
      <c r="P27" s="3544"/>
      <c r="Q27" s="3544"/>
      <c r="R27" s="3544"/>
      <c r="S27" s="3544"/>
      <c r="T27" s="3544"/>
    </row>
    <row r="28" spans="1:20" s="3182" customFormat="1" ht="51.75" hidden="1" customHeight="1">
      <c r="A28" s="3545" t="s">
        <v>3130</v>
      </c>
      <c r="B28" s="3545" t="s">
        <v>3113</v>
      </c>
      <c r="C28" s="3222" t="s">
        <v>3131</v>
      </c>
      <c r="D28" s="3222" t="s">
        <v>3132</v>
      </c>
      <c r="E28" s="3222" t="s">
        <v>3133</v>
      </c>
      <c r="F28" s="3222" t="s">
        <v>3134</v>
      </c>
      <c r="G28" s="2858"/>
      <c r="H28" s="3545" t="s">
        <v>3130</v>
      </c>
      <c r="I28" s="3545" t="s">
        <v>3113</v>
      </c>
      <c r="J28" s="3222" t="s">
        <v>3135</v>
      </c>
      <c r="K28" s="3222" t="s">
        <v>3136</v>
      </c>
      <c r="L28" s="3545" t="s">
        <v>3137</v>
      </c>
      <c r="M28" s="3223"/>
      <c r="P28"/>
      <c r="Q28"/>
      <c r="R28"/>
    </row>
    <row r="29" spans="1:20" s="3182" customFormat="1" ht="25.5" hidden="1" customHeight="1" thickBot="1">
      <c r="A29" s="3546"/>
      <c r="B29" s="3546"/>
      <c r="C29" s="3224" t="s">
        <v>3138</v>
      </c>
      <c r="D29" s="3224" t="s">
        <v>3139</v>
      </c>
      <c r="E29" s="3224" t="s">
        <v>3140</v>
      </c>
      <c r="F29" s="3224" t="s">
        <v>3141</v>
      </c>
      <c r="G29" s="2858"/>
      <c r="H29" s="3548"/>
      <c r="I29" s="3548"/>
      <c r="J29" s="3225" t="s">
        <v>3142</v>
      </c>
      <c r="K29" s="3225" t="s">
        <v>3143</v>
      </c>
      <c r="L29" s="3548"/>
      <c r="M29" s="3223"/>
      <c r="P29"/>
      <c r="Q29"/>
      <c r="R29"/>
    </row>
    <row r="30" spans="1:20" s="3182" customFormat="1" ht="35.25" hidden="1" customHeight="1" thickBot="1">
      <c r="A30" s="3547"/>
      <c r="B30" s="3547"/>
      <c r="C30" s="3225" t="s">
        <v>3144</v>
      </c>
      <c r="D30" s="3225" t="s">
        <v>3141</v>
      </c>
      <c r="E30" s="3226"/>
      <c r="F30" s="3226"/>
      <c r="G30" s="2858"/>
      <c r="H30" s="3549" t="s">
        <v>3009</v>
      </c>
      <c r="I30" s="3227" t="s">
        <v>3145</v>
      </c>
      <c r="J30" s="3228">
        <f>I2</f>
        <v>-637.13999999999942</v>
      </c>
      <c r="K30" s="3229">
        <v>6411</v>
      </c>
      <c r="L30" s="3230">
        <v>-408.47</v>
      </c>
      <c r="M30" s="3223"/>
      <c r="P30"/>
      <c r="Q30"/>
      <c r="R30"/>
    </row>
    <row r="31" spans="1:20" s="3182" customFormat="1" ht="41.25" hidden="1" customHeight="1" thickBot="1">
      <c r="A31" s="3551" t="s">
        <v>3009</v>
      </c>
      <c r="B31" s="3227" t="s">
        <v>3146</v>
      </c>
      <c r="C31" s="3228">
        <f>C2</f>
        <v>83247.820000000007</v>
      </c>
      <c r="D31" s="3228">
        <f ca="1">E16</f>
        <v>26059</v>
      </c>
      <c r="E31" s="3228">
        <f ca="1">ROUND(C31*D31/10000,2)</f>
        <v>216935.49</v>
      </c>
      <c r="F31" s="3228">
        <f ca="1">ROUND(D31/1.44,0)</f>
        <v>18097</v>
      </c>
      <c r="G31" s="2858"/>
      <c r="H31" s="3550"/>
      <c r="I31" s="3231" t="s">
        <v>3147</v>
      </c>
      <c r="J31" s="3232">
        <f>I3</f>
        <v>-75.299999999999272</v>
      </c>
      <c r="K31" s="3230">
        <v>4260</v>
      </c>
      <c r="L31" s="3230">
        <v>-32.08</v>
      </c>
      <c r="M31" s="3233"/>
      <c r="P31"/>
      <c r="Q31"/>
      <c r="R31"/>
    </row>
    <row r="32" spans="1:20" s="3182" customFormat="1" ht="29.25" hidden="1" thickBot="1">
      <c r="A32" s="3550"/>
      <c r="B32" s="3227" t="s">
        <v>3148</v>
      </c>
      <c r="C32" s="3228">
        <f>C3</f>
        <v>15426.7</v>
      </c>
      <c r="D32" s="3228">
        <f>E20</f>
        <v>16387</v>
      </c>
      <c r="E32" s="3228">
        <f>ROUND(C32*D32/10000,2)</f>
        <v>25279.73</v>
      </c>
      <c r="F32" s="3228">
        <f>ROUND(D32/1.44,0)</f>
        <v>11380</v>
      </c>
      <c r="G32" s="2858"/>
      <c r="H32" s="3551" t="s">
        <v>3010</v>
      </c>
      <c r="I32" s="3234" t="s">
        <v>3149</v>
      </c>
      <c r="J32" s="3235">
        <f>[2]结果表一!$I$5</f>
        <v>2364.58</v>
      </c>
      <c r="K32" s="3236">
        <v>1579</v>
      </c>
      <c r="L32" s="3237">
        <v>373.37</v>
      </c>
      <c r="M32" s="3223"/>
      <c r="P32"/>
      <c r="Q32"/>
      <c r="R32"/>
    </row>
    <row r="33" spans="1:18" s="3182" customFormat="1" ht="29.25" hidden="1" customHeight="1" thickBot="1">
      <c r="A33" s="3551" t="s">
        <v>3010</v>
      </c>
      <c r="B33" s="3551" t="s">
        <v>3149</v>
      </c>
      <c r="C33" s="3553">
        <f>C5</f>
        <v>2364.58</v>
      </c>
      <c r="D33" s="3553">
        <f>E14</f>
        <v>6072</v>
      </c>
      <c r="E33" s="3553">
        <f>ROUND(C33*D33/10000,2)</f>
        <v>1435.77</v>
      </c>
      <c r="F33" s="3553">
        <f>ROUND(D33/1.44,0)</f>
        <v>4217</v>
      </c>
      <c r="G33" s="2858"/>
      <c r="H33" s="3550"/>
      <c r="I33" s="3238" t="s">
        <v>3150</v>
      </c>
      <c r="J33" s="3239" t="s">
        <v>3151</v>
      </c>
      <c r="K33" s="3239" t="s">
        <v>3151</v>
      </c>
      <c r="L33" s="3240" t="s">
        <v>3151</v>
      </c>
      <c r="M33" s="3223"/>
      <c r="P33"/>
      <c r="Q33"/>
      <c r="R33"/>
    </row>
    <row r="34" spans="1:18" s="3182" customFormat="1" ht="18" hidden="1" customHeight="1" thickBot="1">
      <c r="A34" s="3552"/>
      <c r="B34" s="3550"/>
      <c r="C34" s="3554"/>
      <c r="D34" s="3554"/>
      <c r="E34" s="3554"/>
      <c r="F34" s="3554">
        <f t="shared" ref="F34" si="8">ROUND(D34/1.33,0)</f>
        <v>0</v>
      </c>
      <c r="G34" s="2858"/>
      <c r="H34" s="3538" t="s">
        <v>24</v>
      </c>
      <c r="I34" s="3539"/>
      <c r="J34" s="3539"/>
      <c r="K34" s="3540"/>
      <c r="L34" s="3241">
        <f>L30+L31+L32</f>
        <v>-67.180000000000007</v>
      </c>
      <c r="M34" s="3233"/>
      <c r="P34"/>
      <c r="Q34"/>
      <c r="R34"/>
    </row>
    <row r="35" spans="1:18" s="3182" customFormat="1" ht="15.75" hidden="1" thickBot="1">
      <c r="A35" s="3550"/>
      <c r="B35" s="3227" t="s">
        <v>3150</v>
      </c>
      <c r="C35" s="3228">
        <f>C6</f>
        <v>8880.9</v>
      </c>
      <c r="D35" s="3228">
        <f ca="1">E18</f>
        <v>4592</v>
      </c>
      <c r="E35" s="3228">
        <f ca="1">ROUND(C35*D35/10000,2)</f>
        <v>4078.11</v>
      </c>
      <c r="F35" s="3228">
        <f ca="1">ROUND(D35/1.44,0)</f>
        <v>3189</v>
      </c>
      <c r="G35" s="2858"/>
      <c r="H35" s="2858"/>
      <c r="I35" s="2858"/>
      <c r="J35" s="2858"/>
      <c r="K35" s="2858"/>
      <c r="L35" s="2858"/>
      <c r="M35" s="3223"/>
      <c r="P35"/>
      <c r="Q35"/>
      <c r="R35"/>
    </row>
    <row r="36" spans="1:18" s="3182" customFormat="1" ht="24.75" hidden="1" customHeight="1" thickBot="1">
      <c r="A36" s="3541" t="s">
        <v>24</v>
      </c>
      <c r="B36" s="3542"/>
      <c r="C36" s="3242"/>
      <c r="D36" s="3242" t="s">
        <v>2817</v>
      </c>
      <c r="E36" s="3242">
        <f ca="1">SUM(E31:E35)</f>
        <v>247729.09999999998</v>
      </c>
      <c r="F36" s="3242" t="s">
        <v>2817</v>
      </c>
      <c r="M36" s="3223"/>
      <c r="P36"/>
      <c r="Q36"/>
      <c r="R36"/>
    </row>
  </sheetData>
  <mergeCells count="58">
    <mergeCell ref="G18:G19"/>
    <mergeCell ref="H18:H19"/>
    <mergeCell ref="G20:G21"/>
    <mergeCell ref="H20:H21"/>
    <mergeCell ref="I12:I13"/>
    <mergeCell ref="I14:I15"/>
    <mergeCell ref="I16:I17"/>
    <mergeCell ref="I18:I19"/>
    <mergeCell ref="I20:I21"/>
    <mergeCell ref="H12:H13"/>
    <mergeCell ref="G16:G17"/>
    <mergeCell ref="H16:H17"/>
    <mergeCell ref="G14:G15"/>
    <mergeCell ref="H14:H15"/>
    <mergeCell ref="G12:G13"/>
    <mergeCell ref="A14:A15"/>
    <mergeCell ref="E2:E3"/>
    <mergeCell ref="E1:G1"/>
    <mergeCell ref="A1:C1"/>
    <mergeCell ref="A2:A3"/>
    <mergeCell ref="A4:B4"/>
    <mergeCell ref="E4:F4"/>
    <mergeCell ref="E7:F7"/>
    <mergeCell ref="E5:E6"/>
    <mergeCell ref="A5:A6"/>
    <mergeCell ref="A7:B7"/>
    <mergeCell ref="E33:E34"/>
    <mergeCell ref="F33:F34"/>
    <mergeCell ref="A12:A13"/>
    <mergeCell ref="E12:E13"/>
    <mergeCell ref="A16:A17"/>
    <mergeCell ref="E16:E17"/>
    <mergeCell ref="E14:E15"/>
    <mergeCell ref="A20:A21"/>
    <mergeCell ref="E20:E21"/>
    <mergeCell ref="F20:F21"/>
    <mergeCell ref="F18:F19"/>
    <mergeCell ref="F16:F17"/>
    <mergeCell ref="F14:F15"/>
    <mergeCell ref="F12:F13"/>
    <mergeCell ref="A18:A19"/>
    <mergeCell ref="E18:E19"/>
    <mergeCell ref="H34:K34"/>
    <mergeCell ref="A36:B36"/>
    <mergeCell ref="H27:J27"/>
    <mergeCell ref="N27:T27"/>
    <mergeCell ref="A28:A30"/>
    <mergeCell ref="B28:B30"/>
    <mergeCell ref="H28:H29"/>
    <mergeCell ref="I28:I29"/>
    <mergeCell ref="L28:L29"/>
    <mergeCell ref="H30:H31"/>
    <mergeCell ref="A31:A32"/>
    <mergeCell ref="H32:H33"/>
    <mergeCell ref="A33:A35"/>
    <mergeCell ref="B33:B34"/>
    <mergeCell ref="C33:C34"/>
    <mergeCell ref="D33:D34"/>
  </mergeCells>
  <phoneticPr fontId="229" type="noConversion"/>
  <pageMargins left="0.70866141732283472" right="0.70866141732283472" top="0.74803149606299213" bottom="0.74803149606299213" header="0.31496062992125984" footer="0.31496062992125984"/>
  <pageSetup paperSize="9" orientation="landscape" r:id="rId1"/>
</worksheet>
</file>

<file path=xl/worksheets/sheet43.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L7" sqref="L7"/>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592" t="s">
        <v>1663</v>
      </c>
      <c r="B1" s="3593"/>
      <c r="C1" s="3593"/>
      <c r="D1" s="3593"/>
      <c r="E1" s="3593"/>
      <c r="F1" s="3593"/>
      <c r="G1" s="3593"/>
      <c r="H1" s="2000"/>
      <c r="I1" s="2001"/>
      <c r="J1" s="2002"/>
      <c r="K1" s="2000"/>
      <c r="L1" s="2001"/>
      <c r="M1" s="2002"/>
      <c r="N1" s="2000"/>
      <c r="O1" s="2001"/>
      <c r="P1" s="2002"/>
      <c r="Q1" s="2003"/>
      <c r="R1" s="2004"/>
    </row>
    <row r="2" spans="1:18" ht="14.25" thickBot="1">
      <c r="A2" s="1220"/>
      <c r="B2" s="1221"/>
      <c r="C2" s="1222" t="s">
        <v>1664</v>
      </c>
      <c r="D2" s="1223"/>
      <c r="E2" s="1224"/>
      <c r="F2" s="1225"/>
      <c r="G2" s="1222" t="s">
        <v>1665</v>
      </c>
      <c r="H2" s="2006"/>
      <c r="I2" s="2006"/>
      <c r="J2" s="2006"/>
      <c r="K2" s="2006"/>
      <c r="L2" s="2006"/>
      <c r="M2" s="2006"/>
      <c r="N2" s="2006"/>
      <c r="O2" s="2006"/>
      <c r="P2" s="2006"/>
      <c r="Q2" s="2006"/>
      <c r="R2" s="2006"/>
    </row>
    <row r="3" spans="1:18" ht="54">
      <c r="A3" s="1226" t="s">
        <v>1666</v>
      </c>
      <c r="B3" s="1227" t="s">
        <v>1653</v>
      </c>
      <c r="C3" s="3195" t="s">
        <v>3033</v>
      </c>
      <c r="D3" s="2007"/>
      <c r="E3" s="1228" t="s">
        <v>1666</v>
      </c>
      <c r="F3" s="1229" t="s">
        <v>1654</v>
      </c>
      <c r="G3" s="3058" t="s">
        <v>2919</v>
      </c>
      <c r="H3" s="2006"/>
      <c r="I3" s="2006"/>
      <c r="J3" s="2006"/>
      <c r="K3" s="2006"/>
      <c r="L3" s="2006"/>
      <c r="M3" s="2006"/>
      <c r="N3" s="2006"/>
      <c r="O3" s="2006"/>
      <c r="P3" s="2006"/>
      <c r="Q3" s="2006"/>
      <c r="R3" s="2006"/>
    </row>
    <row r="4" spans="1:18" ht="41.25">
      <c r="A4" s="1228"/>
      <c r="B4" s="1230" t="s">
        <v>1667</v>
      </c>
      <c r="C4" s="3055" t="s">
        <v>3077</v>
      </c>
      <c r="D4" s="2007"/>
      <c r="E4" s="1231"/>
      <c r="F4" s="1232" t="s">
        <v>1668</v>
      </c>
      <c r="G4" s="3056" t="s">
        <v>2916</v>
      </c>
      <c r="H4" s="2006"/>
      <c r="I4" s="2006"/>
      <c r="J4" s="2006"/>
      <c r="K4" s="2006"/>
      <c r="L4" s="2006"/>
      <c r="M4" s="2006"/>
      <c r="N4" s="2006"/>
      <c r="O4" s="2006"/>
      <c r="P4" s="2006"/>
      <c r="Q4" s="2006"/>
      <c r="R4" s="2006"/>
    </row>
    <row r="5" spans="1:18" ht="41.25" hidden="1">
      <c r="A5" s="1228"/>
      <c r="B5" s="1230" t="s">
        <v>1669</v>
      </c>
      <c r="C5" s="3055" t="s">
        <v>3078</v>
      </c>
      <c r="D5" s="2007"/>
      <c r="E5" s="1231"/>
      <c r="F5" s="1230" t="s">
        <v>2546</v>
      </c>
      <c r="G5" s="3056" t="s">
        <v>2917</v>
      </c>
      <c r="H5" s="2006"/>
      <c r="I5" s="2006"/>
      <c r="J5" s="2006"/>
      <c r="K5" s="2006"/>
      <c r="L5" s="2006"/>
      <c r="M5" s="2006"/>
      <c r="N5" s="2006"/>
      <c r="O5" s="2006"/>
      <c r="P5" s="2006"/>
      <c r="Q5" s="2006"/>
      <c r="R5" s="2006"/>
    </row>
    <row r="6" spans="1:18" ht="54">
      <c r="A6" s="1228"/>
      <c r="B6" s="1230" t="s">
        <v>1655</v>
      </c>
      <c r="C6" s="3056" t="s">
        <v>2916</v>
      </c>
      <c r="D6" s="2007"/>
      <c r="E6" s="1231"/>
      <c r="F6" s="1230" t="s">
        <v>2547</v>
      </c>
      <c r="G6" s="3056" t="s">
        <v>2915</v>
      </c>
      <c r="H6" s="2006"/>
      <c r="I6" s="2006"/>
      <c r="J6" s="2006"/>
      <c r="K6" s="2006"/>
      <c r="L6" s="2006"/>
      <c r="M6" s="2006"/>
      <c r="N6" s="2006"/>
      <c r="O6" s="2006"/>
      <c r="P6" s="2006"/>
      <c r="Q6" s="2006"/>
      <c r="R6" s="2006"/>
    </row>
    <row r="7" spans="1:18" ht="41.25" thickBot="1">
      <c r="A7" s="1228"/>
      <c r="B7" s="1230" t="s">
        <v>2546</v>
      </c>
      <c r="C7" s="3056" t="s">
        <v>2917</v>
      </c>
      <c r="D7" s="2008"/>
      <c r="E7" s="1233"/>
      <c r="F7" s="1234" t="s">
        <v>1670</v>
      </c>
      <c r="G7" s="3059" t="s">
        <v>2918</v>
      </c>
      <c r="H7" s="2006"/>
      <c r="I7" s="2006"/>
      <c r="J7" s="2006"/>
      <c r="K7" s="2006"/>
      <c r="L7" s="2006"/>
      <c r="M7" s="2006"/>
      <c r="N7" s="2006"/>
      <c r="O7" s="2006"/>
      <c r="P7" s="2006"/>
      <c r="Q7" s="2006"/>
      <c r="R7" s="2006"/>
    </row>
    <row r="8" spans="1:18" ht="27">
      <c r="A8" s="1228"/>
      <c r="B8" s="1230" t="s">
        <v>2547</v>
      </c>
      <c r="C8" s="3056" t="s">
        <v>2915</v>
      </c>
      <c r="D8" s="2008"/>
      <c r="E8" s="2008"/>
      <c r="F8" s="1552"/>
      <c r="G8" s="1552"/>
      <c r="H8" s="2006"/>
      <c r="I8" s="2006"/>
      <c r="J8" s="2006"/>
      <c r="K8" s="2006"/>
      <c r="L8" s="2006"/>
      <c r="M8" s="2006"/>
      <c r="N8" s="2006"/>
      <c r="O8" s="2006"/>
      <c r="P8" s="2006"/>
      <c r="Q8" s="2006"/>
      <c r="R8" s="2006"/>
    </row>
    <row r="9" spans="1:18" ht="40.5">
      <c r="A9" s="1228"/>
      <c r="B9" s="1230" t="s">
        <v>1656</v>
      </c>
      <c r="C9" s="3206" t="s">
        <v>3086</v>
      </c>
      <c r="D9" s="2007"/>
      <c r="E9" s="2008"/>
      <c r="F9" s="1552"/>
      <c r="G9" s="1552"/>
      <c r="H9" s="2006"/>
      <c r="I9" s="2006"/>
      <c r="J9" s="2006"/>
      <c r="K9" s="2006"/>
      <c r="L9" s="2006"/>
      <c r="M9" s="2006"/>
      <c r="N9" s="2006"/>
      <c r="O9" s="2006"/>
      <c r="P9" s="2006"/>
      <c r="Q9" s="2006"/>
      <c r="R9" s="2006"/>
    </row>
    <row r="10" spans="1:18" s="2014" customFormat="1" ht="15" thickBot="1">
      <c r="A10" s="1235"/>
      <c r="B10" s="1236" t="s">
        <v>1671</v>
      </c>
      <c r="C10" s="3057"/>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1672</v>
      </c>
      <c r="B13" s="2555"/>
      <c r="C13" s="2555"/>
      <c r="D13" s="1223"/>
      <c r="E13" s="2555"/>
      <c r="F13" s="2555"/>
      <c r="G13" s="2555"/>
    </row>
    <row r="14" spans="1:18" ht="14.25" thickBot="1">
      <c r="A14" s="1237"/>
      <c r="B14" s="1238"/>
      <c r="C14" s="1239" t="s">
        <v>1664</v>
      </c>
      <c r="D14" s="2007"/>
      <c r="E14" s="1240"/>
      <c r="F14" s="1240"/>
      <c r="G14" s="1222" t="s">
        <v>1665</v>
      </c>
    </row>
    <row r="15" spans="1:18" ht="54">
      <c r="A15" s="2565" t="s">
        <v>1657</v>
      </c>
      <c r="B15" s="1241" t="s">
        <v>1653</v>
      </c>
      <c r="C15" s="1242" t="str">
        <f>C3</f>
        <v>估价对象周边居住用地比例、居住小区规模和社区发展完善程度，综合评价居住社区成熟度较好</v>
      </c>
      <c r="D15" s="2007"/>
      <c r="E15" s="2562" t="s">
        <v>1658</v>
      </c>
      <c r="F15" s="1241" t="s">
        <v>1673</v>
      </c>
      <c r="G15" s="1243" t="str">
        <f>G3</f>
        <v>估价对象位于XX开发区，园区建设成熟度XX，产业集聚程度XX</v>
      </c>
    </row>
    <row r="16" spans="1:18" ht="40.5">
      <c r="A16" s="2566"/>
      <c r="B16" s="1244" t="s">
        <v>1667</v>
      </c>
      <c r="C16" s="1245" t="str">
        <f>C4</f>
        <v>估价对象位于XX商圈，周边商业氛围成熟，人流量大，商业繁华度一般</v>
      </c>
      <c r="D16" s="2007"/>
      <c r="E16" s="2563"/>
      <c r="F16" s="1246" t="s">
        <v>1668</v>
      </c>
      <c r="G16" s="1004" t="str">
        <f>G4</f>
        <v>估价对象周边道路状况、公共交通通达情况、停车便捷程度，综合评价交通便捷度较好</v>
      </c>
    </row>
    <row r="17" spans="1:7" ht="40.5">
      <c r="A17" s="2566"/>
      <c r="B17" s="1244" t="s">
        <v>1669</v>
      </c>
      <c r="C17" s="1245" t="str">
        <f>C5</f>
        <v>估价对象位于XX商圈，周边办公楼项目较多，入驻率高，办公集聚程度一般</v>
      </c>
      <c r="D17" s="2008"/>
      <c r="E17" s="2563"/>
      <c r="F17" s="1246" t="s">
        <v>1674</v>
      </c>
      <c r="G17" s="2770"/>
    </row>
    <row r="18" spans="1:7" ht="54">
      <c r="A18" s="2566"/>
      <c r="B18" s="1246" t="s">
        <v>1655</v>
      </c>
      <c r="C18" s="1004" t="str">
        <f>C6</f>
        <v>估价对象周边道路状况、公共交通通达情况、停车便捷程度，综合评价交通便捷度较好</v>
      </c>
      <c r="D18" s="2008"/>
      <c r="E18" s="2563"/>
      <c r="F18" s="1246" t="s">
        <v>1670</v>
      </c>
      <c r="G18" s="1004" t="str">
        <f>G7</f>
        <v>该园区内是否有污染型企业，绿化情况，卫生条件，整体环境状况判断</v>
      </c>
    </row>
    <row r="19" spans="1:7" ht="27">
      <c r="A19" s="2566"/>
      <c r="B19" s="1246" t="s">
        <v>1659</v>
      </c>
      <c r="C19" s="2770"/>
      <c r="D19" s="2007"/>
      <c r="E19" s="2563"/>
      <c r="F19" s="1230" t="s">
        <v>2546</v>
      </c>
      <c r="G19" s="1004" t="str">
        <f>G5</f>
        <v>估价对象所在区域公共配套设施齐备情况</v>
      </c>
    </row>
    <row r="20" spans="1:7" ht="40.5">
      <c r="A20" s="2566"/>
      <c r="B20" s="1246" t="s">
        <v>1660</v>
      </c>
      <c r="C20" s="1245" t="str">
        <f>C9</f>
        <v>区域自然环境：；人文环境；综合评价环境状况较好</v>
      </c>
      <c r="D20" s="2008"/>
      <c r="E20" s="2563"/>
      <c r="F20" s="1230" t="s">
        <v>2547</v>
      </c>
      <c r="G20" s="1004" t="str">
        <f>G6</f>
        <v>估价对象所在区域基础设施水平</v>
      </c>
    </row>
    <row r="21" spans="1:7" ht="27">
      <c r="A21" s="2566"/>
      <c r="B21" s="1230" t="s">
        <v>2546</v>
      </c>
      <c r="C21" s="1004" t="str">
        <f>C7</f>
        <v>估价对象所在区域公共配套设施齐备情况</v>
      </c>
      <c r="D21" s="2007"/>
      <c r="E21" s="2563"/>
      <c r="F21" s="1246" t="s">
        <v>1661</v>
      </c>
      <c r="G21" s="3060"/>
    </row>
    <row r="22" spans="1:7" ht="27">
      <c r="A22" s="2566"/>
      <c r="B22" s="1230" t="s">
        <v>2547</v>
      </c>
      <c r="C22" s="1004" t="str">
        <f>C8</f>
        <v>估价对象所在区域基础设施水平</v>
      </c>
      <c r="D22" s="2007"/>
      <c r="E22" s="2563"/>
      <c r="F22" s="1246" t="s">
        <v>1671</v>
      </c>
      <c r="G22" s="2770"/>
    </row>
    <row r="23" spans="1:7" ht="15" thickBot="1">
      <c r="A23" s="2566"/>
      <c r="B23" s="1246" t="s">
        <v>1661</v>
      </c>
      <c r="C23" s="3060"/>
      <c r="E23" s="2564"/>
      <c r="F23" s="1247" t="s">
        <v>1675</v>
      </c>
      <c r="G23" s="3061"/>
    </row>
    <row r="24" spans="1:7" ht="14.25" thickBot="1">
      <c r="A24" s="2567"/>
      <c r="B24" s="1247" t="s">
        <v>1662</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44.xml><?xml version="1.0" encoding="utf-8"?>
<worksheet xmlns="http://schemas.openxmlformats.org/spreadsheetml/2006/main" xmlns:r="http://schemas.openxmlformats.org/officeDocument/2006/relationships">
  <dimension ref="J19:J60"/>
  <sheetViews>
    <sheetView topLeftCell="A28" workbookViewId="0">
      <selection activeCell="Q51" sqref="Q51"/>
    </sheetView>
  </sheetViews>
  <sheetFormatPr defaultRowHeight="13.5"/>
  <sheetData>
    <row r="19" spans="10:10" ht="15.75" customHeight="1"/>
    <row r="30" spans="10:10">
      <c r="J30" s="3182" t="s">
        <v>3043</v>
      </c>
    </row>
    <row r="33" spans="10:10" ht="12.75" customHeight="1"/>
    <row r="39" spans="10:10">
      <c r="J39" s="3182" t="s">
        <v>3044</v>
      </c>
    </row>
    <row r="46" spans="10:10">
      <c r="J46" s="3182" t="s">
        <v>3045</v>
      </c>
    </row>
    <row r="60" ht="12.75" customHeight="1"/>
  </sheetData>
  <phoneticPr fontId="27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dimension ref="A1"/>
  <sheetViews>
    <sheetView zoomScaleNormal="100" workbookViewId="0">
      <selection activeCell="N28" sqref="N28"/>
    </sheetView>
  </sheetViews>
  <sheetFormatPr defaultRowHeight="13.5"/>
  <sheetData/>
  <phoneticPr fontId="229"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5" t="s">
        <v>2038</v>
      </c>
      <c r="B1" s="3245"/>
      <c r="C1" s="3245"/>
      <c r="D1" s="3245"/>
      <c r="E1" s="3245"/>
      <c r="F1" s="3245"/>
      <c r="G1" s="3245"/>
      <c r="H1" s="3245"/>
      <c r="I1" s="3245"/>
      <c r="J1" s="3245"/>
      <c r="K1" s="3245"/>
      <c r="L1" s="3245"/>
      <c r="M1" s="3245"/>
      <c r="N1" s="3245"/>
      <c r="O1" s="3245"/>
      <c r="P1" s="3245"/>
      <c r="Q1" s="3245"/>
      <c r="R1" s="3245"/>
    </row>
    <row r="2" spans="1:18">
      <c r="A2" s="1806" t="s">
        <v>2040</v>
      </c>
      <c r="B2" s="1806"/>
      <c r="C2" s="1806"/>
      <c r="D2" s="1806"/>
      <c r="E2" s="1806"/>
      <c r="F2" s="1806"/>
      <c r="G2" s="1806"/>
      <c r="H2" s="1806"/>
      <c r="I2" s="1807"/>
      <c r="J2" s="1807"/>
      <c r="K2" s="1808" t="str">
        <f>"估价期日："&amp;TEXT(项目基本情况!D3,"yyyy年m月d日;;")</f>
        <v>估价期日：2019年3月4日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46" t="s">
        <v>2029</v>
      </c>
      <c r="B3" s="3246" t="s">
        <v>2731</v>
      </c>
      <c r="C3" s="3247" t="s">
        <v>2030</v>
      </c>
      <c r="D3" s="3246" t="s">
        <v>2735</v>
      </c>
      <c r="E3" s="3249" t="s">
        <v>2031</v>
      </c>
      <c r="F3" s="3249"/>
      <c r="G3" s="3249"/>
      <c r="H3" s="3249" t="s">
        <v>2032</v>
      </c>
      <c r="I3" s="3249"/>
      <c r="J3" s="3249"/>
      <c r="K3" s="3247" t="s">
        <v>2033</v>
      </c>
      <c r="L3" s="3247" t="s">
        <v>2034</v>
      </c>
      <c r="M3" s="3246" t="s">
        <v>2732</v>
      </c>
      <c r="N3" s="3248" t="str">
        <f>"（分摊）"&amp;项目基本情况!B16&amp;"国有建设用地使用权面积/㎡"</f>
        <v>（分摊）出让国有建设用地使用权面积/㎡</v>
      </c>
      <c r="O3" s="3246" t="s">
        <v>2063</v>
      </c>
      <c r="P3" s="3247" t="s">
        <v>2043</v>
      </c>
      <c r="Q3" s="3247" t="s">
        <v>2064</v>
      </c>
      <c r="R3" s="3247" t="s">
        <v>2035</v>
      </c>
    </row>
    <row r="4" spans="1:18" ht="36.75" customHeight="1">
      <c r="A4" s="3246"/>
      <c r="B4" s="3246"/>
      <c r="C4" s="3247"/>
      <c r="D4" s="3246"/>
      <c r="E4" s="2627" t="s">
        <v>2042</v>
      </c>
      <c r="F4" s="2627" t="s">
        <v>2744</v>
      </c>
      <c r="G4" s="2627" t="s">
        <v>2036</v>
      </c>
      <c r="H4" s="2627" t="s">
        <v>2037</v>
      </c>
      <c r="I4" s="2627" t="s">
        <v>2745</v>
      </c>
      <c r="J4" s="2627" t="s">
        <v>2036</v>
      </c>
      <c r="K4" s="3247"/>
      <c r="L4" s="3247"/>
      <c r="M4" s="3246"/>
      <c r="N4" s="3248"/>
      <c r="O4" s="3246"/>
      <c r="P4" s="3247"/>
      <c r="Q4" s="3247"/>
      <c r="R4" s="3247"/>
    </row>
    <row r="5" spans="1:18" ht="135" customHeight="1">
      <c r="A5" s="1942" t="s">
        <v>2655</v>
      </c>
      <c r="B5" s="2844" t="s">
        <v>2653</v>
      </c>
      <c r="C5" s="2626">
        <v>22</v>
      </c>
      <c r="D5" s="2625" t="s">
        <v>2654</v>
      </c>
      <c r="E5" s="1809">
        <f>项目基本情况!B12</f>
        <v>0</v>
      </c>
      <c r="F5" s="2625">
        <v>258</v>
      </c>
      <c r="G5" s="1809">
        <f>项目基本情况!B13</f>
        <v>0</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68743.19</v>
      </c>
      <c r="O5" s="1809">
        <f>项目基本情况!C21</f>
        <v>31245.480000000003</v>
      </c>
      <c r="P5" s="1809" t="e">
        <f ca="1">结果表!E42</f>
        <v>#DIV/0!</v>
      </c>
      <c r="Q5" s="1809" t="e">
        <f ca="1">结果表!D42</f>
        <v>#DIV/0!</v>
      </c>
      <c r="R5" s="1810" t="e">
        <f ca="1">结果表!C42</f>
        <v>#DIV/0!</v>
      </c>
    </row>
    <row r="6" spans="1:18">
      <c r="A6" s="3250" t="str">
        <f>IF(项目基本情况!B9="市场价格","——","抵押价格")</f>
        <v>抵押价格</v>
      </c>
      <c r="B6" s="3251"/>
      <c r="C6" s="3251"/>
      <c r="D6" s="3251"/>
      <c r="E6" s="3251"/>
      <c r="F6" s="3251"/>
      <c r="G6" s="3251"/>
      <c r="H6" s="3251"/>
      <c r="I6" s="3251"/>
      <c r="J6" s="3251"/>
      <c r="K6" s="3251"/>
      <c r="L6" s="3251"/>
      <c r="M6" s="3251"/>
      <c r="N6" s="3251"/>
      <c r="O6" s="3251"/>
      <c r="P6" s="3251"/>
      <c r="Q6" s="3252"/>
      <c r="R6" s="1811" t="str">
        <f>结果表!O39</f>
        <v>——</v>
      </c>
    </row>
    <row r="7" spans="1:18">
      <c r="A7" s="3250" t="str">
        <f>IF(项目基本情况!B9="市场价格","——",IF(项目基本情况!E8="已注销及未注销","抵押担保权已注销时的抵押价格","——"))</f>
        <v>——</v>
      </c>
      <c r="B7" s="3251"/>
      <c r="C7" s="3251"/>
      <c r="D7" s="3251"/>
      <c r="E7" s="3251"/>
      <c r="F7" s="3251"/>
      <c r="G7" s="3251"/>
      <c r="H7" s="3251"/>
      <c r="I7" s="3251"/>
      <c r="J7" s="3251"/>
      <c r="K7" s="3251"/>
      <c r="L7" s="3251"/>
      <c r="M7" s="3251"/>
      <c r="N7" s="3251"/>
      <c r="O7" s="3251"/>
      <c r="P7" s="3251"/>
      <c r="Q7" s="3252"/>
      <c r="R7" s="1811" t="str">
        <f>结果表!O40</f>
        <v>——</v>
      </c>
    </row>
    <row r="8" spans="1:18">
      <c r="A8" s="3250">
        <f>IF(项目基本情况!B9="市场价格","——",项目基本情况!E9)</f>
        <v>0</v>
      </c>
      <c r="B8" s="3251"/>
      <c r="C8" s="3251"/>
      <c r="D8" s="3251"/>
      <c r="E8" s="3251"/>
      <c r="F8" s="3251"/>
      <c r="G8" s="3251"/>
      <c r="H8" s="3251"/>
      <c r="I8" s="3251"/>
      <c r="J8" s="3251"/>
      <c r="K8" s="3251"/>
      <c r="L8" s="3251"/>
      <c r="M8" s="3251"/>
      <c r="N8" s="3251"/>
      <c r="O8" s="3251"/>
      <c r="P8" s="3251"/>
      <c r="Q8" s="3252"/>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53" t="s">
        <v>2065</v>
      </c>
      <c r="B1" s="3253"/>
      <c r="C1" s="3253"/>
      <c r="D1" s="3253"/>
    </row>
    <row r="2" spans="1:4" ht="47.25" customHeight="1">
      <c r="A2" s="3257" t="str">
        <f>"1.权利限制："&amp;项目基本情况!L24&amp;"未设定租赁等其他他项权利。"</f>
        <v>1.权利限制：根据估价对象《不动产权证书》原件、《国有土地使用权》复印件，截至估价期日，估价对象抵押权未见登记。未设定租赁等其他他项权利。</v>
      </c>
      <c r="B2" s="3257"/>
      <c r="C2" s="3257"/>
      <c r="D2" s="3257"/>
    </row>
    <row r="3" spans="1:4" ht="48" customHeight="1">
      <c r="A3" s="325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3"/>
      <c r="C3" s="3253"/>
      <c r="D3" s="3253"/>
    </row>
    <row r="4" spans="1:4" ht="36.75" customHeight="1">
      <c r="A4" s="3253" t="str">
        <f>"3.估价规划限制条件：详见"&amp;项目基本情况!E21&amp;"。"</f>
        <v>3.估价规划限制条件：详见《建设工程规划许可证》[]、《出让合同》[]。</v>
      </c>
      <c r="B4" s="3253"/>
      <c r="C4" s="3253"/>
      <c r="D4" s="3253"/>
    </row>
    <row r="5" spans="1:4">
      <c r="A5" s="3256" t="s">
        <v>2066</v>
      </c>
      <c r="B5" s="3256"/>
      <c r="C5" s="3256"/>
      <c r="D5" s="3256"/>
    </row>
    <row r="6" spans="1:4">
      <c r="A6" s="3253" t="s">
        <v>2044</v>
      </c>
      <c r="B6" s="3253"/>
      <c r="C6" s="3253"/>
      <c r="D6" s="3253"/>
    </row>
    <row r="7" spans="1:4" ht="33" customHeight="1">
      <c r="A7" s="3253" t="s">
        <v>2575</v>
      </c>
      <c r="B7" s="3253"/>
      <c r="C7" s="3253"/>
      <c r="D7" s="3253"/>
    </row>
    <row r="8" spans="1:4" ht="32.25" customHeight="1">
      <c r="A8" s="32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3"/>
      <c r="C8" s="3253"/>
      <c r="D8" s="3253"/>
    </row>
    <row r="9" spans="1:4" ht="33.75" customHeight="1">
      <c r="A9" s="3253" t="str">
        <f>IF(项目基本情况!B8="抵押","3.抵押双方在办理抵押登记手续时，应使用本公司出具的正式《土地估价报告》，特提请报告使用者注意。","——")</f>
        <v>——</v>
      </c>
      <c r="B9" s="3253"/>
      <c r="C9" s="3253"/>
      <c r="D9" s="3253"/>
    </row>
    <row r="10" spans="1:4">
      <c r="A10" s="3253" t="str">
        <f>IF(项目基本情况!B8="抵押","4.估价师所知悉的法定优先受偿款情况为：","——")</f>
        <v>——</v>
      </c>
      <c r="B10" s="3253"/>
      <c r="C10" s="3253"/>
      <c r="D10" s="3253"/>
    </row>
    <row r="11" spans="1:4" ht="37.5" customHeight="1">
      <c r="A11" s="3255" t="str">
        <f>IF(项目基本情况!B8="抵押","（1）"&amp;CONCATENATE(项目基本情况!L24,项目基本情况!L25,项目基本情况!L26),"——")</f>
        <v>——</v>
      </c>
      <c r="B11" s="3255"/>
      <c r="C11" s="3255"/>
      <c r="D11" s="3255"/>
    </row>
    <row r="12" spans="1:4" ht="168" customHeight="1">
      <c r="A12" s="3256" t="s">
        <v>2068</v>
      </c>
      <c r="B12" s="3256"/>
      <c r="C12" s="3256"/>
      <c r="D12" s="3256"/>
    </row>
    <row r="13" spans="1:4">
      <c r="A13" s="3254" t="s">
        <v>2746</v>
      </c>
      <c r="B13" s="3254"/>
      <c r="C13" s="3254"/>
      <c r="D13" s="3254"/>
    </row>
    <row r="14" spans="1:4">
      <c r="A14" s="3255" t="str">
        <f>IF(项目基本情况!B8="抵押","综上，"&amp;结果表!K47,"——")</f>
        <v>——</v>
      </c>
      <c r="B14" s="3255"/>
      <c r="C14" s="3255"/>
      <c r="D14" s="3255"/>
    </row>
    <row r="15" spans="1:4" ht="58.5" customHeight="1">
      <c r="A15" s="32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3"/>
      <c r="C15" s="3253"/>
      <c r="D15" s="3253"/>
    </row>
    <row r="16" spans="1:4" ht="70.5" customHeight="1">
      <c r="A16" s="32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3"/>
      <c r="C16" s="3253"/>
      <c r="D16" s="3253"/>
    </row>
    <row r="17" spans="1:4">
      <c r="A17" s="3253" t="s">
        <v>2702</v>
      </c>
      <c r="B17" s="3253"/>
      <c r="C17" s="3253"/>
      <c r="D17" s="3253"/>
    </row>
    <row r="18" spans="1:4">
      <c r="A18" s="3253" t="s">
        <v>2694</v>
      </c>
      <c r="B18" s="3253"/>
      <c r="C18" s="3253"/>
      <c r="D18" s="3253"/>
    </row>
    <row r="19" spans="1:4">
      <c r="A19" s="2845" t="s">
        <v>2695</v>
      </c>
      <c r="B19" s="2845" t="s">
        <v>2696</v>
      </c>
      <c r="C19" s="2845" t="s">
        <v>2697</v>
      </c>
      <c r="D19" s="2845" t="s">
        <v>2698</v>
      </c>
    </row>
    <row r="20" spans="1:4">
      <c r="A20" s="2845" t="str">
        <f>项目基本情况!B4</f>
        <v>陈颖</v>
      </c>
      <c r="B20" s="2845">
        <f ca="1">项目基本情况!C4</f>
        <v>2004110096</v>
      </c>
      <c r="C20" s="2847"/>
      <c r="D20" s="1799" t="s">
        <v>2703</v>
      </c>
    </row>
    <row r="21" spans="1:4">
      <c r="A21" s="2845" t="str">
        <f>项目基本情况!D4</f>
        <v>杨红英</v>
      </c>
      <c r="B21" s="2845">
        <f ca="1">项目基本情况!E4</f>
        <v>2004110128</v>
      </c>
      <c r="C21" s="2847"/>
      <c r="D21" s="1799" t="s">
        <v>2704</v>
      </c>
    </row>
    <row r="23" spans="1:4">
      <c r="A23" s="3253" t="s">
        <v>2699</v>
      </c>
      <c r="B23" s="3253"/>
      <c r="C23" s="3253"/>
      <c r="D23" s="3253"/>
    </row>
    <row r="24" spans="1:4">
      <c r="A24" s="2845" t="s">
        <v>2695</v>
      </c>
      <c r="B24" s="2845" t="s">
        <v>2700</v>
      </c>
      <c r="C24" s="2845" t="s">
        <v>2697</v>
      </c>
      <c r="D24" s="2845" t="s">
        <v>2698</v>
      </c>
    </row>
    <row r="25" spans="1:4">
      <c r="A25" s="2848" t="s">
        <v>2701</v>
      </c>
      <c r="B25" s="2845" t="s">
        <v>951</v>
      </c>
      <c r="C25" s="2847"/>
      <c r="D25" s="1799" t="s">
        <v>2704</v>
      </c>
    </row>
    <row r="29" spans="1:4">
      <c r="D29" s="2846" t="s">
        <v>2039</v>
      </c>
    </row>
    <row r="30" spans="1:4">
      <c r="D30" s="284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65" t="s">
        <v>53</v>
      </c>
      <c r="B15" s="3266" t="s">
        <v>845</v>
      </c>
      <c r="C15" s="3262"/>
    </row>
    <row r="16" spans="1:7" ht="14.25">
      <c r="A16" s="3265"/>
      <c r="B16" s="3263" t="s">
        <v>54</v>
      </c>
      <c r="C16" s="1171" t="s">
        <v>53</v>
      </c>
    </row>
    <row r="17" spans="1:3" ht="14.25">
      <c r="A17" s="3265"/>
      <c r="B17" s="3263"/>
      <c r="C17" s="1171" t="s">
        <v>55</v>
      </c>
    </row>
    <row r="18" spans="1:3" ht="14.25">
      <c r="A18" s="3265"/>
      <c r="B18" s="3263"/>
      <c r="C18" s="1171" t="s">
        <v>56</v>
      </c>
    </row>
    <row r="19" spans="1:3" ht="14.25">
      <c r="A19" s="3265"/>
      <c r="B19" s="3261" t="s">
        <v>57</v>
      </c>
      <c r="C19" s="3262"/>
    </row>
    <row r="20" spans="1:3" ht="14.25">
      <c r="A20" s="1172" t="s">
        <v>58</v>
      </c>
      <c r="B20" s="1173"/>
      <c r="C20" s="1174"/>
    </row>
    <row r="21" spans="1:3" ht="14.25">
      <c r="A21" s="3264" t="s">
        <v>59</v>
      </c>
      <c r="B21" s="3261" t="s">
        <v>60</v>
      </c>
      <c r="C21" s="3262"/>
    </row>
    <row r="22" spans="1:3" ht="14.25">
      <c r="A22" s="3264"/>
      <c r="B22" s="3261" t="s">
        <v>61</v>
      </c>
      <c r="C22" s="3262"/>
    </row>
    <row r="23" spans="1:3" ht="14.25">
      <c r="A23" s="3264"/>
      <c r="B23" s="3261" t="s">
        <v>62</v>
      </c>
      <c r="C23" s="3262"/>
    </row>
    <row r="24" spans="1:3" ht="14.25">
      <c r="A24" s="3264"/>
      <c r="B24" s="3267" t="s">
        <v>63</v>
      </c>
      <c r="C24" s="1175" t="s">
        <v>836</v>
      </c>
    </row>
    <row r="25" spans="1:3" ht="14.25">
      <c r="A25" s="3264"/>
      <c r="B25" s="3268"/>
      <c r="C25" s="1175" t="s">
        <v>837</v>
      </c>
    </row>
    <row r="26" spans="1:3" ht="14.25">
      <c r="A26" s="3264"/>
      <c r="B26" s="3268"/>
      <c r="C26" s="1175" t="s">
        <v>838</v>
      </c>
    </row>
    <row r="27" spans="1:3" ht="14.25">
      <c r="A27" s="3264"/>
      <c r="B27" s="3268"/>
      <c r="C27" s="1175" t="s">
        <v>839</v>
      </c>
    </row>
    <row r="28" spans="1:3" ht="14.25">
      <c r="A28" s="3264"/>
      <c r="B28" s="3268"/>
      <c r="C28" s="1175" t="s">
        <v>840</v>
      </c>
    </row>
    <row r="29" spans="1:3" ht="14.25">
      <c r="A29" s="3264"/>
      <c r="B29" s="3268"/>
      <c r="C29" s="1175" t="s">
        <v>841</v>
      </c>
    </row>
    <row r="30" spans="1:3" ht="14.25">
      <c r="A30" s="3264"/>
      <c r="B30" s="3268"/>
      <c r="C30" s="1175" t="s">
        <v>842</v>
      </c>
    </row>
    <row r="31" spans="1:3" ht="14.25">
      <c r="A31" s="3264"/>
      <c r="B31" s="3268"/>
      <c r="C31" s="1175" t="s">
        <v>843</v>
      </c>
    </row>
    <row r="32" spans="1:3" ht="14.25">
      <c r="A32" s="3264"/>
      <c r="B32" s="3268"/>
      <c r="C32" s="1175" t="s">
        <v>1646</v>
      </c>
    </row>
    <row r="33" spans="1:3" ht="14.25">
      <c r="A33" s="3264"/>
      <c r="B33" s="3258" t="s">
        <v>1652</v>
      </c>
      <c r="C33" s="1175" t="s">
        <v>1647</v>
      </c>
    </row>
    <row r="34" spans="1:3" ht="14.25">
      <c r="A34" s="3264"/>
      <c r="B34" s="3259"/>
      <c r="C34" s="1180" t="s">
        <v>1648</v>
      </c>
    </row>
    <row r="35" spans="1:3" ht="14.25">
      <c r="A35" s="3264"/>
      <c r="B35" s="3259"/>
      <c r="C35" s="1181" t="s">
        <v>1649</v>
      </c>
    </row>
    <row r="36" spans="1:3" ht="14.25">
      <c r="A36" s="3264"/>
      <c r="B36" s="3259"/>
      <c r="C36" s="1181" t="s">
        <v>1650</v>
      </c>
    </row>
    <row r="37" spans="1:3" ht="14.25">
      <c r="A37" s="3264"/>
      <c r="B37" s="3260"/>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1907</v>
      </c>
      <c r="B2" s="3150">
        <f ca="1">TODAY()</f>
        <v>43545</v>
      </c>
      <c r="C2" s="3151" t="s">
        <v>1908</v>
      </c>
      <c r="D2" s="3151"/>
    </row>
    <row r="3" spans="1:6" ht="20.25" customHeight="1">
      <c r="A3" s="3153" t="s">
        <v>1909</v>
      </c>
      <c r="B3" s="3154" t="s">
        <v>1910</v>
      </c>
      <c r="C3" s="3154" t="s">
        <v>1911</v>
      </c>
      <c r="D3" s="3155" t="s">
        <v>1912</v>
      </c>
      <c r="E3" s="3154" t="s">
        <v>1913</v>
      </c>
      <c r="F3" s="3154" t="s">
        <v>1911</v>
      </c>
    </row>
    <row r="4" spans="1:6" ht="20.25" customHeight="1">
      <c r="A4" s="3154" t="s">
        <v>1914</v>
      </c>
      <c r="B4" s="3154">
        <f ca="1">IF(C4&lt;B2,"已过期",1119970066)</f>
        <v>1119970066</v>
      </c>
      <c r="C4" s="3156">
        <v>43849</v>
      </c>
      <c r="D4" s="3154" t="s">
        <v>1914</v>
      </c>
      <c r="E4" s="3154">
        <f ca="1">IF(F4&lt;B2,"已过期",96010014)</f>
        <v>96010014</v>
      </c>
      <c r="F4" s="3157">
        <v>47118</v>
      </c>
    </row>
    <row r="5" spans="1:6" ht="20.25" customHeight="1">
      <c r="A5" s="3154" t="s">
        <v>1915</v>
      </c>
      <c r="B5" s="3154">
        <f ca="1">IF(C5&lt;B2,"已过期",1119970074)</f>
        <v>1119970074</v>
      </c>
      <c r="C5" s="3156">
        <v>43849</v>
      </c>
      <c r="D5" s="3154" t="s">
        <v>1915</v>
      </c>
      <c r="E5" s="3154">
        <f ca="1">IF(F5&lt;B2,"已过期",2002110027)</f>
        <v>2002110027</v>
      </c>
      <c r="F5" s="3157">
        <v>46752</v>
      </c>
    </row>
    <row r="6" spans="1:6" ht="20.25" customHeight="1">
      <c r="A6" s="3154" t="s">
        <v>1916</v>
      </c>
      <c r="B6" s="3154">
        <f ca="1">IF(C6&lt;B2,"已过期",1119970111)</f>
        <v>1119970111</v>
      </c>
      <c r="C6" s="3156">
        <v>43849</v>
      </c>
      <c r="D6" s="3154" t="s">
        <v>1916</v>
      </c>
      <c r="E6" s="3154">
        <f ca="1">IF(F6&lt;B2,"已过期",94010078)</f>
        <v>94010078</v>
      </c>
      <c r="F6" s="3157">
        <v>46387</v>
      </c>
    </row>
    <row r="7" spans="1:6" ht="20.25" customHeight="1">
      <c r="A7" s="3154" t="s">
        <v>1917</v>
      </c>
      <c r="B7" s="3154">
        <f ca="1">IF(C7&lt;B2,"已过期",1120050019)</f>
        <v>1120050019</v>
      </c>
      <c r="C7" s="3156">
        <v>44395</v>
      </c>
      <c r="D7" s="3154" t="s">
        <v>1917</v>
      </c>
      <c r="E7" s="3154">
        <f ca="1">IF(F7&lt;B2,"已过期",2002110030)</f>
        <v>2002110030</v>
      </c>
      <c r="F7" s="3157">
        <v>46387</v>
      </c>
    </row>
    <row r="8" spans="1:6" ht="20.25" customHeight="1">
      <c r="A8" s="3154" t="s">
        <v>1918</v>
      </c>
      <c r="B8" s="3154">
        <f ca="1">IF(C8&lt;B2,"已过期",1120000080)</f>
        <v>1120000080</v>
      </c>
      <c r="C8" s="3156">
        <v>43849</v>
      </c>
      <c r="D8" s="3154" t="s">
        <v>1918</v>
      </c>
      <c r="E8" s="3154">
        <f ca="1">IF(F8&lt;B2,"已过期",2000110082)</f>
        <v>2000110082</v>
      </c>
      <c r="F8" s="3157">
        <v>46387</v>
      </c>
    </row>
    <row r="9" spans="1:6" ht="20.25" customHeight="1">
      <c r="A9" s="3154" t="s">
        <v>1919</v>
      </c>
      <c r="B9" s="3154">
        <f ca="1">IF(C9&lt;B2,"已过期",1419970001)</f>
        <v>1419970001</v>
      </c>
      <c r="C9" s="3156">
        <v>43867</v>
      </c>
      <c r="D9" s="3154" t="s">
        <v>1919</v>
      </c>
      <c r="E9" s="3154">
        <f ca="1">IF(F9&lt;B2,"已过期",2002110125)</f>
        <v>2002110125</v>
      </c>
      <c r="F9" s="3157">
        <v>47118</v>
      </c>
    </row>
    <row r="10" spans="1:6" ht="20.25" customHeight="1">
      <c r="A10" s="3154" t="s">
        <v>1920</v>
      </c>
      <c r="B10" s="3154" t="str">
        <f ca="1">IF(C10&lt;B2,"已过期",1120060040)</f>
        <v>已过期</v>
      </c>
      <c r="C10" s="3156">
        <v>43483</v>
      </c>
      <c r="D10" s="3154" t="s">
        <v>1920</v>
      </c>
      <c r="E10" s="3154">
        <f ca="1">IF(F10&lt;B2,"已过期",2004110096)</f>
        <v>2004110096</v>
      </c>
      <c r="F10" s="3157">
        <v>47118</v>
      </c>
    </row>
    <row r="11" spans="1:6" ht="20.25" customHeight="1">
      <c r="A11" s="3154" t="s">
        <v>1921</v>
      </c>
      <c r="B11" s="3154">
        <f ca="1">IF(C11&lt;B2,"已过期",1120100036)</f>
        <v>1120100036</v>
      </c>
      <c r="C11" s="3156">
        <v>43622</v>
      </c>
      <c r="D11" s="3154" t="s">
        <v>1921</v>
      </c>
      <c r="E11" s="3154">
        <f ca="1">IF(F11&lt;B2,"已过期",2010110070)</f>
        <v>2010110070</v>
      </c>
      <c r="F11" s="3157">
        <v>47907</v>
      </c>
    </row>
    <row r="12" spans="1:6" ht="20.25" customHeight="1">
      <c r="A12" s="3154"/>
      <c r="B12" s="3154"/>
      <c r="C12" s="3156"/>
      <c r="D12" s="3154"/>
      <c r="E12" s="3154"/>
      <c r="F12" s="3157"/>
    </row>
    <row r="13" spans="1:6" ht="20.25" customHeight="1">
      <c r="A13" s="3154" t="s">
        <v>1922</v>
      </c>
      <c r="B13" s="3154">
        <f ca="1">IF(C13&lt;B2,"已过期",1120070131)</f>
        <v>1120070131</v>
      </c>
      <c r="C13" s="3156">
        <v>43814</v>
      </c>
      <c r="D13" s="3154" t="s">
        <v>1922</v>
      </c>
      <c r="E13" s="3154">
        <f ca="1">IF(F13&lt;B2,"已过期",2014110011)</f>
        <v>2014110011</v>
      </c>
      <c r="F13" s="3157">
        <v>49302</v>
      </c>
    </row>
    <row r="14" spans="1:6" ht="20.25" customHeight="1">
      <c r="A14" s="3154" t="s">
        <v>2977</v>
      </c>
      <c r="B14" s="3154">
        <f ca="1">IF(C14&lt;B2,"已过期",1120040230)</f>
        <v>1120040230</v>
      </c>
      <c r="C14" s="3158">
        <v>43835</v>
      </c>
      <c r="D14" s="3159" t="s">
        <v>2978</v>
      </c>
      <c r="E14" s="3154">
        <f ca="1">IF(F14&lt;B2,"已过期",98030020)</f>
        <v>98030020</v>
      </c>
      <c r="F14" s="3157">
        <v>47118</v>
      </c>
    </row>
    <row r="15" spans="1:6" ht="20.25" customHeight="1">
      <c r="A15" s="3154" t="s">
        <v>2574</v>
      </c>
      <c r="B15" s="3154">
        <f ca="1">IF(C15&lt;B2,"已过期",1120070085)</f>
        <v>1120070085</v>
      </c>
      <c r="C15" s="3158">
        <v>43814</v>
      </c>
      <c r="D15" s="3154" t="s">
        <v>2979</v>
      </c>
      <c r="E15" s="3154">
        <f ca="1">IF(F15&lt;B2,"已过期",2004110128)</f>
        <v>2004110128</v>
      </c>
      <c r="F15" s="3160">
        <v>47118</v>
      </c>
    </row>
    <row r="16" spans="1:6" ht="20.25" customHeight="1">
      <c r="A16" s="3154" t="s">
        <v>1923</v>
      </c>
      <c r="B16" s="3154">
        <f ca="1">IF(C16&lt;B2,"已过期",1120140022)</f>
        <v>1120140022</v>
      </c>
      <c r="C16" s="3156">
        <v>44029</v>
      </c>
      <c r="D16" s="3154" t="s">
        <v>2980</v>
      </c>
      <c r="E16" s="3154">
        <f ca="1">IF(F16&lt;B2,"已过期",2008110059)</f>
        <v>2008110059</v>
      </c>
      <c r="F16" s="3157">
        <v>47177</v>
      </c>
    </row>
    <row r="17" spans="1:7" ht="20.25" customHeight="1">
      <c r="A17" s="3154"/>
      <c r="B17" s="3154"/>
      <c r="C17" s="3156"/>
      <c r="D17" s="3159" t="s">
        <v>2981</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1924</v>
      </c>
      <c r="E21" s="3154">
        <f ca="1">IF(F21&lt;B2,"已过期",2011110090)</f>
        <v>2011110090</v>
      </c>
      <c r="F21" s="3157">
        <v>48302</v>
      </c>
    </row>
    <row r="22" spans="1:7" ht="20.25" customHeight="1">
      <c r="A22" s="3154" t="s">
        <v>1925</v>
      </c>
      <c r="B22" s="3154">
        <f ca="1">IF(C22&lt;B2,"已过期",1120020033)</f>
        <v>1120020033</v>
      </c>
      <c r="C22" s="3156">
        <v>44339</v>
      </c>
      <c r="D22" s="3154" t="s">
        <v>1925</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2053</v>
      </c>
      <c r="B24" s="3153" t="s">
        <v>2053</v>
      </c>
      <c r="C24" s="3156"/>
      <c r="D24" s="3161" t="s">
        <v>2053</v>
      </c>
      <c r="E24" s="3153" t="s">
        <v>2053</v>
      </c>
      <c r="F24" s="3160"/>
    </row>
    <row r="25" spans="1:7" ht="20.25" customHeight="1">
      <c r="A25" s="3269" t="s">
        <v>1926</v>
      </c>
      <c r="B25" s="3269"/>
      <c r="C25" s="3269"/>
      <c r="D25" s="3269"/>
      <c r="E25" s="3269"/>
      <c r="F25" s="3269"/>
      <c r="G25" s="3269"/>
    </row>
    <row r="26" spans="1:7" ht="20.25" customHeight="1">
      <c r="A26" s="3270" t="s">
        <v>1927</v>
      </c>
      <c r="B26" s="3270"/>
      <c r="C26" s="3270"/>
      <c r="D26" s="3270" t="s">
        <v>1928</v>
      </c>
      <c r="E26" s="3270"/>
      <c r="F26" s="3270"/>
    </row>
    <row r="27" spans="1:7" s="3149" customFormat="1" ht="20.25" customHeight="1">
      <c r="A27" s="3163" t="s">
        <v>1929</v>
      </c>
      <c r="B27" s="3164" t="s">
        <v>1930</v>
      </c>
      <c r="C27" s="3164" t="s">
        <v>1931</v>
      </c>
      <c r="D27" s="3154" t="s">
        <v>1929</v>
      </c>
      <c r="E27" s="3164" t="s">
        <v>1930</v>
      </c>
      <c r="F27" s="3164" t="s">
        <v>1931</v>
      </c>
    </row>
    <row r="28" spans="1:7" s="3149" customFormat="1" ht="20.25" customHeight="1">
      <c r="A28" s="3165" t="s">
        <v>1932</v>
      </c>
      <c r="B28" s="3165" t="s">
        <v>1933</v>
      </c>
      <c r="C28" s="3157">
        <v>43725</v>
      </c>
      <c r="D28" s="3165" t="s">
        <v>1934</v>
      </c>
      <c r="E28" s="3165" t="s">
        <v>1935</v>
      </c>
      <c r="F28" s="3166">
        <v>44377</v>
      </c>
    </row>
    <row r="29" spans="1:7" s="3149" customFormat="1" ht="20.25" customHeight="1">
      <c r="A29" s="3165"/>
      <c r="B29" s="3165"/>
      <c r="C29" s="3167"/>
      <c r="D29" s="3165" t="s">
        <v>1936</v>
      </c>
      <c r="E29" s="3168" t="s">
        <v>2939</v>
      </c>
      <c r="F29" s="3169">
        <v>43281</v>
      </c>
    </row>
    <row r="30" spans="1:7" ht="20.25" customHeight="1">
      <c r="C30" s="3170"/>
      <c r="D30" s="3170"/>
    </row>
  </sheetData>
  <sheetProtection password="C66D" sheet="1" objects="1" scenarios="1"/>
  <mergeCells count="3">
    <mergeCell ref="A25:G25"/>
    <mergeCell ref="A26:C26"/>
    <mergeCell ref="D26:F26"/>
  </mergeCells>
  <phoneticPr fontId="4" type="noConversion"/>
  <conditionalFormatting sqref="C24:D24">
    <cfRule type="expression" dxfId="217" priority="113">
      <formula>AND($C24-TODAY()&lt;30,TODAY()&lt;$C24)</formula>
    </cfRule>
  </conditionalFormatting>
  <conditionalFormatting sqref="C28">
    <cfRule type="expression" dxfId="216" priority="112">
      <formula>AND($C28-TODAY()&lt;30,TODAY()&lt;$C28)</formula>
    </cfRule>
  </conditionalFormatting>
  <conditionalFormatting sqref="C28 F4">
    <cfRule type="cellIs" dxfId="215" priority="114" stopIfTrue="1" operator="lessThan">
      <formula>$B$2</formula>
    </cfRule>
  </conditionalFormatting>
  <conditionalFormatting sqref="F5">
    <cfRule type="cellIs" dxfId="214" priority="110" stopIfTrue="1" operator="lessThan">
      <formula>$B$2</formula>
    </cfRule>
  </conditionalFormatting>
  <conditionalFormatting sqref="F6 F8 F10">
    <cfRule type="cellIs" dxfId="213" priority="108" stopIfTrue="1" operator="lessThan">
      <formula>$B$2</formula>
    </cfRule>
  </conditionalFormatting>
  <conditionalFormatting sqref="C24:D24">
    <cfRule type="expression" dxfId="212" priority="106">
      <formula>AND($C24-TODAY()&lt;30,TODAY()&lt;$C24)</formula>
    </cfRule>
  </conditionalFormatting>
  <conditionalFormatting sqref="F7 F9 F11 C24:D24">
    <cfRule type="cellIs" dxfId="211" priority="107" stopIfTrue="1" operator="lessThan">
      <formula>$B$2</formula>
    </cfRule>
  </conditionalFormatting>
  <conditionalFormatting sqref="F18">
    <cfRule type="cellIs" dxfId="210" priority="79" stopIfTrue="1" operator="lessThan">
      <formula>$B$2</formula>
    </cfRule>
  </conditionalFormatting>
  <conditionalFormatting sqref="F22">
    <cfRule type="cellIs" dxfId="209" priority="78" stopIfTrue="1" operator="lessThan">
      <formula>$B$2</formula>
    </cfRule>
  </conditionalFormatting>
  <conditionalFormatting sqref="F21">
    <cfRule type="cellIs" dxfId="208" priority="77" stopIfTrue="1" operator="lessThan">
      <formula>$B$2</formula>
    </cfRule>
  </conditionalFormatting>
  <conditionalFormatting sqref="B4:B11 E4:E11 E18:E23 B17:B23 B13 E13">
    <cfRule type="cellIs" dxfId="207" priority="75" stopIfTrue="1" operator="equal">
      <formula>"已过期"</formula>
    </cfRule>
  </conditionalFormatting>
  <conditionalFormatting sqref="F28">
    <cfRule type="cellIs" dxfId="206" priority="72" stopIfTrue="1" operator="lessThan">
      <formula>$B$2</formula>
    </cfRule>
  </conditionalFormatting>
  <conditionalFormatting sqref="F29">
    <cfRule type="cellIs" dxfId="205" priority="70" stopIfTrue="1" operator="lessThan">
      <formula>$B$2</formula>
    </cfRule>
  </conditionalFormatting>
  <conditionalFormatting sqref="F28">
    <cfRule type="expression" dxfId="204" priority="116">
      <formula>AND($E28-TODAY()&lt;30,TODAY()&lt;$E28)</formula>
    </cfRule>
  </conditionalFormatting>
  <conditionalFormatting sqref="F29">
    <cfRule type="expression" dxfId="203" priority="117" stopIfTrue="1">
      <formula>AND($E29-TODAY()&lt;30,TODAY()&lt;$E29)</formula>
    </cfRule>
  </conditionalFormatting>
  <conditionalFormatting sqref="C5">
    <cfRule type="expression" dxfId="202" priority="67">
      <formula>AND($C5-TODAY()&lt;30,TODAY()&lt;$C5)</formula>
    </cfRule>
  </conditionalFormatting>
  <conditionalFormatting sqref="C5">
    <cfRule type="cellIs" dxfId="201" priority="68" stopIfTrue="1" operator="lessThan">
      <formula>$B$2</formula>
    </cfRule>
  </conditionalFormatting>
  <conditionalFormatting sqref="C4:C6">
    <cfRule type="expression" dxfId="200" priority="65">
      <formula>AND($C4-TODAY()&lt;30,TODAY()&lt;$C4)</formula>
    </cfRule>
  </conditionalFormatting>
  <conditionalFormatting sqref="C4:C6">
    <cfRule type="cellIs" dxfId="199" priority="66" stopIfTrue="1" operator="lessThan">
      <formula>$B$2</formula>
    </cfRule>
  </conditionalFormatting>
  <conditionalFormatting sqref="C8:C9">
    <cfRule type="expression" dxfId="198" priority="63">
      <formula>AND($C8-TODAY()&lt;30,TODAY()&lt;$C8)</formula>
    </cfRule>
  </conditionalFormatting>
  <conditionalFormatting sqref="C8:C9">
    <cfRule type="cellIs" dxfId="197" priority="64" stopIfTrue="1" operator="lessThan">
      <formula>$B$2</formula>
    </cfRule>
  </conditionalFormatting>
  <conditionalFormatting sqref="C7">
    <cfRule type="expression" dxfId="196" priority="46">
      <formula>AND($C7-TODAY()&lt;30,TODAY()&lt;$C7)</formula>
    </cfRule>
  </conditionalFormatting>
  <conditionalFormatting sqref="C7">
    <cfRule type="cellIs" dxfId="195" priority="47" stopIfTrue="1" operator="lessThan">
      <formula>$B$2</formula>
    </cfRule>
  </conditionalFormatting>
  <conditionalFormatting sqref="C10:C11 C13 C23 C17:C21">
    <cfRule type="expression" dxfId="194" priority="44">
      <formula>AND($C10-TODAY()&lt;30,TODAY()&lt;$C10)</formula>
    </cfRule>
  </conditionalFormatting>
  <conditionalFormatting sqref="C10:C11 C13 C23 C17:C21">
    <cfRule type="cellIs" dxfId="193" priority="45" stopIfTrue="1" operator="lessThan">
      <formula>$B$2</formula>
    </cfRule>
  </conditionalFormatting>
  <conditionalFormatting sqref="F13">
    <cfRule type="cellIs" dxfId="192" priority="43" stopIfTrue="1" operator="lessThan">
      <formula>$B$2</formula>
    </cfRule>
  </conditionalFormatting>
  <conditionalFormatting sqref="F12">
    <cfRule type="cellIs" dxfId="191" priority="35" stopIfTrue="1" operator="lessThan">
      <formula>$B$2</formula>
    </cfRule>
  </conditionalFormatting>
  <conditionalFormatting sqref="B12 E12">
    <cfRule type="cellIs" dxfId="190" priority="34" stopIfTrue="1" operator="equal">
      <formula>"已过期"</formula>
    </cfRule>
  </conditionalFormatting>
  <conditionalFormatting sqref="C12">
    <cfRule type="expression" dxfId="189" priority="32">
      <formula>AND($C12-TODAY()&lt;30,TODAY()&lt;$C12)</formula>
    </cfRule>
  </conditionalFormatting>
  <conditionalFormatting sqref="C12">
    <cfRule type="cellIs" dxfId="188" priority="33" stopIfTrue="1" operator="lessThan">
      <formula>$B$2</formula>
    </cfRule>
  </conditionalFormatting>
  <conditionalFormatting sqref="C22">
    <cfRule type="expression" dxfId="187" priority="24">
      <formula>AND($C22-TODAY()&lt;30,TODAY()&lt;$C22)</formula>
    </cfRule>
  </conditionalFormatting>
  <conditionalFormatting sqref="C22">
    <cfRule type="cellIs" dxfId="186" priority="25" stopIfTrue="1" operator="lessThan">
      <formula>$B$2</formula>
    </cfRule>
  </conditionalFormatting>
  <conditionalFormatting sqref="C16">
    <cfRule type="expression" dxfId="185" priority="22">
      <formula>AND($C16-TODAY()&lt;30,TODAY()&lt;$C16)</formula>
    </cfRule>
  </conditionalFormatting>
  <conditionalFormatting sqref="C16">
    <cfRule type="cellIs" dxfId="184" priority="23" stopIfTrue="1" operator="lessThan">
      <formula>$B$2</formula>
    </cfRule>
  </conditionalFormatting>
  <conditionalFormatting sqref="C16">
    <cfRule type="expression" dxfId="183" priority="20">
      <formula>AND($C16-TODAY()&lt;30,TODAY()&lt;$C16)</formula>
    </cfRule>
  </conditionalFormatting>
  <conditionalFormatting sqref="C16">
    <cfRule type="cellIs" dxfId="182" priority="21" stopIfTrue="1" operator="lessThan">
      <formula>$B$2</formula>
    </cfRule>
  </conditionalFormatting>
  <conditionalFormatting sqref="B16">
    <cfRule type="cellIs" dxfId="181" priority="19" stopIfTrue="1" operator="equal">
      <formula>"已过期"</formula>
    </cfRule>
  </conditionalFormatting>
  <conditionalFormatting sqref="C14:C15">
    <cfRule type="expression" dxfId="180" priority="17">
      <formula>AND($C14-TODAY()&lt;30,TODAY()&lt;$C14)</formula>
    </cfRule>
  </conditionalFormatting>
  <conditionalFormatting sqref="C14:C15">
    <cfRule type="cellIs" dxfId="179" priority="18" stopIfTrue="1" operator="lessThan">
      <formula>$B$2</formula>
    </cfRule>
  </conditionalFormatting>
  <conditionalFormatting sqref="C14">
    <cfRule type="expression" dxfId="178" priority="15">
      <formula>AND($C14-TODAY()&lt;30,TODAY()&lt;$C14)</formula>
    </cfRule>
  </conditionalFormatting>
  <conditionalFormatting sqref="C14">
    <cfRule type="cellIs" dxfId="177" priority="16" stopIfTrue="1" operator="lessThan">
      <formula>$B$2</formula>
    </cfRule>
  </conditionalFormatting>
  <conditionalFormatting sqref="C15">
    <cfRule type="expression" dxfId="176" priority="13">
      <formula>AND($C15-TODAY()&lt;30,TODAY()&lt;$C15)</formula>
    </cfRule>
  </conditionalFormatting>
  <conditionalFormatting sqref="C15">
    <cfRule type="cellIs" dxfId="175" priority="14" stopIfTrue="1" operator="lessThan">
      <formula>$B$2</formula>
    </cfRule>
  </conditionalFormatting>
  <conditionalFormatting sqref="B14">
    <cfRule type="cellIs" dxfId="174" priority="12" stopIfTrue="1" operator="equal">
      <formula>"已过期"</formula>
    </cfRule>
  </conditionalFormatting>
  <conditionalFormatting sqref="B15">
    <cfRule type="cellIs" dxfId="173" priority="11" stopIfTrue="1" operator="equal">
      <formula>"已过期"</formula>
    </cfRule>
  </conditionalFormatting>
  <conditionalFormatting sqref="A15">
    <cfRule type="cellIs" dxfId="172" priority="10" stopIfTrue="1" operator="equal">
      <formula>"已过期"</formula>
    </cfRule>
  </conditionalFormatting>
  <conditionalFormatting sqref="C15">
    <cfRule type="expression" dxfId="171" priority="9">
      <formula>AND($C15-TODAY()&lt;30,TODAY()&lt;$C15)</formula>
    </cfRule>
  </conditionalFormatting>
  <conditionalFormatting sqref="F16">
    <cfRule type="cellIs" dxfId="170" priority="8" stopIfTrue="1" operator="lessThan">
      <formula>$B$2</formula>
    </cfRule>
  </conditionalFormatting>
  <conditionalFormatting sqref="E16">
    <cfRule type="cellIs" dxfId="169" priority="7" stopIfTrue="1" operator="equal">
      <formula>"已过期"</formula>
    </cfRule>
  </conditionalFormatting>
  <conditionalFormatting sqref="E15">
    <cfRule type="cellIs" dxfId="168" priority="6" stopIfTrue="1" operator="equal">
      <formula>"已过期"</formula>
    </cfRule>
  </conditionalFormatting>
  <conditionalFormatting sqref="D15">
    <cfRule type="cellIs" dxfId="167" priority="5" stopIfTrue="1" operator="equal">
      <formula>"已过期"</formula>
    </cfRule>
  </conditionalFormatting>
  <conditionalFormatting sqref="F17">
    <cfRule type="cellIs" dxfId="166" priority="4" stopIfTrue="1" operator="lessThan">
      <formula>$B$2</formula>
    </cfRule>
  </conditionalFormatting>
  <conditionalFormatting sqref="E17">
    <cfRule type="cellIs" dxfId="165" priority="3" stopIfTrue="1" operator="equal">
      <formula>"已过期"</formula>
    </cfRule>
  </conditionalFormatting>
  <conditionalFormatting sqref="E14">
    <cfRule type="cellIs" dxfId="164" priority="2" stopIfTrue="1" operator="equal">
      <formula>"已过期"</formula>
    </cfRule>
  </conditionalFormatting>
  <conditionalFormatting sqref="F14">
    <cfRule type="cellIs" dxfId="16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AB27" sqref="AB27"/>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2545</v>
      </c>
      <c r="R1" s="2560" t="s">
        <v>2539</v>
      </c>
      <c r="S1" s="6" t="s">
        <v>146</v>
      </c>
      <c r="T1" s="7" t="s">
        <v>147</v>
      </c>
      <c r="U1" s="6" t="s">
        <v>148</v>
      </c>
      <c r="V1" s="6" t="s">
        <v>149</v>
      </c>
      <c r="W1" s="1003" t="s">
        <v>873</v>
      </c>
    </row>
    <row r="2" spans="1:23">
      <c r="A2" s="8" t="s">
        <v>73</v>
      </c>
      <c r="B2" s="3177" t="s">
        <v>3023</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2540</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2541</v>
      </c>
      <c r="S3" s="9" t="s">
        <v>84</v>
      </c>
      <c r="T3" s="9" t="s">
        <v>85</v>
      </c>
      <c r="U3" s="9" t="s">
        <v>84</v>
      </c>
      <c r="V3" s="9" t="s">
        <v>86</v>
      </c>
      <c r="W3" s="9" t="s">
        <v>875</v>
      </c>
    </row>
    <row r="4" spans="1:23">
      <c r="A4" s="8" t="s">
        <v>87</v>
      </c>
      <c r="B4" s="8" t="s">
        <v>151</v>
      </c>
      <c r="C4" s="1550" t="s">
        <v>1711</v>
      </c>
      <c r="D4" s="9" t="s">
        <v>1994</v>
      </c>
      <c r="E4" s="9" t="s">
        <v>88</v>
      </c>
      <c r="F4" s="9" t="s">
        <v>89</v>
      </c>
      <c r="G4" s="9">
        <v>70</v>
      </c>
      <c r="H4" s="9" t="s">
        <v>90</v>
      </c>
      <c r="I4" s="9" t="s">
        <v>91</v>
      </c>
      <c r="K4" s="9" t="s">
        <v>92</v>
      </c>
      <c r="L4" s="9" t="s">
        <v>92</v>
      </c>
      <c r="M4" s="9" t="s">
        <v>92</v>
      </c>
      <c r="N4" s="9" t="s">
        <v>92</v>
      </c>
      <c r="O4" s="9" t="s">
        <v>92</v>
      </c>
      <c r="P4" s="1005" t="s">
        <v>759</v>
      </c>
      <c r="Q4" s="9" t="s">
        <v>92</v>
      </c>
      <c r="R4" s="1005" t="s">
        <v>2542</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5" t="s">
        <v>545</v>
      </c>
      <c r="Q5" s="9" t="s">
        <v>97</v>
      </c>
      <c r="R5" s="1005" t="s">
        <v>2543</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2544</v>
      </c>
      <c r="S6" s="9" t="s">
        <v>101</v>
      </c>
      <c r="T6" s="9"/>
      <c r="U6" s="9" t="s">
        <v>101</v>
      </c>
      <c r="W6" s="9" t="s">
        <v>878</v>
      </c>
    </row>
    <row r="7" spans="1:23">
      <c r="A7" s="8" t="s">
        <v>102</v>
      </c>
      <c r="B7" s="8" t="s">
        <v>103</v>
      </c>
      <c r="C7" s="1550" t="s">
        <v>1714</v>
      </c>
      <c r="F7" s="9" t="s">
        <v>153</v>
      </c>
      <c r="H7" s="9" t="s">
        <v>104</v>
      </c>
      <c r="I7" s="9" t="s">
        <v>105</v>
      </c>
    </row>
    <row r="8" spans="1:23">
      <c r="A8" s="8" t="s">
        <v>106</v>
      </c>
      <c r="B8" s="8" t="s">
        <v>107</v>
      </c>
      <c r="C8" s="1550" t="s">
        <v>1715</v>
      </c>
      <c r="F8" s="9" t="s">
        <v>154</v>
      </c>
      <c r="H8" s="9"/>
      <c r="I8" s="9" t="s">
        <v>108</v>
      </c>
    </row>
    <row r="9" spans="1:23">
      <c r="A9" s="8" t="s">
        <v>109</v>
      </c>
      <c r="B9" s="8" t="s">
        <v>155</v>
      </c>
      <c r="C9" s="1550" t="s">
        <v>1716</v>
      </c>
      <c r="F9" s="9" t="s">
        <v>110</v>
      </c>
      <c r="H9" s="9"/>
    </row>
    <row r="10" spans="1:23">
      <c r="A10" s="8" t="s">
        <v>111</v>
      </c>
      <c r="B10" s="8" t="s">
        <v>156</v>
      </c>
      <c r="C10" s="1550" t="s">
        <v>1717</v>
      </c>
      <c r="F10" s="9" t="s">
        <v>6</v>
      </c>
    </row>
    <row r="11" spans="1:23">
      <c r="A11" s="8" t="s">
        <v>112</v>
      </c>
      <c r="B11" s="8" t="s">
        <v>157</v>
      </c>
      <c r="C11" s="1550" t="s">
        <v>1718</v>
      </c>
    </row>
    <row r="12" spans="1:23">
      <c r="A12" s="8" t="s">
        <v>113</v>
      </c>
      <c r="B12" s="8" t="s">
        <v>158</v>
      </c>
      <c r="C12" s="1550" t="s">
        <v>1719</v>
      </c>
    </row>
    <row r="13" spans="1:23">
      <c r="A13" s="8" t="s">
        <v>114</v>
      </c>
      <c r="B13" s="8" t="s">
        <v>159</v>
      </c>
      <c r="C13" s="1550" t="s">
        <v>1720</v>
      </c>
    </row>
    <row r="14" spans="1:23">
      <c r="A14" s="8" t="s">
        <v>115</v>
      </c>
      <c r="B14" s="8" t="s">
        <v>160</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086" t="s">
        <v>2951</v>
      </c>
      <c r="C18" s="1553"/>
    </row>
    <row r="19" spans="1:3">
      <c r="A19" s="8" t="s">
        <v>120</v>
      </c>
      <c r="B19" s="3086" t="s">
        <v>2959</v>
      </c>
      <c r="C19" s="1553"/>
    </row>
    <row r="20" spans="1:3">
      <c r="A20" s="8" t="s">
        <v>121</v>
      </c>
      <c r="B20" s="3086" t="s">
        <v>3075</v>
      </c>
      <c r="C20" s="1553"/>
    </row>
    <row r="21" spans="1:3">
      <c r="A21" s="8" t="s">
        <v>122</v>
      </c>
      <c r="B21" s="3086" t="s">
        <v>3024</v>
      </c>
      <c r="C21" s="1553"/>
    </row>
    <row r="22" spans="1:3">
      <c r="A22" s="8" t="s">
        <v>123</v>
      </c>
      <c r="B22" s="8" t="s">
        <v>1641</v>
      </c>
      <c r="C22" s="1553"/>
    </row>
    <row r="23" spans="1:3">
      <c r="A23" s="8" t="s">
        <v>124</v>
      </c>
      <c r="B23" s="3086" t="s">
        <v>3111</v>
      </c>
      <c r="C23" s="1553"/>
    </row>
    <row r="24" spans="1:3">
      <c r="A24" s="8" t="s">
        <v>12</v>
      </c>
      <c r="B24" s="8" t="s">
        <v>3071</v>
      </c>
      <c r="C24" s="1553"/>
    </row>
    <row r="25" spans="1:3">
      <c r="A25" s="8" t="s">
        <v>125</v>
      </c>
      <c r="B25" s="8" t="s">
        <v>3112</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71"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c r="D53" s="1766"/>
      <c r="E53" s="1766"/>
    </row>
    <row r="54" spans="1:5">
      <c r="A54" s="3271"/>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71"/>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71"/>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71"/>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系统读取表</vt:lpstr>
      <vt:lpstr>结果表</vt:lpstr>
      <vt:lpstr>剩余法-待开发住宅</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剩余法-待开发商业</vt:lpstr>
      <vt:lpstr>不动产比较法-住宅</vt:lpstr>
      <vt:lpstr>不动产比较法-商业</vt:lpstr>
      <vt:lpstr>基准地价-住宅</vt:lpstr>
      <vt:lpstr>基准地价-商业</vt:lpstr>
      <vt:lpstr>不动产比较法-办公</vt:lpstr>
      <vt:lpstr>不动产比较法-工业</vt:lpstr>
      <vt:lpstr>不动产比较法-车位</vt:lpstr>
      <vt:lpstr>不动产比较法-仓储</vt:lpstr>
      <vt:lpstr>典型户型修正</vt:lpstr>
      <vt:lpstr>存贷款利率</vt:lpstr>
      <vt:lpstr>结果表一</vt:lpstr>
      <vt:lpstr>估价对象房地状况</vt:lpstr>
      <vt:lpstr>住宅案例</vt:lpstr>
      <vt:lpstr>商业案例</vt:lpstr>
      <vt:lpstr>Sheet1</vt:lpstr>
      <vt:lpstr>结果表一!Print_Area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2019-03-05T05:06:39Z</cp:lastPrinted>
  <dcterms:created xsi:type="dcterms:W3CDTF">2015-07-13T07:17:23Z</dcterms:created>
  <dcterms:modified xsi:type="dcterms:W3CDTF">2019-03-21T13:17:58Z</dcterms:modified>
</cp:coreProperties>
</file>