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F:\万国城\"/>
    </mc:Choice>
  </mc:AlternateContent>
  <xr:revisionPtr revIDLastSave="0" documentId="13_ncr:1_{3B3A66E5-0581-4B6A-8C79-4DAEA8FD552E}" xr6:coauthVersionLast="47" xr6:coauthVersionMax="47" xr10:uidLastSave="{00000000-0000-0000-0000-000000000000}"/>
  <bookViews>
    <workbookView xWindow="0" yWindow="0" windowWidth="19200" windowHeight="21000" tabRatio="899" firstSheet="9" activeTab="3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住宅"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r:id="rId34"/>
    <sheet name="基准地价修正" sheetId="43" r:id="rId35"/>
    <sheet name="结果表-车位" sheetId="83" r:id="rId36"/>
    <sheet name="收益法 (元)-车位" sheetId="82" r:id="rId37"/>
    <sheet name="成本法 (元) -车位" sheetId="81" r:id="rId38"/>
    <sheet name="比较法-车位" sheetId="35" state="hidden" r:id="rId39"/>
    <sheet name="Sheet1" sheetId="80"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6" hidden="1">'比较法-办公'!$A$1:$L$50</definedName>
    <definedName name="_xlnm._FilterDatabase" localSheetId="28" hidden="1">'比较法-仓储'!$A$1:$L$37</definedName>
    <definedName name="_xlnm._FilterDatabase" localSheetId="3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8">'比较法-仓储'!$A$1:$K$42,'比较法-仓储'!$A$45:$M$96</definedName>
    <definedName name="_xlnm.Print_Area" localSheetId="3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3">'成本法 (元)'!$A$1:$G$57</definedName>
    <definedName name="_xlnm.Print_Area" localSheetId="37">'成本法 (元) -车位'!$A$1:$G$57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35">'结果表-车位'!$A$1:$I$127</definedName>
    <definedName name="_xlnm.Print_Area" localSheetId="17">'结果表-住宅'!$A$1:$I$127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36">'收益法 (元)-车位'!$A$1:$F$43,'收益法 (元)-车位'!$H$3:$M$29,'收益法 (元)-车位'!$A$45:$F$71,'收益法 (元)-车位'!$I$46:$N$65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F21" i="82"/>
  <c r="J23" i="83"/>
  <c r="J22" i="83"/>
  <c r="H35" i="82"/>
  <c r="H34" i="82"/>
  <c r="G21" i="6"/>
  <c r="G20" i="6"/>
  <c r="I33" i="21"/>
  <c r="G33" i="21"/>
  <c r="E33" i="21"/>
  <c r="I47" i="21"/>
  <c r="G47" i="21"/>
  <c r="E47" i="21"/>
  <c r="A126" i="83"/>
  <c r="A124" i="83"/>
  <c r="A122" i="83"/>
  <c r="A120" i="83"/>
  <c r="A118" i="83"/>
  <c r="E111" i="83"/>
  <c r="H112" i="83" s="1"/>
  <c r="E109" i="83"/>
  <c r="H109" i="83" s="1"/>
  <c r="E107" i="83"/>
  <c r="H106" i="83"/>
  <c r="H105" i="83"/>
  <c r="H104" i="83"/>
  <c r="H103" i="83"/>
  <c r="D120" i="83" s="1"/>
  <c r="D101" i="83"/>
  <c r="C101" i="83"/>
  <c r="D93" i="83"/>
  <c r="C91" i="83"/>
  <c r="E90" i="83"/>
  <c r="D89" i="83"/>
  <c r="C89" i="83" s="1"/>
  <c r="C87" i="83" s="1"/>
  <c r="D78" i="83"/>
  <c r="H77" i="83"/>
  <c r="D77" i="83"/>
  <c r="C77" i="83"/>
  <c r="C76" i="83"/>
  <c r="C74" i="83"/>
  <c r="D68" i="83"/>
  <c r="F59" i="83"/>
  <c r="O55" i="83" s="1"/>
  <c r="E59" i="83"/>
  <c r="N55" i="83" s="1"/>
  <c r="N56" i="83"/>
  <c r="M56" i="83"/>
  <c r="K56" i="83"/>
  <c r="J56" i="83"/>
  <c r="F56" i="83"/>
  <c r="O54" i="83" s="1"/>
  <c r="K55" i="83"/>
  <c r="J55" i="83"/>
  <c r="J57" i="83" s="1"/>
  <c r="J59" i="83" s="1"/>
  <c r="J61" i="83" s="1"/>
  <c r="I55" i="83"/>
  <c r="F55" i="83"/>
  <c r="O53" i="83" s="1"/>
  <c r="N54" i="83"/>
  <c r="F54" i="83"/>
  <c r="N53" i="83"/>
  <c r="F53" i="83"/>
  <c r="F52" i="83"/>
  <c r="K49" i="83"/>
  <c r="F48" i="83"/>
  <c r="O52" i="83" s="1"/>
  <c r="E48" i="83"/>
  <c r="N52" i="83" s="1"/>
  <c r="D48" i="83"/>
  <c r="M52" i="83" s="1"/>
  <c r="M47" i="83"/>
  <c r="F33" i="83"/>
  <c r="D27" i="83"/>
  <c r="C25" i="83"/>
  <c r="C24" i="83"/>
  <c r="M19" i="83"/>
  <c r="C118" i="83" s="1"/>
  <c r="L19" i="83"/>
  <c r="M18" i="83"/>
  <c r="B118" i="83" s="1"/>
  <c r="L18" i="83"/>
  <c r="C17" i="83"/>
  <c r="D14" i="83"/>
  <c r="D17" i="83" s="1"/>
  <c r="C18" i="83" s="1"/>
  <c r="D18" i="83" s="1"/>
  <c r="L4" i="83"/>
  <c r="K4" i="83"/>
  <c r="A2" i="83"/>
  <c r="H1" i="83"/>
  <c r="Q72" i="82"/>
  <c r="C62" i="82"/>
  <c r="C61" i="82"/>
  <c r="C60" i="82"/>
  <c r="Q59" i="82"/>
  <c r="K59" i="82"/>
  <c r="P74" i="82" s="1"/>
  <c r="Q58" i="82"/>
  <c r="Q51" i="82"/>
  <c r="J51" i="82"/>
  <c r="J50" i="82"/>
  <c r="M47" i="82"/>
  <c r="D46" i="82"/>
  <c r="F34" i="82"/>
  <c r="F62" i="82" s="1"/>
  <c r="C34" i="82"/>
  <c r="F33" i="82"/>
  <c r="F61" i="82" s="1"/>
  <c r="C33" i="82"/>
  <c r="F32" i="82"/>
  <c r="F60" i="82" s="1"/>
  <c r="C32" i="82"/>
  <c r="F28" i="82"/>
  <c r="C28" i="82"/>
  <c r="F23" i="82"/>
  <c r="D24" i="82" s="1"/>
  <c r="D23" i="82"/>
  <c r="D22" i="82"/>
  <c r="M20" i="82"/>
  <c r="F20" i="82"/>
  <c r="M19" i="82"/>
  <c r="M18" i="82"/>
  <c r="F18" i="82"/>
  <c r="F17" i="82"/>
  <c r="F15" i="82"/>
  <c r="Y7" i="1"/>
  <c r="N7" i="1"/>
  <c r="F48" i="81"/>
  <c r="C48" i="81"/>
  <c r="G41" i="81"/>
  <c r="F39" i="81"/>
  <c r="F38" i="81"/>
  <c r="E37" i="81"/>
  <c r="F36" i="81"/>
  <c r="F35" i="81"/>
  <c r="F30" i="81"/>
  <c r="C30" i="81"/>
  <c r="G22" i="81"/>
  <c r="F21" i="81"/>
  <c r="F40" i="81" s="1"/>
  <c r="F20" i="81"/>
  <c r="E19" i="81"/>
  <c r="C19" i="81"/>
  <c r="E10" i="81"/>
  <c r="E9" i="81"/>
  <c r="F7" i="81"/>
  <c r="H1" i="81"/>
  <c r="G44" i="43"/>
  <c r="D14" i="9"/>
  <c r="C33" i="21"/>
  <c r="Y6" i="1"/>
  <c r="V30" i="80"/>
  <c r="F19" i="6"/>
  <c r="L14" i="4"/>
  <c r="W20" i="80"/>
  <c r="W21" i="80"/>
  <c r="W22" i="80"/>
  <c r="W23" i="80"/>
  <c r="W24" i="80"/>
  <c r="W19" i="80"/>
  <c r="D3" i="4"/>
  <c r="E27" i="45"/>
  <c r="D35" i="83"/>
  <c r="E2" i="81"/>
  <c r="D34" i="83"/>
  <c r="D124" i="83" l="1"/>
  <c r="D125" i="83" s="1"/>
  <c r="H110" i="83"/>
  <c r="M49" i="83"/>
  <c r="C92" i="83"/>
  <c r="C94" i="83"/>
  <c r="D121" i="83"/>
  <c r="K120" i="83"/>
  <c r="H111" i="83"/>
  <c r="D126" i="83" s="1"/>
  <c r="D127" i="83" s="1"/>
  <c r="P61" i="82"/>
  <c r="C40" i="81"/>
  <c r="C21" i="81"/>
  <c r="G14" i="73"/>
  <c r="F14" i="73"/>
  <c r="E14" i="73"/>
  <c r="L66" i="83" l="1"/>
  <c r="M66" i="83" s="1"/>
  <c r="L64" i="83"/>
  <c r="M64" i="83" s="1"/>
  <c r="L63" i="83"/>
  <c r="M63" i="83" s="1"/>
  <c r="M69" i="83" s="1"/>
  <c r="N69" i="83" s="1"/>
  <c r="L68" i="83"/>
  <c r="M68" i="83" s="1"/>
  <c r="L67" i="83"/>
  <c r="M67" i="83" s="1"/>
  <c r="L65" i="83"/>
  <c r="M65" i="83" s="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5" i="79"/>
  <c r="AD36" i="79"/>
  <c r="AD38" i="79"/>
  <c r="AD37"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3" i="79"/>
  <c r="T35" i="79"/>
  <c r="T34" i="79"/>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23" i="79"/>
  <c r="AK23" i="79" s="1"/>
  <c r="AH23" i="79"/>
  <c r="W12" i="79"/>
  <c r="AK12" i="79" s="1"/>
  <c r="AH12" i="79"/>
  <c r="W21" i="79"/>
  <c r="AK21" i="79" s="1"/>
  <c r="AH21" i="79"/>
  <c r="W47" i="79"/>
  <c r="AK47" i="79" s="1"/>
  <c r="AH47" i="79"/>
  <c r="W45" i="79"/>
  <c r="AK45" i="79" s="1"/>
  <c r="AH45" i="79"/>
  <c r="W33" i="79"/>
  <c r="AK33" i="79" s="1"/>
  <c r="AH33"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F24" i="71" s="1"/>
  <c r="F23" i="71" s="1"/>
  <c r="F22" i="71" s="1"/>
  <c r="P24" i="71"/>
  <c r="O24" i="71"/>
  <c r="C24" i="71" s="1"/>
  <c r="C23" i="71" s="1"/>
  <c r="Q25" i="71"/>
  <c r="P25" i="71"/>
  <c r="E24" i="71"/>
  <c r="V24"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E76" i="71"/>
  <c r="C76" i="71"/>
  <c r="T76" i="71" s="1"/>
  <c r="B76" i="71"/>
  <c r="B75" i="71" s="1"/>
  <c r="S76" i="71"/>
  <c r="Q75" i="71"/>
  <c r="P75" i="71"/>
  <c r="O75" i="71"/>
  <c r="N75" i="71"/>
  <c r="B74"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F66" i="71" s="1"/>
  <c r="V68" i="71"/>
  <c r="E68" i="71"/>
  <c r="P68" i="71" s="1"/>
  <c r="C68" i="71"/>
  <c r="B68" i="71"/>
  <c r="S68" i="71"/>
  <c r="D65" i="71"/>
  <c r="Q64" i="71"/>
  <c r="P64" i="71"/>
  <c r="O64" i="71"/>
  <c r="N64" i="71"/>
  <c r="Q63" i="71"/>
  <c r="P63" i="71"/>
  <c r="O63" i="71"/>
  <c r="N63" i="71"/>
  <c r="Q62" i="71"/>
  <c r="P62" i="71"/>
  <c r="O62" i="71"/>
  <c r="N62" i="71"/>
  <c r="Q61" i="71"/>
  <c r="F62" i="71" s="1"/>
  <c r="F63" i="71" s="1"/>
  <c r="F64" i="71" s="1"/>
  <c r="V64" i="71" s="1"/>
  <c r="P61" i="71"/>
  <c r="E62" i="71"/>
  <c r="E63" i="71" s="1"/>
  <c r="E64" i="71" s="1"/>
  <c r="O61" i="71"/>
  <c r="C62" i="71" s="1"/>
  <c r="N61" i="71"/>
  <c r="B62" i="7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c r="O57" i="71"/>
  <c r="C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D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c r="Q38" i="71"/>
  <c r="P38" i="71"/>
  <c r="O38" i="71"/>
  <c r="Y38" i="71" s="1"/>
  <c r="Z38" i="71" s="1"/>
  <c r="N38" i="71"/>
  <c r="X34" i="71" s="1"/>
  <c r="F38" i="71"/>
  <c r="F39" i="71" s="1"/>
  <c r="Q37" i="71"/>
  <c r="P37" i="71"/>
  <c r="O37" i="71"/>
  <c r="Y37" i="71" s="1"/>
  <c r="Z37" i="71" s="1"/>
  <c r="N37" i="71"/>
  <c r="B38" i="71" s="1"/>
  <c r="D37" i="71"/>
  <c r="Q36" i="71"/>
  <c r="P36" i="71"/>
  <c r="AA35" i="71" s="1"/>
  <c r="O36" i="71"/>
  <c r="N36" i="71"/>
  <c r="Q35" i="71"/>
  <c r="AB35" i="71"/>
  <c r="P35" i="71"/>
  <c r="O35" i="71"/>
  <c r="N35" i="71"/>
  <c r="Q34" i="71"/>
  <c r="P34" i="71"/>
  <c r="AA34" i="71" s="1"/>
  <c r="O34" i="71"/>
  <c r="N34" i="71"/>
  <c r="Q33" i="71"/>
  <c r="AB33" i="71" s="1"/>
  <c r="P33" i="71"/>
  <c r="O33" i="7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B39" i="71"/>
  <c r="B40" i="71" s="1"/>
  <c r="S40" i="71" s="1"/>
  <c r="E34" i="71"/>
  <c r="C30" i="71"/>
  <c r="C34" i="71"/>
  <c r="D34" i="71" s="1"/>
  <c r="C38" i="71"/>
  <c r="AA38" i="71"/>
  <c r="Y27" i="71"/>
  <c r="Z27" i="71" s="1"/>
  <c r="B28" i="71"/>
  <c r="C31" i="71"/>
  <c r="C32" i="71" s="1"/>
  <c r="T32" i="71" s="1"/>
  <c r="D30" i="71"/>
  <c r="C47" i="71"/>
  <c r="D47" i="71" s="1"/>
  <c r="D50" i="71"/>
  <c r="P28" i="71"/>
  <c r="E59" i="71"/>
  <c r="E60" i="71" s="1"/>
  <c r="U60" i="71" s="1"/>
  <c r="U64" i="71"/>
  <c r="U68" i="71"/>
  <c r="E67" i="71"/>
  <c r="Q28" i="71"/>
  <c r="C55" i="71"/>
  <c r="D54" i="71"/>
  <c r="D58" i="71"/>
  <c r="C63" i="71"/>
  <c r="C64" i="71" s="1"/>
  <c r="D62" i="71"/>
  <c r="Q67" i="71"/>
  <c r="T68" i="71"/>
  <c r="O68" i="71"/>
  <c r="D68" i="71"/>
  <c r="C67" i="71"/>
  <c r="Q68" i="71"/>
  <c r="E71" i="71"/>
  <c r="E70" i="71"/>
  <c r="D72" i="71"/>
  <c r="C75" i="71"/>
  <c r="D76" i="71"/>
  <c r="D80" i="71"/>
  <c r="C87" i="71"/>
  <c r="C86" i="71" s="1"/>
  <c r="D86" i="71" s="1"/>
  <c r="F28" i="71"/>
  <c r="F27" i="71"/>
  <c r="F26" i="71"/>
  <c r="AB28" i="71"/>
  <c r="AA3" i="71"/>
  <c r="D63" i="71"/>
  <c r="D75" i="71"/>
  <c r="C74" i="71"/>
  <c r="D74" i="71" s="1"/>
  <c r="D87" i="71"/>
  <c r="C56" i="71"/>
  <c r="D55" i="71"/>
  <c r="P67" i="71"/>
  <c r="E66" i="71"/>
  <c r="P65" i="71" s="1"/>
  <c r="D31" i="71"/>
  <c r="P66" i="71"/>
  <c r="D3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S21" i="34"/>
  <c r="H25" i="40"/>
  <c r="AB25" i="40" s="1"/>
  <c r="J25" i="40"/>
  <c r="H29" i="39"/>
  <c r="J29" i="39"/>
  <c r="J18" i="36"/>
  <c r="AC18" i="36" s="1"/>
  <c r="H18" i="35"/>
  <c r="AB18" i="35" s="1"/>
  <c r="J18" i="35"/>
  <c r="H21" i="37"/>
  <c r="F21" i="37"/>
  <c r="F84" i="34"/>
  <c r="G84" i="34" s="1"/>
  <c r="H21" i="34"/>
  <c r="AB21" i="34" s="1"/>
  <c r="H21" i="33"/>
  <c r="U21" i="33" s="1"/>
  <c r="F21" i="33"/>
  <c r="E83" i="21"/>
  <c r="F83" i="21" s="1"/>
  <c r="G83" i="21" s="1"/>
  <c r="H1" i="69"/>
  <c r="AC25" i="40"/>
  <c r="W25" i="40"/>
  <c r="U25" i="40"/>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W21" i="21" s="1"/>
  <c r="C40" i="69"/>
  <c r="F38" i="68"/>
  <c r="E37" i="68"/>
  <c r="F36" i="68"/>
  <c r="F35" i="68"/>
  <c r="F21" i="68"/>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F25" i="37" s="1"/>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c r="H38" i="33"/>
  <c r="AB38" i="33" s="1"/>
  <c r="F38" i="33"/>
  <c r="AA38" i="33" s="1"/>
  <c r="Q37" i="33"/>
  <c r="Z37" i="33" s="1"/>
  <c r="Q36" i="33"/>
  <c r="Z36" i="33" s="1"/>
  <c r="Q35" i="33"/>
  <c r="Z35" i="33" s="1"/>
  <c r="H35" i="33"/>
  <c r="U35" i="33" s="1"/>
  <c r="Q34" i="33"/>
  <c r="Z34" i="33" s="1"/>
  <c r="Q33" i="33"/>
  <c r="Z33" i="33"/>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J45" i="21"/>
  <c r="W45" i="21" s="1"/>
  <c r="B126" i="21"/>
  <c r="F44" i="21" s="1"/>
  <c r="AA44" i="21" s="1"/>
  <c r="B98" i="21"/>
  <c r="H31" i="21" s="1"/>
  <c r="B96" i="21"/>
  <c r="H30" i="21" s="1"/>
  <c r="B94" i="21"/>
  <c r="J29" i="21" s="1"/>
  <c r="B92" i="21"/>
  <c r="H28" i="21" s="1"/>
  <c r="AB28" i="21" s="1"/>
  <c r="B90" i="21"/>
  <c r="F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s="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AB19" i="21"/>
  <c r="J19" i="21"/>
  <c r="W19" i="21" s="1"/>
  <c r="AB41" i="21"/>
  <c r="S41" i="21"/>
  <c r="AA41" i="21"/>
  <c r="F45" i="39"/>
  <c r="S45" i="39"/>
  <c r="J45" i="39"/>
  <c r="W45" i="39" s="1"/>
  <c r="J44" i="39"/>
  <c r="AC44" i="39" s="1"/>
  <c r="F36" i="39"/>
  <c r="S36" i="39" s="1"/>
  <c r="H36" i="39"/>
  <c r="AB36" i="39" s="1"/>
  <c r="J35" i="39"/>
  <c r="AC35" i="39" s="1"/>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W28" i="36"/>
  <c r="H22" i="35"/>
  <c r="AB22" i="35"/>
  <c r="AC27" i="35"/>
  <c r="W28" i="35"/>
  <c r="U31" i="35"/>
  <c r="W22" i="35"/>
  <c r="S31" i="35"/>
  <c r="U34" i="35"/>
  <c r="F36" i="34"/>
  <c r="J35" i="34"/>
  <c r="U34" i="34"/>
  <c r="H39" i="33"/>
  <c r="AB39" i="33"/>
  <c r="F26" i="33"/>
  <c r="AA26" i="33" s="1"/>
  <c r="U33" i="33"/>
  <c r="S40" i="33"/>
  <c r="H39" i="37"/>
  <c r="AB39" i="37" s="1"/>
  <c r="F11" i="40"/>
  <c r="AA11" i="40" s="1"/>
  <c r="H11" i="40"/>
  <c r="AB11" i="40" s="1"/>
  <c r="W8" i="40"/>
  <c r="AA9" i="40"/>
  <c r="U9" i="40"/>
  <c r="U38" i="40"/>
  <c r="W31" i="40"/>
  <c r="S38" i="40"/>
  <c r="F42" i="39"/>
  <c r="AA42" i="39" s="1"/>
  <c r="F41" i="39"/>
  <c r="S41" i="39" s="1"/>
  <c r="H40" i="39"/>
  <c r="AB40" i="39" s="1"/>
  <c r="H39" i="39"/>
  <c r="U39" i="39" s="1"/>
  <c r="S34" i="39"/>
  <c r="H34" i="39"/>
  <c r="U34"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C25" i="39"/>
  <c r="H11" i="39"/>
  <c r="S40" i="39"/>
  <c r="C15" i="39"/>
  <c r="H32" i="33"/>
  <c r="AB32" i="33"/>
  <c r="H11" i="21"/>
  <c r="U11" i="21" s="1"/>
  <c r="J11" i="21"/>
  <c r="W11" i="21" s="1"/>
  <c r="H37" i="40"/>
  <c r="U37" i="40"/>
  <c r="H36" i="40"/>
  <c r="AB36" i="40" s="1"/>
  <c r="F35" i="40"/>
  <c r="AA35" i="40" s="1"/>
  <c r="H23" i="40"/>
  <c r="AB23" i="40" s="1"/>
  <c r="H17" i="40"/>
  <c r="U17" i="40" s="1"/>
  <c r="J15" i="40"/>
  <c r="W15" i="40" s="1"/>
  <c r="J11" i="40"/>
  <c r="AC11" i="40" s="1"/>
  <c r="AB8" i="39"/>
  <c r="AB12" i="35"/>
  <c r="AB12" i="36"/>
  <c r="W32" i="40"/>
  <c r="S44" i="39"/>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c r="F16" i="35"/>
  <c r="S16" i="35" s="1"/>
  <c r="H14" i="35"/>
  <c r="AB14" i="35"/>
  <c r="J29" i="35"/>
  <c r="H33" i="35"/>
  <c r="J20" i="35"/>
  <c r="W20" i="35"/>
  <c r="F35" i="37"/>
  <c r="S35" i="37" s="1"/>
  <c r="E101" i="37"/>
  <c r="F101" i="37" s="1"/>
  <c r="G101" i="37"/>
  <c r="H101" i="37" s="1"/>
  <c r="I101" i="37" s="1"/>
  <c r="J101" i="37" s="1"/>
  <c r="K101" i="37" s="1"/>
  <c r="L101" i="37" s="1"/>
  <c r="M101" i="37" s="1"/>
  <c r="J34" i="37"/>
  <c r="W34" i="37" s="1"/>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F25" i="34"/>
  <c r="S25" i="34" s="1"/>
  <c r="H23" i="34"/>
  <c r="U23" i="34"/>
  <c r="J23" i="34"/>
  <c r="F19" i="34"/>
  <c r="H17" i="34"/>
  <c r="U17" i="34"/>
  <c r="F15" i="34"/>
  <c r="AA15" i="34" s="1"/>
  <c r="J15" i="34"/>
  <c r="H15" i="34"/>
  <c r="AB15" i="34" s="1"/>
  <c r="W8" i="34"/>
  <c r="J28" i="34"/>
  <c r="AC28" i="34" s="1"/>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AB23" i="34"/>
  <c r="F23" i="34"/>
  <c r="AA23" i="34" s="1"/>
  <c r="J19" i="34"/>
  <c r="AC19" i="34" s="1"/>
  <c r="F17" i="34"/>
  <c r="AA17" i="34" s="1"/>
  <c r="J17" i="34"/>
  <c r="W17" i="34" s="1"/>
  <c r="AB17" i="34"/>
  <c r="S41" i="33"/>
  <c r="F113" i="33"/>
  <c r="G113" i="33" s="1"/>
  <c r="H113" i="33"/>
  <c r="I113" i="33" s="1"/>
  <c r="J113" i="33" s="1"/>
  <c r="K113" i="33" s="1"/>
  <c r="L113" i="33"/>
  <c r="M113" i="33" s="1"/>
  <c r="H37" i="33"/>
  <c r="AB37" i="33" s="1"/>
  <c r="H15" i="33"/>
  <c r="AB15" i="33" s="1"/>
  <c r="H11" i="33"/>
  <c r="AB11" i="33" s="1"/>
  <c r="F28" i="40"/>
  <c r="AA28" i="40" s="1"/>
  <c r="AA29" i="35"/>
  <c r="AA42" i="34"/>
  <c r="S42" i="34"/>
  <c r="AC38" i="34"/>
  <c r="AA38" i="34"/>
  <c r="J37" i="34"/>
  <c r="AC37" i="34" s="1"/>
  <c r="J11" i="33"/>
  <c r="W11" i="33" s="1"/>
  <c r="J44" i="34"/>
  <c r="F44" i="34"/>
  <c r="AA44" i="34"/>
  <c r="J10" i="35"/>
  <c r="AC10" i="35" s="1"/>
  <c r="J14" i="21"/>
  <c r="W14" i="21" s="1"/>
  <c r="F14" i="21"/>
  <c r="S14" i="21" s="1"/>
  <c r="H14" i="21"/>
  <c r="U14" i="21"/>
  <c r="F28" i="21"/>
  <c r="AA28" i="21" s="1"/>
  <c r="J28" i="21"/>
  <c r="W28" i="21" s="1"/>
  <c r="U30" i="21"/>
  <c r="J44" i="21"/>
  <c r="AC44" i="21" s="1"/>
  <c r="H44" i="21"/>
  <c r="U44" i="21" s="1"/>
  <c r="H46" i="21"/>
  <c r="U46" i="21" s="1"/>
  <c r="J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AB30" i="21"/>
  <c r="W31" i="34"/>
  <c r="S11" i="36"/>
  <c r="AA14" i="34"/>
  <c r="S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A13" i="33"/>
  <c r="AC45" i="33"/>
  <c r="W44" i="33"/>
  <c r="U11" i="33"/>
  <c r="U19" i="21"/>
  <c r="W44"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BL192" i="3"/>
  <c r="G193" i="3"/>
  <c r="BA195" i="3"/>
  <c r="AZ195" i="3"/>
  <c r="BL196" i="3"/>
  <c r="G197" i="3"/>
  <c r="BA199" i="3"/>
  <c r="BL200" i="3"/>
  <c r="G201" i="3"/>
  <c r="BA203" i="3"/>
  <c r="AZ203" i="3" s="1"/>
  <c r="BL204" i="3"/>
  <c r="AZ204" i="3" s="1"/>
  <c r="AZ79"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194" i="3"/>
  <c r="AZ198"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G332" i="3"/>
  <c r="BA334" i="3"/>
  <c r="BL335" i="3"/>
  <c r="G336" i="3"/>
  <c r="BA338" i="3"/>
  <c r="AZ338" i="3" s="1"/>
  <c r="BL339" i="3"/>
  <c r="G340" i="3"/>
  <c r="BL343" i="3"/>
  <c r="G344" i="3"/>
  <c r="G348" i="3"/>
  <c r="G355" i="3"/>
  <c r="AZ214" i="3"/>
  <c r="G342" i="3"/>
  <c r="BL345" i="3"/>
  <c r="G346" i="3"/>
  <c r="BL349" i="3"/>
  <c r="AZ349" i="3" s="1"/>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AZ383" i="3" s="1"/>
  <c r="BL384" i="3"/>
  <c r="G385" i="3"/>
  <c r="BA387" i="3"/>
  <c r="AZ387" i="3" s="1"/>
  <c r="BL388" i="3"/>
  <c r="G389" i="3"/>
  <c r="BA391" i="3"/>
  <c r="BL392" i="3"/>
  <c r="AZ392" i="3" s="1"/>
  <c r="G393" i="3"/>
  <c r="AZ283" i="3"/>
  <c r="BO5" i="3"/>
  <c r="BM5" i="3"/>
  <c r="BJ5" i="3"/>
  <c r="BH5" i="3"/>
  <c r="BF5" i="3"/>
  <c r="BD5" i="3"/>
  <c r="AZ325" i="3"/>
  <c r="AC5" i="3"/>
  <c r="AZ506" i="3"/>
  <c r="AZ496" i="3"/>
  <c r="G548" i="3"/>
  <c r="G538" i="3"/>
  <c r="G520" i="3"/>
  <c r="G502" i="3"/>
  <c r="BS5" i="3"/>
  <c r="BP5" i="3"/>
  <c r="BN5" i="3"/>
  <c r="G29" i="6" s="1"/>
  <c r="BK5" i="3"/>
  <c r="BI5" i="3"/>
  <c r="BG5" i="3"/>
  <c r="BE5" i="3"/>
  <c r="BC5" i="3"/>
  <c r="G17" i="3"/>
  <c r="BA17" i="3"/>
  <c r="BT5" i="3"/>
  <c r="BA15" i="3"/>
  <c r="BB5" i="3"/>
  <c r="E5" i="6" s="1"/>
  <c r="BR5" i="3"/>
  <c r="AZ380" i="3"/>
  <c r="G509" i="3"/>
  <c r="BL493" i="3"/>
  <c r="AZ493" i="3" s="1"/>
  <c r="U36" i="40"/>
  <c r="F83" i="43"/>
  <c r="H85" i="43" s="1"/>
  <c r="F50" i="43"/>
  <c r="H54" i="43" s="1"/>
  <c r="F72" i="43"/>
  <c r="H75" i="43" s="1"/>
  <c r="U17" i="39"/>
  <c r="S14" i="35"/>
  <c r="U43" i="21"/>
  <c r="AZ563" i="3"/>
  <c r="W37" i="37"/>
  <c r="W44" i="34"/>
  <c r="AC44" i="34"/>
  <c r="S15" i="37"/>
  <c r="U13" i="37"/>
  <c r="U12" i="40"/>
  <c r="AA12" i="40"/>
  <c r="J37" i="33"/>
  <c r="W37" i="33"/>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8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C12" i="39"/>
  <c r="W12" i="39"/>
  <c r="AZ465" i="3"/>
  <c r="W12" i="33"/>
  <c r="AC12" i="33"/>
  <c r="AA32" i="36"/>
  <c r="S32" i="36"/>
  <c r="BL14" i="3"/>
  <c r="U30" i="33"/>
  <c r="AC13" i="34"/>
  <c r="AA47" i="34"/>
  <c r="W28" i="37"/>
  <c r="S19" i="39"/>
  <c r="F12" i="33"/>
  <c r="H12" i="39"/>
  <c r="AB12" i="39" s="1"/>
  <c r="F39" i="40"/>
  <c r="BA14" i="3"/>
  <c r="AZ254" i="3"/>
  <c r="B12" i="1"/>
  <c r="E12" i="1" s="1"/>
  <c r="B10" i="1"/>
  <c r="E10" i="1" s="1"/>
  <c r="AZ88" i="3"/>
  <c r="K12" i="1"/>
  <c r="M12" i="1" s="1"/>
  <c r="S13" i="1"/>
  <c r="AR13" i="1" s="1"/>
  <c r="R13" i="1"/>
  <c r="AC34" i="33"/>
  <c r="AA34" i="33"/>
  <c r="B41" i="1"/>
  <c r="F48" i="9" s="1"/>
  <c r="O52" i="9" s="1"/>
  <c r="AB37" i="40"/>
  <c r="S35" i="40"/>
  <c r="U35" i="40"/>
  <c r="AC36" i="40"/>
  <c r="W38" i="40"/>
  <c r="AA32" i="40"/>
  <c r="S17" i="40"/>
  <c r="S23"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AC17" i="33" s="1"/>
  <c r="S15" i="33"/>
  <c r="W15" i="33"/>
  <c r="U9" i="33"/>
  <c r="J10" i="33"/>
  <c r="W10" i="33" s="1"/>
  <c r="H10" i="33"/>
  <c r="U10" i="33" s="1"/>
  <c r="AC11" i="33"/>
  <c r="AB14" i="33"/>
  <c r="W43" i="21"/>
  <c r="AA43"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32" i="6"/>
  <c r="G1" i="68"/>
  <c r="K1" i="12"/>
  <c r="E19" i="69"/>
  <c r="E19" i="68"/>
  <c r="E19" i="11"/>
  <c r="E1" i="73"/>
  <c r="G22" i="69"/>
  <c r="G22" i="68"/>
  <c r="G26" i="12"/>
  <c r="G22" i="11"/>
  <c r="C6" i="43"/>
  <c r="B19" i="53"/>
  <c r="B37" i="72" s="1"/>
  <c r="C7" i="33"/>
  <c r="C7" i="21"/>
  <c r="G23" i="43"/>
  <c r="C23" i="43" s="1"/>
  <c r="A4" i="51"/>
  <c r="B6" i="72"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3" i="21"/>
  <c r="AA33" i="21" s="1"/>
  <c r="J33" i="21"/>
  <c r="AC33" i="21" s="1"/>
  <c r="H33" i="21"/>
  <c r="AB33" i="21" s="1"/>
  <c r="F37" i="21"/>
  <c r="AA37" i="21" s="1"/>
  <c r="AB14" i="21"/>
  <c r="AB46" i="21"/>
  <c r="U40" i="21"/>
  <c r="AB31" i="21"/>
  <c r="U31" i="21"/>
  <c r="U13" i="21"/>
  <c r="AB13" i="21"/>
  <c r="J37" i="21"/>
  <c r="W37" i="21" s="1"/>
  <c r="H15" i="21"/>
  <c r="U15" i="21" s="1"/>
  <c r="J17" i="21"/>
  <c r="AC17" i="21" s="1"/>
  <c r="AC19" i="21"/>
  <c r="AC14" i="21"/>
  <c r="S46" i="21"/>
  <c r="H45" i="21"/>
  <c r="U45" i="21" s="1"/>
  <c r="F29" i="21"/>
  <c r="AA29" i="21" s="1"/>
  <c r="F13" i="21"/>
  <c r="AA13" i="21" s="1"/>
  <c r="H32" i="21"/>
  <c r="AB32" i="21" s="1"/>
  <c r="H9" i="21"/>
  <c r="AB9" i="21" s="1"/>
  <c r="J9" i="21"/>
  <c r="J32" i="21"/>
  <c r="W32" i="21" s="1"/>
  <c r="F32" i="21"/>
  <c r="AA32" i="21" s="1"/>
  <c r="AA31" i="21"/>
  <c r="U17" i="21"/>
  <c r="S19" i="21"/>
  <c r="S9" i="21"/>
  <c r="AA9" i="21"/>
  <c r="K141" i="21"/>
  <c r="K144" i="21"/>
  <c r="K143" i="21"/>
  <c r="AB25" i="21"/>
  <c r="AB44" i="21"/>
  <c r="W13" i="21"/>
  <c r="AC45" i="21"/>
  <c r="F10" i="21"/>
  <c r="AA10" i="21" s="1"/>
  <c r="K145" i="21"/>
  <c r="W25" i="21"/>
  <c r="W31" i="21"/>
  <c r="S17" i="21"/>
  <c r="AA15"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AB15" i="21"/>
  <c r="J23" i="21"/>
  <c r="F85" i="21"/>
  <c r="G85" i="21" s="1"/>
  <c r="H23" i="21"/>
  <c r="U23" i="21" s="1"/>
  <c r="S13" i="21"/>
  <c r="D6" i="52"/>
  <c r="AP7" i="1"/>
  <c r="AB45" i="21"/>
  <c r="W9" i="21"/>
  <c r="AC9" i="21"/>
  <c r="A18" i="62"/>
  <c r="B64" i="72" s="1"/>
  <c r="U32" i="39"/>
  <c r="AC32" i="39"/>
  <c r="J63" i="37"/>
  <c r="K63" i="37" s="1"/>
  <c r="L63" i="37" s="1"/>
  <c r="M63" i="37" s="1"/>
  <c r="J11" i="37"/>
  <c r="AC11" i="37" s="1"/>
  <c r="J11" i="34"/>
  <c r="W11" i="34" s="1"/>
  <c r="AA17" i="33"/>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2" i="76"/>
  <c r="F16" i="67"/>
  <c r="E7" i="76"/>
  <c r="E11" i="76"/>
  <c r="M28" i="67"/>
  <c r="F13" i="15"/>
  <c r="L47" i="15"/>
  <c r="B10" i="76"/>
  <c r="B9" i="76"/>
  <c r="F37" i="67"/>
  <c r="B11" i="76"/>
  <c r="F7" i="73"/>
  <c r="F6" i="67"/>
  <c r="C76" i="67"/>
  <c r="M22" i="67"/>
  <c r="F42" i="15"/>
  <c r="F40" i="67"/>
  <c r="M24" i="15"/>
  <c r="B7" i="76"/>
  <c r="E2" i="68"/>
  <c r="F13" i="67"/>
  <c r="F9" i="67"/>
  <c r="F7" i="67"/>
  <c r="M22" i="15"/>
  <c r="F43" i="15"/>
  <c r="D6" i="73"/>
  <c r="E13" i="76"/>
  <c r="E2" i="69"/>
  <c r="AO13" i="1"/>
  <c r="F4" i="73"/>
  <c r="C76" i="15"/>
  <c r="M8" i="67"/>
  <c r="B13" i="76"/>
  <c r="E9" i="76"/>
  <c r="M23" i="67"/>
  <c r="D34" i="9"/>
  <c r="B8" i="76"/>
  <c r="J15" i="67"/>
  <c r="M24" i="67"/>
  <c r="F20" i="31"/>
  <c r="F42" i="67"/>
  <c r="L47" i="67"/>
  <c r="E8" i="76"/>
  <c r="F6" i="73"/>
  <c r="F5" i="73"/>
  <c r="B12" i="76"/>
  <c r="F26" i="15"/>
  <c r="M29" i="67"/>
  <c r="F6" i="15"/>
  <c r="D35" i="9"/>
  <c r="F7" i="15"/>
  <c r="F16" i="15"/>
  <c r="F3" i="73"/>
  <c r="F8" i="67"/>
  <c r="L48" i="67"/>
  <c r="F38" i="67"/>
  <c r="F43" i="67"/>
  <c r="E10" i="76"/>
  <c r="M6" i="67"/>
  <c r="AB23" i="21" l="1"/>
  <c r="AC21" i="21"/>
  <c r="W41" i="21"/>
  <c r="AB39" i="21"/>
  <c r="AA36" i="21"/>
  <c r="W36" i="21"/>
  <c r="W39" i="21"/>
  <c r="S39" i="21"/>
  <c r="AA38" i="21"/>
  <c r="AB38" i="21"/>
  <c r="AC38" i="21"/>
  <c r="AC35" i="21"/>
  <c r="S35" i="21"/>
  <c r="U35" i="21"/>
  <c r="U32" i="21"/>
  <c r="S32" i="21"/>
  <c r="H26" i="21"/>
  <c r="AB26" i="21" s="1"/>
  <c r="F26" i="21"/>
  <c r="S26" i="21" s="1"/>
  <c r="J26" i="21"/>
  <c r="AC26" i="21" s="1"/>
  <c r="H42" i="21"/>
  <c r="AB42" i="21" s="1"/>
  <c r="J42" i="21"/>
  <c r="S42" i="21"/>
  <c r="B7" i="1"/>
  <c r="E7" i="1" s="1"/>
  <c r="G1" i="81"/>
  <c r="G1" i="82"/>
  <c r="AA26" i="21"/>
  <c r="W26" i="21"/>
  <c r="U27" i="21"/>
  <c r="S37" i="21"/>
  <c r="F28" i="15"/>
  <c r="F32" i="67"/>
  <c r="F60" i="67" s="1"/>
  <c r="F28" i="67"/>
  <c r="D68" i="9"/>
  <c r="F30" i="69"/>
  <c r="F48" i="69" s="1"/>
  <c r="F31" i="12"/>
  <c r="M18" i="15"/>
  <c r="M18" i="67"/>
  <c r="F30" i="11"/>
  <c r="C48" i="11" s="1"/>
  <c r="F54" i="9"/>
  <c r="F32" i="15"/>
  <c r="F60" i="15" s="1"/>
  <c r="F52" i="9"/>
  <c r="F30" i="68"/>
  <c r="F48" i="68" s="1"/>
  <c r="M47" i="9"/>
  <c r="C7" i="35"/>
  <c r="C48" i="35" s="1"/>
  <c r="D48" i="35" s="1"/>
  <c r="C42" i="1"/>
  <c r="C24" i="12" s="1"/>
  <c r="C7" i="34"/>
  <c r="C7" i="40"/>
  <c r="C63" i="40" s="1"/>
  <c r="C7" i="39"/>
  <c r="C67" i="39" s="1"/>
  <c r="W9" i="35"/>
  <c r="AC9" i="35"/>
  <c r="AA27" i="21"/>
  <c r="S27" i="21"/>
  <c r="AA25" i="37"/>
  <c r="S25" i="37"/>
  <c r="AC29" i="21"/>
  <c r="W29" i="21"/>
  <c r="U19" i="33"/>
  <c r="AC27" i="33"/>
  <c r="AC23" i="37"/>
  <c r="U9" i="21"/>
  <c r="S23" i="21"/>
  <c r="W15" i="21"/>
  <c r="S43" i="34"/>
  <c r="U32" i="37"/>
  <c r="S30" i="40"/>
  <c r="AZ14" i="3"/>
  <c r="AZ345" i="3"/>
  <c r="AZ334" i="3"/>
  <c r="AZ372" i="3"/>
  <c r="AZ347" i="3"/>
  <c r="AZ337" i="3"/>
  <c r="AZ376" i="3"/>
  <c r="AZ309" i="3"/>
  <c r="AA11" i="39"/>
  <c r="AZ523" i="3"/>
  <c r="AZ547" i="3"/>
  <c r="AZ571" i="3"/>
  <c r="AZ579" i="3"/>
  <c r="W44" i="39"/>
  <c r="AB46" i="34"/>
  <c r="AC11" i="35"/>
  <c r="J30" i="21"/>
  <c r="S40" i="21"/>
  <c r="U31" i="36"/>
  <c r="AA27" i="35"/>
  <c r="S27" i="35"/>
  <c r="W17" i="21"/>
  <c r="U12" i="39"/>
  <c r="AA27" i="40"/>
  <c r="AB33" i="40"/>
  <c r="AC31" i="33"/>
  <c r="AZ539" i="3"/>
  <c r="AZ529" i="3"/>
  <c r="AZ537" i="3"/>
  <c r="AZ518" i="3"/>
  <c r="AZ546" i="3"/>
  <c r="AB45" i="33"/>
  <c r="S14" i="37"/>
  <c r="F30" i="21"/>
  <c r="W28" i="34"/>
  <c r="W11" i="40"/>
  <c r="W39" i="33"/>
  <c r="J27" i="21"/>
  <c r="AC33" i="33"/>
  <c r="W33" i="33"/>
  <c r="AB35" i="33"/>
  <c r="F9" i="34"/>
  <c r="AA9" i="34" s="1"/>
  <c r="J9" i="34"/>
  <c r="J12" i="34"/>
  <c r="H12" i="34"/>
  <c r="H33" i="36"/>
  <c r="BA551" i="3"/>
  <c r="AZ551" i="3" s="1"/>
  <c r="BA550" i="3"/>
  <c r="BL548" i="3"/>
  <c r="AZ407" i="3"/>
  <c r="W25" i="33"/>
  <c r="AB36" i="33"/>
  <c r="AA19" i="33"/>
  <c r="AC11" i="39"/>
  <c r="F29" i="6"/>
  <c r="AZ391" i="3"/>
  <c r="AZ318" i="3"/>
  <c r="AZ364" i="3"/>
  <c r="AZ329" i="3"/>
  <c r="AZ306" i="3"/>
  <c r="AZ513" i="3"/>
  <c r="AZ548" i="3"/>
  <c r="AZ502" i="3"/>
  <c r="AA28" i="34"/>
  <c r="S28" i="34"/>
  <c r="H23" i="36"/>
  <c r="J23" i="36"/>
  <c r="AB9" i="39"/>
  <c r="U9" i="39"/>
  <c r="J39" i="40"/>
  <c r="H39" i="40"/>
  <c r="AZ328" i="3"/>
  <c r="AZ531" i="3"/>
  <c r="AZ583" i="3"/>
  <c r="AZ568" i="3"/>
  <c r="AZ576" i="3"/>
  <c r="U34" i="21"/>
  <c r="S38" i="39"/>
  <c r="S34" i="40"/>
  <c r="BL585" i="3"/>
  <c r="AZ585" i="3" s="1"/>
  <c r="B75" i="43"/>
  <c r="AC31" i="35"/>
  <c r="AZ419" i="3"/>
  <c r="AZ443" i="3"/>
  <c r="AZ487" i="3"/>
  <c r="AZ217" i="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L445" i="3"/>
  <c r="BL446" i="3"/>
  <c r="BA449" i="3"/>
  <c r="BL457" i="3"/>
  <c r="BA469" i="3"/>
  <c r="AZ469" i="3" s="1"/>
  <c r="BA471" i="3"/>
  <c r="AZ471" i="3" s="1"/>
  <c r="BL550"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G438" i="3"/>
  <c r="BL438" i="3"/>
  <c r="BL439" i="3"/>
  <c r="BA441" i="3"/>
  <c r="BA445" i="3"/>
  <c r="BA447" i="3"/>
  <c r="AZ447" i="3" s="1"/>
  <c r="BA450" i="3"/>
  <c r="G452" i="3"/>
  <c r="G453" i="3"/>
  <c r="BL453" i="3"/>
  <c r="BL454" i="3"/>
  <c r="BL462" i="3"/>
  <c r="AZ462" i="3" s="1"/>
  <c r="BL463" i="3"/>
  <c r="G467" i="3"/>
  <c r="BL472" i="3"/>
  <c r="G474" i="3"/>
  <c r="BL475" i="3"/>
  <c r="G478" i="3"/>
  <c r="BA480" i="3"/>
  <c r="BA485" i="3"/>
  <c r="BA489" i="3"/>
  <c r="G492" i="3"/>
  <c r="BA331" i="3"/>
  <c r="AZ331" i="3" s="1"/>
  <c r="BA335" i="3"/>
  <c r="AZ335" i="3" s="1"/>
  <c r="BA339" i="3"/>
  <c r="AZ339" i="3" s="1"/>
  <c r="G343" i="3"/>
  <c r="G347" i="3"/>
  <c r="BA348" i="3"/>
  <c r="BA350" i="3"/>
  <c r="AZ350" i="3" s="1"/>
  <c r="BA354" i="3"/>
  <c r="BA358" i="3"/>
  <c r="AZ358" i="3" s="1"/>
  <c r="U34" i="40"/>
  <c r="G585" i="3"/>
  <c r="BL587" i="3"/>
  <c r="AZ587" i="3" s="1"/>
  <c r="BL586" i="3"/>
  <c r="AZ586" i="3" s="1"/>
  <c r="BL16" i="3"/>
  <c r="AZ16" i="3" s="1"/>
  <c r="BA401" i="3"/>
  <c r="BA403" i="3"/>
  <c r="AZ403" i="3" s="1"/>
  <c r="BA404" i="3"/>
  <c r="AZ404" i="3" s="1"/>
  <c r="BA405" i="3"/>
  <c r="AZ405" i="3" s="1"/>
  <c r="BL410" i="3"/>
  <c r="G412" i="3"/>
  <c r="G418" i="3"/>
  <c r="BA422" i="3"/>
  <c r="AZ422" i="3" s="1"/>
  <c r="G429" i="3"/>
  <c r="BL431" i="3"/>
  <c r="G433" i="3"/>
  <c r="BL434" i="3"/>
  <c r="G436" i="3"/>
  <c r="BA439" i="3"/>
  <c r="BA440" i="3"/>
  <c r="AZ440" i="3" s="1"/>
  <c r="BA442" i="3"/>
  <c r="BA451" i="3"/>
  <c r="AZ451" i="3" s="1"/>
  <c r="AZ453" i="3"/>
  <c r="BL458" i="3"/>
  <c r="AZ458" i="3" s="1"/>
  <c r="BL459" i="3"/>
  <c r="G461" i="3"/>
  <c r="BA467" i="3"/>
  <c r="BA468" i="3"/>
  <c r="G477" i="3"/>
  <c r="BA478" i="3"/>
  <c r="BA488" i="3"/>
  <c r="AZ488" i="3" s="1"/>
  <c r="BL490" i="3"/>
  <c r="BL324" i="3"/>
  <c r="AZ324" i="3" s="1"/>
  <c r="BL328" i="3"/>
  <c r="G329" i="3"/>
  <c r="BL359" i="3"/>
  <c r="AZ359" i="3" s="1"/>
  <c r="BL395" i="3"/>
  <c r="BL222" i="3"/>
  <c r="BL365" i="3"/>
  <c r="AZ365" i="3" s="1"/>
  <c r="BA368" i="3"/>
  <c r="AZ368" i="3" s="1"/>
  <c r="BL368" i="3"/>
  <c r="BA374" i="3"/>
  <c r="AZ374" i="3" s="1"/>
  <c r="BA388" i="3"/>
  <c r="AZ388" i="3" s="1"/>
  <c r="BA396" i="3"/>
  <c r="BA209" i="3"/>
  <c r="BL217" i="3"/>
  <c r="BA219" i="3"/>
  <c r="AZ219" i="3" s="1"/>
  <c r="BA221" i="3"/>
  <c r="BA223" i="3"/>
  <c r="BL228" i="3"/>
  <c r="AZ228" i="3" s="1"/>
  <c r="BA230" i="3"/>
  <c r="AZ230" i="3" s="1"/>
  <c r="BA238" i="3"/>
  <c r="BL240" i="3"/>
  <c r="BA435" i="3"/>
  <c r="AZ435" i="3" s="1"/>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AZ461" i="3" s="1"/>
  <c r="BL464" i="3"/>
  <c r="BL466" i="3"/>
  <c r="AZ466" i="3" s="1"/>
  <c r="G468" i="3"/>
  <c r="G469" i="3"/>
  <c r="BL476" i="3"/>
  <c r="AZ476" i="3" s="1"/>
  <c r="BL477" i="3"/>
  <c r="BL478" i="3"/>
  <c r="G479" i="3"/>
  <c r="G480" i="3"/>
  <c r="BL480" i="3"/>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G234" i="3"/>
  <c r="BA236" i="3"/>
  <c r="BA243" i="3"/>
  <c r="BL245" i="3"/>
  <c r="AZ245" i="3" s="1"/>
  <c r="BA252" i="3"/>
  <c r="AZ252" i="3" s="1"/>
  <c r="BA257" i="3"/>
  <c r="AZ257" i="3" s="1"/>
  <c r="BA258" i="3"/>
  <c r="BA262" i="3"/>
  <c r="AZ262" i="3" s="1"/>
  <c r="BA265" i="3"/>
  <c r="AZ265" i="3" s="1"/>
  <c r="BL266" i="3"/>
  <c r="BL26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G232" i="3"/>
  <c r="BL234" i="3"/>
  <c r="BA237" i="3"/>
  <c r="AZ237" i="3" s="1"/>
  <c r="BA240" i="3"/>
  <c r="AZ240" i="3" s="1"/>
  <c r="BA241" i="3"/>
  <c r="AZ241" i="3" s="1"/>
  <c r="BL241" i="3"/>
  <c r="BA255" i="3"/>
  <c r="BA256" i="3"/>
  <c r="BL256" i="3"/>
  <c r="BL259" i="3"/>
  <c r="BL264" i="3"/>
  <c r="BL267" i="3"/>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BA279" i="3"/>
  <c r="BA281" i="3"/>
  <c r="G286" i="3"/>
  <c r="BL286" i="3"/>
  <c r="AZ286" i="3" s="1"/>
  <c r="G289" i="3"/>
  <c r="G290" i="3"/>
  <c r="G291" i="3"/>
  <c r="BA296" i="3"/>
  <c r="BA116" i="3"/>
  <c r="AZ116" i="3" s="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L191" i="3"/>
  <c r="AZ191" i="3" s="1"/>
  <c r="BA201" i="3"/>
  <c r="AZ201" i="3" s="1"/>
  <c r="G204" i="3"/>
  <c r="BL23" i="3"/>
  <c r="G24" i="3"/>
  <c r="BA273" i="3"/>
  <c r="AZ273" i="3" s="1"/>
  <c r="BA278" i="3"/>
  <c r="AZ278"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BL285" i="3"/>
  <c r="BL287" i="3"/>
  <c r="BA290" i="3"/>
  <c r="BL299"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A18" i="3"/>
  <c r="BL21" i="3"/>
  <c r="G23" i="3"/>
  <c r="BA282" i="3"/>
  <c r="AZ282" i="3" s="1"/>
  <c r="BL282" i="3"/>
  <c r="BA284" i="3"/>
  <c r="AZ284" i="3" s="1"/>
  <c r="BL290" i="3"/>
  <c r="BL291" i="3"/>
  <c r="AZ291" i="3" s="1"/>
  <c r="BL293" i="3"/>
  <c r="BL294" i="3"/>
  <c r="AZ294" i="3" s="1"/>
  <c r="BA297" i="3"/>
  <c r="AZ297" i="3" s="1"/>
  <c r="BL297" i="3"/>
  <c r="BL300" i="3"/>
  <c r="BA302" i="3"/>
  <c r="AZ302" i="3" s="1"/>
  <c r="BA117" i="3"/>
  <c r="BA130" i="3"/>
  <c r="AZ130" i="3" s="1"/>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A190" i="3"/>
  <c r="BA197" i="3"/>
  <c r="BL29" i="3"/>
  <c r="G33" i="3"/>
  <c r="G34" i="3"/>
  <c r="BA193" i="3"/>
  <c r="BA196" i="3"/>
  <c r="AZ196" i="3" s="1"/>
  <c r="G203" i="3"/>
  <c r="BA205" i="3"/>
  <c r="AZ205" i="3" s="1"/>
  <c r="BL20" i="3"/>
  <c r="BA21" i="3"/>
  <c r="AZ21" i="3" s="1"/>
  <c r="BA25" i="3"/>
  <c r="BA26" i="3"/>
  <c r="BL28" i="3"/>
  <c r="BA29" i="3"/>
  <c r="AZ29" i="3" s="1"/>
  <c r="BA36" i="3"/>
  <c r="BL38" i="3"/>
  <c r="BA39" i="3"/>
  <c r="BL47" i="3"/>
  <c r="AZ47" i="3" s="1"/>
  <c r="G50" i="3"/>
  <c r="G52" i="3"/>
  <c r="BA52" i="3"/>
  <c r="AZ52" i="3" s="1"/>
  <c r="BA53" i="3"/>
  <c r="BA54" i="3"/>
  <c r="BL57" i="3"/>
  <c r="G59" i="3"/>
  <c r="G62" i="3"/>
  <c r="BL62" i="3"/>
  <c r="AZ62" i="3" s="1"/>
  <c r="BL63" i="3"/>
  <c r="G65" i="3"/>
  <c r="BL65" i="3"/>
  <c r="AZ65" i="3" s="1"/>
  <c r="BL66" i="3"/>
  <c r="BL67" i="3"/>
  <c r="AZ67" i="3" s="1"/>
  <c r="BL70" i="3"/>
  <c r="AZ70" i="3" s="1"/>
  <c r="BL71" i="3"/>
  <c r="AZ71" i="3" s="1"/>
  <c r="BL72" i="3"/>
  <c r="AZ72" i="3" s="1"/>
  <c r="BL75" i="3"/>
  <c r="BL91" i="3"/>
  <c r="BA105" i="3"/>
  <c r="AZ105" i="3" s="1"/>
  <c r="BA111" i="3"/>
  <c r="AA21" i="33"/>
  <c r="S21" i="33"/>
  <c r="AA21" i="37"/>
  <c r="S21" i="37"/>
  <c r="B88" i="43"/>
  <c r="P27" i="6"/>
  <c r="Y26" i="71"/>
  <c r="Z26" i="71" s="1"/>
  <c r="X36" i="71"/>
  <c r="X31" i="71"/>
  <c r="E35" i="71"/>
  <c r="E36" i="71" s="1"/>
  <c r="U36" i="71" s="1"/>
  <c r="Y29" i="71"/>
  <c r="Z29" i="71" s="1"/>
  <c r="Y30" i="71"/>
  <c r="Z30" i="71" s="1"/>
  <c r="X25" i="71"/>
  <c r="B34" i="71"/>
  <c r="B35" i="71" s="1"/>
  <c r="B36" i="71" s="1"/>
  <c r="S36" i="71" s="1"/>
  <c r="X26" i="71"/>
  <c r="AB34" i="71"/>
  <c r="Y35" i="71"/>
  <c r="Z35" i="71" s="1"/>
  <c r="AB31" i="71"/>
  <c r="AB36" i="71"/>
  <c r="AA36" i="71"/>
  <c r="AA37" i="71"/>
  <c r="E38" i="71"/>
  <c r="E39" i="71" s="1"/>
  <c r="E40" i="71" s="1"/>
  <c r="U40" i="71" s="1"/>
  <c r="C51" i="71"/>
  <c r="C60" i="71"/>
  <c r="D59" i="71"/>
  <c r="B63" i="71"/>
  <c r="B64" i="71" s="1"/>
  <c r="S64" i="71" s="1"/>
  <c r="B67" i="71"/>
  <c r="N68" i="71"/>
  <c r="AB26" i="71"/>
  <c r="AB27" i="71"/>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BL48" i="3"/>
  <c r="BL54" i="3"/>
  <c r="BL55" i="3"/>
  <c r="AZ55" i="3" s="1"/>
  <c r="G57" i="3"/>
  <c r="BA59" i="3"/>
  <c r="AZ59" i="3" s="1"/>
  <c r="G61" i="3"/>
  <c r="BL61" i="3"/>
  <c r="AZ61" i="3" s="1"/>
  <c r="BA64" i="3"/>
  <c r="AZ64" i="3" s="1"/>
  <c r="G67" i="3"/>
  <c r="BL68" i="3"/>
  <c r="BA69" i="3"/>
  <c r="AZ69" i="3" s="1"/>
  <c r="G72" i="3"/>
  <c r="BL73" i="3"/>
  <c r="BA78" i="3"/>
  <c r="BA80" i="3"/>
  <c r="G84" i="3"/>
  <c r="BL84" i="3"/>
  <c r="AZ84" i="3" s="1"/>
  <c r="BA89" i="3"/>
  <c r="BL92" i="3"/>
  <c r="BL94" i="3"/>
  <c r="AZ94" i="3" s="1"/>
  <c r="BA100" i="3"/>
  <c r="AZ100" i="3" s="1"/>
  <c r="G102" i="3"/>
  <c r="G108" i="3"/>
  <c r="AA30" i="71"/>
  <c r="C28" i="71"/>
  <c r="Y28" i="71"/>
  <c r="Z28" i="71" s="1"/>
  <c r="Y25" i="71"/>
  <c r="Z25" i="71" s="1"/>
  <c r="C44" i="71"/>
  <c r="D43" i="71"/>
  <c r="T72" i="71"/>
  <c r="C71" i="71"/>
  <c r="T80" i="71"/>
  <c r="C79" i="71"/>
  <c r="AZ49" i="3"/>
  <c r="BA73" i="3"/>
  <c r="F40" i="68"/>
  <c r="C21" i="68"/>
  <c r="AC29" i="39"/>
  <c r="W29" i="39"/>
  <c r="B27" i="71"/>
  <c r="B26" i="71" s="1"/>
  <c r="S28" i="71"/>
  <c r="U76" i="71"/>
  <c r="E75" i="71"/>
  <c r="E74" i="71" s="1"/>
  <c r="U80" i="71"/>
  <c r="E79" i="71"/>
  <c r="E78" i="71" s="1"/>
  <c r="BA37" i="3"/>
  <c r="BL39" i="3"/>
  <c r="G43" i="3"/>
  <c r="G44" i="3"/>
  <c r="BA45" i="3"/>
  <c r="AZ45" i="3" s="1"/>
  <c r="BA46" i="3"/>
  <c r="BL49" i="3"/>
  <c r="BL50" i="3"/>
  <c r="AZ50" i="3" s="1"/>
  <c r="BL51" i="3"/>
  <c r="AZ51" i="3" s="1"/>
  <c r="BL53" i="3"/>
  <c r="BA56" i="3"/>
  <c r="BA57" i="3"/>
  <c r="AZ57" i="3" s="1"/>
  <c r="BL58" i="3"/>
  <c r="AZ58" i="3" s="1"/>
  <c r="G60" i="3"/>
  <c r="BA60" i="3"/>
  <c r="BA63" i="3"/>
  <c r="AZ63" i="3" s="1"/>
  <c r="BA66" i="3"/>
  <c r="AZ66" i="3" s="1"/>
  <c r="BL77" i="3"/>
  <c r="AZ77" i="3" s="1"/>
  <c r="BL81" i="3"/>
  <c r="BA82" i="3"/>
  <c r="AZ82" i="3" s="1"/>
  <c r="BL83" i="3"/>
  <c r="G88" i="3"/>
  <c r="BA90" i="3"/>
  <c r="BA102" i="3"/>
  <c r="AZ102" i="3" s="1"/>
  <c r="C40" i="68"/>
  <c r="AB29" i="39"/>
  <c r="U29" i="39"/>
  <c r="AA25" i="40"/>
  <c r="S25" i="40"/>
  <c r="D56" i="71"/>
  <c r="T56" i="71"/>
  <c r="D67" i="71"/>
  <c r="C66" i="71"/>
  <c r="O67" i="71"/>
  <c r="E28" i="71"/>
  <c r="AA27" i="71"/>
  <c r="AA28" i="71"/>
  <c r="D38" i="71"/>
  <c r="C39" i="71"/>
  <c r="F34" i="71"/>
  <c r="F35" i="71" s="1"/>
  <c r="F36" i="71" s="1"/>
  <c r="V36" i="71" s="1"/>
  <c r="AB32" i="71"/>
  <c r="X35" i="71"/>
  <c r="X38" i="71"/>
  <c r="V76" i="71"/>
  <c r="F75" i="71"/>
  <c r="F74" i="71" s="1"/>
  <c r="D84" i="71"/>
  <c r="C83" i="71"/>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B77" i="43"/>
  <c r="AA18" i="35"/>
  <c r="AB25" i="71"/>
  <c r="C35" i="71"/>
  <c r="X33" i="71"/>
  <c r="AB37" i="71"/>
  <c r="G99" i="3"/>
  <c r="BA103" i="3"/>
  <c r="AZ103" i="3" s="1"/>
  <c r="BA104" i="3"/>
  <c r="BA106" i="3"/>
  <c r="BL108" i="3"/>
  <c r="G110" i="3"/>
  <c r="BL111" i="3"/>
  <c r="C5" i="68"/>
  <c r="X28" i="71"/>
  <c r="X32" i="71"/>
  <c r="F40" i="71"/>
  <c r="V40" i="71" s="1"/>
  <c r="AB38" i="71"/>
  <c r="E23" i="71"/>
  <c r="E22" i="71" s="1"/>
  <c r="E21" i="71" s="1"/>
  <c r="E2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F50" i="15"/>
  <c r="F71" i="15"/>
  <c r="F66" i="67"/>
  <c r="L59" i="15"/>
  <c r="N59" i="15"/>
  <c r="M59" i="15"/>
  <c r="Q71" i="67"/>
  <c r="F71" i="67"/>
  <c r="C27" i="15"/>
  <c r="N59" i="67"/>
  <c r="L59" i="67"/>
  <c r="L58" i="67"/>
  <c r="M59" i="67"/>
  <c r="B13" i="70"/>
  <c r="M7" i="67"/>
  <c r="F50" i="67"/>
  <c r="F68" i="67"/>
  <c r="C36" i="68"/>
  <c r="D9" i="68"/>
  <c r="F13" i="82"/>
  <c r="C76" i="82"/>
  <c r="M6" i="15"/>
  <c r="C36" i="69"/>
  <c r="F42" i="82"/>
  <c r="C36" i="81"/>
  <c r="D5" i="73"/>
  <c r="F36" i="82"/>
  <c r="M23" i="82"/>
  <c r="D4" i="73"/>
  <c r="F36" i="67"/>
  <c r="M24" i="82"/>
  <c r="M9" i="82"/>
  <c r="M28" i="15"/>
  <c r="M9" i="15"/>
  <c r="D9" i="69"/>
  <c r="F8" i="82"/>
  <c r="F27" i="81"/>
  <c r="F9" i="15"/>
  <c r="L48" i="82"/>
  <c r="F37" i="82"/>
  <c r="F8" i="15"/>
  <c r="L48" i="15"/>
  <c r="F43" i="82"/>
  <c r="F38" i="82"/>
  <c r="C16" i="67"/>
  <c r="C16" i="15"/>
  <c r="F9" i="82"/>
  <c r="F40" i="82"/>
  <c r="F36" i="15"/>
  <c r="F16" i="82"/>
  <c r="M8" i="82"/>
  <c r="F38" i="15"/>
  <c r="M26" i="67"/>
  <c r="J15" i="82"/>
  <c r="M29" i="82"/>
  <c r="M26" i="15"/>
  <c r="F26" i="67"/>
  <c r="M26" i="82"/>
  <c r="C34" i="81"/>
  <c r="F37" i="15"/>
  <c r="F27" i="69"/>
  <c r="F26" i="82"/>
  <c r="D9" i="81"/>
  <c r="M9" i="67"/>
  <c r="M27" i="82"/>
  <c r="M28" i="82"/>
  <c r="D7" i="73"/>
  <c r="D3" i="73"/>
  <c r="L47" i="82"/>
  <c r="D10" i="81"/>
  <c r="M29" i="15"/>
  <c r="F6" i="82"/>
  <c r="F7" i="82"/>
  <c r="M23" i="15"/>
  <c r="F40" i="15"/>
  <c r="M22" i="82"/>
  <c r="M6" i="82"/>
  <c r="J15" i="15"/>
  <c r="M8" i="15"/>
  <c r="U42" i="21" l="1"/>
  <c r="AC42" i="21"/>
  <c r="W42" i="21"/>
  <c r="G26" i="43"/>
  <c r="N94" i="46"/>
  <c r="J26" i="43"/>
  <c r="N370" i="46"/>
  <c r="F26" i="43"/>
  <c r="E26" i="43"/>
  <c r="D26" i="43" s="1"/>
  <c r="C25" i="43" s="1"/>
  <c r="C29" i="81"/>
  <c r="D27" i="81" s="1"/>
  <c r="C47" i="81"/>
  <c r="D45" i="81" s="1"/>
  <c r="F45" i="81"/>
  <c r="C9" i="81"/>
  <c r="D19" i="81"/>
  <c r="D37" i="81" s="1"/>
  <c r="C37" i="81" s="1"/>
  <c r="C38" i="81"/>
  <c r="C35" i="81"/>
  <c r="C10" i="81"/>
  <c r="Q71" i="82"/>
  <c r="F68" i="82"/>
  <c r="F66" i="82"/>
  <c r="F65" i="82"/>
  <c r="F50" i="82"/>
  <c r="M7" i="82"/>
  <c r="M17" i="82" s="1"/>
  <c r="F51" i="82"/>
  <c r="C27" i="82"/>
  <c r="L59" i="82"/>
  <c r="L58" i="82"/>
  <c r="M59" i="82"/>
  <c r="N59" i="82"/>
  <c r="F71" i="82"/>
  <c r="F64" i="82"/>
  <c r="J60" i="82"/>
  <c r="Q48" i="82" s="1"/>
  <c r="J57" i="82"/>
  <c r="J55" i="82" s="1"/>
  <c r="J58" i="82" s="1"/>
  <c r="Q50" i="82" s="1"/>
  <c r="L56" i="82"/>
  <c r="J59" i="82"/>
  <c r="I54" i="82"/>
  <c r="L60" i="82"/>
  <c r="J53" i="82"/>
  <c r="C6" i="82"/>
  <c r="F31" i="82"/>
  <c r="M11" i="82"/>
  <c r="J10" i="82" s="1"/>
  <c r="F11" i="82"/>
  <c r="L19" i="6"/>
  <c r="L27" i="6" s="1"/>
  <c r="K16" i="1"/>
  <c r="F30" i="6"/>
  <c r="P6" i="1"/>
  <c r="C13" i="12" s="1"/>
  <c r="J7" i="36"/>
  <c r="W7" i="36" s="1"/>
  <c r="F65" i="15"/>
  <c r="F64" i="67"/>
  <c r="F68" i="15"/>
  <c r="F31" i="15"/>
  <c r="C6" i="15"/>
  <c r="F51" i="15"/>
  <c r="F59" i="15" s="1"/>
  <c r="I54" i="15"/>
  <c r="L58" i="15"/>
  <c r="Q73" i="15" s="1"/>
  <c r="J53" i="15"/>
  <c r="L56" i="15" s="1"/>
  <c r="J57" i="15"/>
  <c r="J55" i="15" s="1"/>
  <c r="J58" i="15" s="1"/>
  <c r="Q50" i="15" s="1"/>
  <c r="F64" i="15"/>
  <c r="F66" i="15"/>
  <c r="C27" i="67"/>
  <c r="G5" i="3"/>
  <c r="B3" i="3" s="1"/>
  <c r="C78" i="71"/>
  <c r="D78" i="71" s="1"/>
  <c r="D79" i="71"/>
  <c r="C27" i="71"/>
  <c r="D28" i="71"/>
  <c r="U28" i="71" s="1"/>
  <c r="T28" i="71"/>
  <c r="N67" i="71"/>
  <c r="B66" i="71"/>
  <c r="C52" i="71"/>
  <c r="D51" i="71"/>
  <c r="AZ53" i="3"/>
  <c r="AC39" i="40"/>
  <c r="W39" i="40"/>
  <c r="AB23" i="36"/>
  <c r="U23" i="36"/>
  <c r="AB33" i="36"/>
  <c r="U33" i="36"/>
  <c r="W27" i="21"/>
  <c r="AC27" i="21"/>
  <c r="S30" i="21"/>
  <c r="AA30" i="21"/>
  <c r="J6" i="67"/>
  <c r="J18" i="67" s="1"/>
  <c r="G16" i="1"/>
  <c r="F10" i="39" s="1"/>
  <c r="AA10" i="39" s="1"/>
  <c r="AZ108" i="3"/>
  <c r="C82" i="71"/>
  <c r="D82" i="71" s="1"/>
  <c r="D83" i="71"/>
  <c r="C40" i="71"/>
  <c r="D39" i="71"/>
  <c r="T44" i="71"/>
  <c r="D44" i="71"/>
  <c r="AZ39" i="3"/>
  <c r="AZ197" i="3"/>
  <c r="AZ118" i="3"/>
  <c r="AZ249" i="3"/>
  <c r="AZ126" i="3"/>
  <c r="AZ263" i="3"/>
  <c r="AZ256" i="3"/>
  <c r="AZ229" i="3"/>
  <c r="AZ218" i="3"/>
  <c r="AZ454" i="3"/>
  <c r="AZ401" i="3"/>
  <c r="U12" i="34"/>
  <c r="AB12" i="34"/>
  <c r="J6" i="15"/>
  <c r="J18" i="15" s="1"/>
  <c r="D71" i="71"/>
  <c r="C70" i="71"/>
  <c r="D70" i="71" s="1"/>
  <c r="AZ38" i="3"/>
  <c r="AZ190" i="3"/>
  <c r="AZ243" i="3"/>
  <c r="AZ223" i="3"/>
  <c r="AZ441" i="3"/>
  <c r="AZ550" i="3"/>
  <c r="W12" i="34"/>
  <c r="AC12" i="34"/>
  <c r="C36" i="71"/>
  <c r="D35" i="71"/>
  <c r="O65" i="71"/>
  <c r="O66" i="71"/>
  <c r="D66" i="71"/>
  <c r="T60" i="71"/>
  <c r="D60" i="71"/>
  <c r="AZ111" i="3"/>
  <c r="AZ25" i="3"/>
  <c r="AZ238" i="3"/>
  <c r="AZ480" i="3"/>
  <c r="U39" i="40"/>
  <c r="AB39" i="40"/>
  <c r="AC23" i="36"/>
  <c r="W23" i="36"/>
  <c r="AC9" i="34"/>
  <c r="W9" i="34"/>
  <c r="AC30" i="21"/>
  <c r="W30" i="21"/>
  <c r="J7" i="37"/>
  <c r="AC7" i="37" s="1"/>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B7" i="36"/>
  <c r="T36" i="36" s="1"/>
  <c r="G36" i="36" s="1"/>
  <c r="F7" i="33"/>
  <c r="E58" i="21"/>
  <c r="AC7" i="36"/>
  <c r="V36" i="36" s="1"/>
  <c r="I36" i="36" s="1"/>
  <c r="F7" i="37"/>
  <c r="M17" i="67"/>
  <c r="M17" i="15"/>
  <c r="P28" i="43"/>
  <c r="B66" i="40" s="1"/>
  <c r="P25" i="43"/>
  <c r="C49" i="67"/>
  <c r="P29" i="43"/>
  <c r="P27" i="43"/>
  <c r="B70" i="39" s="1"/>
  <c r="C32" i="67"/>
  <c r="Q60" i="67"/>
  <c r="Q73" i="67"/>
  <c r="M11" i="67"/>
  <c r="J10" i="67" s="1"/>
  <c r="F11" i="15"/>
  <c r="M11" i="15"/>
  <c r="J10" i="15" s="1"/>
  <c r="F11" i="67"/>
  <c r="C32" i="15"/>
  <c r="F1" i="67"/>
  <c r="Q52" i="67"/>
  <c r="Q61" i="67"/>
  <c r="Q74" i="67"/>
  <c r="Q74" i="15"/>
  <c r="Q61" i="15"/>
  <c r="AE11" i="1"/>
  <c r="AE9" i="1"/>
  <c r="F27" i="68"/>
  <c r="AE8" i="1"/>
  <c r="AE12" i="1"/>
  <c r="AE10" i="1"/>
  <c r="G1" i="73"/>
  <c r="C16" i="82"/>
  <c r="C17" i="82"/>
  <c r="C14" i="82"/>
  <c r="AE6" i="1"/>
  <c r="F41" i="67" s="1"/>
  <c r="C18" i="82" l="1"/>
  <c r="C15" i="82"/>
  <c r="C28" i="43"/>
  <c r="C33" i="81"/>
  <c r="C39" i="81" s="1"/>
  <c r="C46" i="81" s="1"/>
  <c r="C45" i="81" s="1"/>
  <c r="L46" i="82"/>
  <c r="C31" i="82"/>
  <c r="C49" i="82"/>
  <c r="J6" i="82"/>
  <c r="J5" i="82" s="1"/>
  <c r="J24" i="82" s="1"/>
  <c r="Q73" i="82"/>
  <c r="Q60" i="82"/>
  <c r="C8" i="81"/>
  <c r="F1" i="82"/>
  <c r="Q52" i="82"/>
  <c r="Q74" i="82"/>
  <c r="Q61" i="82"/>
  <c r="F59" i="82"/>
  <c r="Q66" i="82"/>
  <c r="Q57" i="82"/>
  <c r="C53" i="82"/>
  <c r="C10" i="82"/>
  <c r="C5" i="82" s="1"/>
  <c r="S10" i="39"/>
  <c r="H10" i="40"/>
  <c r="AB10" i="40" s="1"/>
  <c r="Q52" i="15"/>
  <c r="F1" i="15"/>
  <c r="H10" i="39"/>
  <c r="U10" i="39" s="1"/>
  <c r="J10" i="40"/>
  <c r="AC10" i="40" s="1"/>
  <c r="E510" i="3"/>
  <c r="E575" i="3"/>
  <c r="E449" i="3"/>
  <c r="E417" i="3"/>
  <c r="E241" i="3"/>
  <c r="E409" i="3"/>
  <c r="E267" i="3"/>
  <c r="E67" i="3"/>
  <c r="E63" i="3"/>
  <c r="E513"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E502" i="3"/>
  <c r="AP6" i="3"/>
  <c r="E37" i="3"/>
  <c r="E349" i="3"/>
  <c r="E467" i="3"/>
  <c r="E371" i="3"/>
  <c r="E539" i="3"/>
  <c r="E442" i="3"/>
  <c r="E554" i="3"/>
  <c r="E95" i="3"/>
  <c r="E389" i="3"/>
  <c r="E64" i="3"/>
  <c r="E310" i="3"/>
  <c r="E233" i="3"/>
  <c r="E283"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491" i="3"/>
  <c r="E84" i="3"/>
  <c r="E309"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424" i="3"/>
  <c r="E256"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258" i="3"/>
  <c r="E184"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86" i="3"/>
  <c r="E59" i="3"/>
  <c r="E68"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580" i="3"/>
  <c r="E252" i="3"/>
  <c r="E448" i="3"/>
  <c r="E581" i="3"/>
  <c r="E121" i="3"/>
  <c r="E334" i="3"/>
  <c r="E366" i="3"/>
  <c r="E239" i="3"/>
  <c r="E229" i="3"/>
  <c r="E551" i="3"/>
  <c r="E294" i="3"/>
  <c r="E415" i="3"/>
  <c r="E117" i="3"/>
  <c r="E382" i="3"/>
  <c r="E336" i="3"/>
  <c r="E85" i="3"/>
  <c r="E45" i="3"/>
  <c r="E458" i="3"/>
  <c r="E571" i="3"/>
  <c r="E242" i="3"/>
  <c r="E119" i="3"/>
  <c r="X6" i="3"/>
  <c r="E423" i="3"/>
  <c r="E161" i="3"/>
  <c r="E563" i="3"/>
  <c r="E215" i="3"/>
  <c r="M6" i="3"/>
  <c r="E201" i="3"/>
  <c r="E509" i="3"/>
  <c r="E526" i="3"/>
  <c r="E377" i="3"/>
  <c r="E70" i="3"/>
  <c r="E345" i="3"/>
  <c r="E204" i="3"/>
  <c r="E362" i="3"/>
  <c r="E106" i="3"/>
  <c r="E406" i="3"/>
  <c r="E277" i="3"/>
  <c r="E568" i="3"/>
  <c r="E586" i="3"/>
  <c r="E180" i="3"/>
  <c r="E261" i="3"/>
  <c r="AR6" i="3"/>
  <c r="E508" i="3"/>
  <c r="E331" i="3"/>
  <c r="E505" i="3"/>
  <c r="E269" i="3"/>
  <c r="E111" i="3"/>
  <c r="E314" i="3"/>
  <c r="E395" i="3"/>
  <c r="E516" i="3"/>
  <c r="E444" i="3"/>
  <c r="E73" i="3"/>
  <c r="E237" i="3"/>
  <c r="E367" i="3"/>
  <c r="E461" i="3"/>
  <c r="E436" i="3"/>
  <c r="E566" i="3"/>
  <c r="E79" i="3"/>
  <c r="E564" i="3"/>
  <c r="E470" i="3"/>
  <c r="E174" i="3"/>
  <c r="E430" i="3"/>
  <c r="E483" i="3"/>
  <c r="E100" i="3"/>
  <c r="AI6" i="3"/>
  <c r="E172" i="3"/>
  <c r="AB6" i="3"/>
  <c r="E311" i="3"/>
  <c r="E268" i="3"/>
  <c r="E557" i="3"/>
  <c r="E74" i="3"/>
  <c r="E587" i="3"/>
  <c r="E133" i="3"/>
  <c r="E181" i="3"/>
  <c r="E124" i="3"/>
  <c r="E91" i="3"/>
  <c r="E561" i="3"/>
  <c r="E388" i="3"/>
  <c r="E384" i="3"/>
  <c r="AS6" i="3"/>
  <c r="E271" i="3"/>
  <c r="E150" i="3"/>
  <c r="E193" i="3"/>
  <c r="E290" i="3"/>
  <c r="E151" i="3"/>
  <c r="E166" i="3"/>
  <c r="E32" i="3"/>
  <c r="E159" i="3"/>
  <c r="E291" i="3"/>
  <c r="E529" i="3"/>
  <c r="E542" i="3"/>
  <c r="E386" i="3"/>
  <c r="E325" i="3"/>
  <c r="E376" i="3"/>
  <c r="E356" i="3"/>
  <c r="AF6" i="3"/>
  <c r="E160" i="3"/>
  <c r="E378" i="3"/>
  <c r="E248" i="3"/>
  <c r="E131" i="3"/>
  <c r="E139" i="3"/>
  <c r="E369" i="3"/>
  <c r="E94" i="3"/>
  <c r="E219" i="3"/>
  <c r="E275" i="3"/>
  <c r="E148" i="3"/>
  <c r="E246" i="3"/>
  <c r="E263" i="3"/>
  <c r="E535" i="3"/>
  <c r="E278" i="3"/>
  <c r="E335" i="3"/>
  <c r="E570" i="3"/>
  <c r="E247" i="3"/>
  <c r="AJ6" i="3"/>
  <c r="E217" i="3"/>
  <c r="E273" i="3"/>
  <c r="E28" i="3"/>
  <c r="E485" i="3"/>
  <c r="E89" i="3"/>
  <c r="E315" i="3"/>
  <c r="E468" i="3"/>
  <c r="E472" i="3"/>
  <c r="E228" i="3"/>
  <c r="E347" i="3"/>
  <c r="E350" i="3"/>
  <c r="E503" i="3"/>
  <c r="E231" i="3"/>
  <c r="E143" i="3"/>
  <c r="E530" i="3"/>
  <c r="E162" i="3"/>
  <c r="E478" i="3"/>
  <c r="E31" i="3"/>
  <c r="E450" i="3"/>
  <c r="E583" i="3"/>
  <c r="E230" i="3"/>
  <c r="E553" i="3"/>
  <c r="P6" i="3"/>
  <c r="E437" i="3"/>
  <c r="S6" i="3"/>
  <c r="E196" i="3"/>
  <c r="E413" i="3"/>
  <c r="E354" i="3"/>
  <c r="E265" i="3"/>
  <c r="E372" i="3"/>
  <c r="E329" i="3"/>
  <c r="E512" i="3"/>
  <c r="E391" i="3"/>
  <c r="E142" i="3"/>
  <c r="E240" i="3"/>
  <c r="E132" i="3"/>
  <c r="E135" i="3"/>
  <c r="E189" i="3"/>
  <c r="E579" i="3"/>
  <c r="E572" i="3"/>
  <c r="E182" i="3"/>
  <c r="Z6" i="3"/>
  <c r="E146" i="3"/>
  <c r="E528" i="3"/>
  <c r="AY6" i="3"/>
  <c r="E3" i="6"/>
  <c r="E118" i="3"/>
  <c r="E487" i="3"/>
  <c r="E296" i="3"/>
  <c r="E200" i="3"/>
  <c r="E385" i="3"/>
  <c r="E191" i="3"/>
  <c r="E445" i="3"/>
  <c r="E69" i="3"/>
  <c r="E387" i="3"/>
  <c r="E514" i="3"/>
  <c r="E431" i="3"/>
  <c r="E322" i="3"/>
  <c r="E109" i="3"/>
  <c r="E211" i="3"/>
  <c r="E531" i="3"/>
  <c r="AO6" i="3"/>
  <c r="E368" i="3"/>
  <c r="E171" i="3"/>
  <c r="E577" i="3"/>
  <c r="E560" i="3"/>
  <c r="E545" i="3"/>
  <c r="E399" i="3"/>
  <c r="E301" i="3"/>
  <c r="E183" i="3"/>
  <c r="E380" i="3"/>
  <c r="E337" i="3"/>
  <c r="E175" i="3"/>
  <c r="E27" i="3"/>
  <c r="E515" i="3"/>
  <c r="E318" i="3"/>
  <c r="E527" i="3"/>
  <c r="E578" i="3"/>
  <c r="V6" i="3"/>
  <c r="E30" i="3"/>
  <c r="E164" i="3"/>
  <c r="E238" i="3"/>
  <c r="E426" i="3"/>
  <c r="E54" i="3"/>
  <c r="E179" i="3"/>
  <c r="E416" i="3"/>
  <c r="E289" i="3"/>
  <c r="E25" i="3"/>
  <c r="E35" i="3"/>
  <c r="E197" i="3"/>
  <c r="E81" i="3"/>
  <c r="C49" i="15"/>
  <c r="Q60" i="15"/>
  <c r="J5" i="15"/>
  <c r="J24" i="15" s="1"/>
  <c r="J5" i="67"/>
  <c r="J24" i="67" s="1"/>
  <c r="J10" i="39"/>
  <c r="W10" i="39" s="1"/>
  <c r="F10" i="40"/>
  <c r="S10" i="40" s="1"/>
  <c r="W7" i="37"/>
  <c r="E355" i="3"/>
  <c r="E33" i="3"/>
  <c r="E492" i="3"/>
  <c r="E249" i="3"/>
  <c r="E46" i="3"/>
  <c r="E484" i="3"/>
  <c r="E544" i="3"/>
  <c r="E292" i="3"/>
  <c r="E152" i="3"/>
  <c r="E479" i="3"/>
  <c r="E517" i="3"/>
  <c r="E255" i="3"/>
  <c r="E466" i="3"/>
  <c r="E499" i="3"/>
  <c r="E212" i="3"/>
  <c r="T36" i="71"/>
  <c r="D36" i="71"/>
  <c r="T40" i="71"/>
  <c r="D40" i="71"/>
  <c r="E536" i="3"/>
  <c r="T52" i="71"/>
  <c r="D52" i="71"/>
  <c r="E21" i="3"/>
  <c r="E264" i="3"/>
  <c r="E381" i="3"/>
  <c r="E144" i="3"/>
  <c r="E23" i="3"/>
  <c r="E300" i="3"/>
  <c r="E103" i="3"/>
  <c r="E425" i="3"/>
  <c r="E76" i="3"/>
  <c r="E363" i="3"/>
  <c r="E192" i="3"/>
  <c r="E56" i="3"/>
  <c r="E435" i="3"/>
  <c r="I3" i="6"/>
  <c r="E541" i="3"/>
  <c r="R6" i="3"/>
  <c r="E199" i="3"/>
  <c r="N65" i="71"/>
  <c r="N66" i="71"/>
  <c r="C26" i="71"/>
  <c r="D26" i="71" s="1"/>
  <c r="D27" i="71"/>
  <c r="B40" i="1"/>
  <c r="F24" i="82"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AB10" i="39"/>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41" i="15"/>
  <c r="M27" i="15"/>
  <c r="M27" i="67"/>
  <c r="AE7" i="1"/>
  <c r="C19" i="82" l="1"/>
  <c r="C20" i="82" s="1"/>
  <c r="C26" i="82" s="1"/>
  <c r="J18" i="82"/>
  <c r="J17" i="82"/>
  <c r="J19" i="82"/>
  <c r="C48" i="82"/>
  <c r="C66" i="82" s="1"/>
  <c r="C59" i="82"/>
  <c r="J26" i="82"/>
  <c r="C24" i="82"/>
  <c r="C38" i="82"/>
  <c r="E42" i="43"/>
  <c r="C6" i="81"/>
  <c r="C6" i="69"/>
  <c r="C7" i="69" s="1"/>
  <c r="L36" i="43"/>
  <c r="L37" i="43" s="1"/>
  <c r="O37" i="43" s="1"/>
  <c r="F22" i="81"/>
  <c r="AC10" i="39"/>
  <c r="H6" i="3"/>
  <c r="D116" i="43"/>
  <c r="AC6" i="3"/>
  <c r="AA10" i="40"/>
  <c r="C48" i="15"/>
  <c r="C66" i="15" s="1"/>
  <c r="F25" i="12"/>
  <c r="C26" i="12" s="1"/>
  <c r="D25" i="12" s="1"/>
  <c r="F22" i="68"/>
  <c r="C23" i="68" s="1"/>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F50" i="81"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F41" i="82"/>
  <c r="C14" i="67"/>
  <c r="D10" i="69"/>
  <c r="C17" i="67"/>
  <c r="C17" i="15"/>
  <c r="C34" i="69"/>
  <c r="C23" i="82" l="1"/>
  <c r="F69" i="82"/>
  <c r="J29" i="82"/>
  <c r="H22" i="6"/>
  <c r="C29" i="82"/>
  <c r="C36" i="82" s="1"/>
  <c r="Q36" i="43"/>
  <c r="Q37" i="43"/>
  <c r="M37" i="43"/>
  <c r="P36" i="43"/>
  <c r="N37" i="43"/>
  <c r="P37" i="43"/>
  <c r="M36" i="43"/>
  <c r="N36" i="43"/>
  <c r="O36" i="43"/>
  <c r="F41" i="81"/>
  <c r="C24" i="81"/>
  <c r="C26" i="81"/>
  <c r="D22" i="81" s="1"/>
  <c r="C44" i="81"/>
  <c r="D41" i="81" s="1"/>
  <c r="C42" i="81"/>
  <c r="C43" i="81"/>
  <c r="C7" i="81"/>
  <c r="C5" i="81" s="1"/>
  <c r="H25" i="6"/>
  <c r="E6" i="3"/>
  <c r="C44" i="11"/>
  <c r="D41" i="11" s="1"/>
  <c r="C44" i="68"/>
  <c r="D41" i="68" s="1"/>
  <c r="C26" i="68"/>
  <c r="D22" i="68" s="1"/>
  <c r="F41" i="68"/>
  <c r="E53" i="34"/>
  <c r="F53" i="34"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E2" i="70" l="1"/>
  <c r="Q49" i="82"/>
  <c r="C57" i="82"/>
  <c r="C64" i="82" s="1"/>
  <c r="C13" i="82"/>
  <c r="C56" i="82" s="1"/>
  <c r="C65" i="82" s="1"/>
  <c r="J14" i="82"/>
  <c r="J22" i="82" s="1"/>
  <c r="C23" i="81"/>
  <c r="C20" i="81"/>
  <c r="C25" i="81" s="1"/>
  <c r="C41" i="81"/>
  <c r="C49" i="81" s="1"/>
  <c r="C51" i="81"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Q70" i="82" l="1"/>
  <c r="C75" i="82"/>
  <c r="C37" i="82"/>
  <c r="C30" i="82" s="1"/>
  <c r="C39" i="82" s="1"/>
  <c r="C40" i="82" s="1"/>
  <c r="C58" i="82"/>
  <c r="C67" i="82" s="1"/>
  <c r="C68" i="82" s="1"/>
  <c r="C71" i="82" s="1"/>
  <c r="J13" i="82"/>
  <c r="J23" i="82" s="1"/>
  <c r="J16" i="82" s="1"/>
  <c r="J25" i="82" s="1"/>
  <c r="C22" i="81"/>
  <c r="C28" i="81"/>
  <c r="C27" i="81"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51" i="82"/>
  <c r="Q69" i="82" l="1"/>
  <c r="Q68" i="82" s="1"/>
  <c r="C80" i="82"/>
  <c r="C79" i="82" s="1"/>
  <c r="C45" i="82"/>
  <c r="C46" i="82" s="1"/>
  <c r="Q67" i="82"/>
  <c r="L57" i="82"/>
  <c r="Q47" i="82"/>
  <c r="Q53" i="82" s="1"/>
  <c r="C43" i="82"/>
  <c r="Q65" i="82"/>
  <c r="Q75" i="82" s="1"/>
  <c r="D2" i="82"/>
  <c r="Q56" i="82"/>
  <c r="Q62" i="82" s="1"/>
  <c r="C83" i="82"/>
  <c r="C82" i="82" s="1"/>
  <c r="C31" i="81"/>
  <c r="C52" i="81" s="1"/>
  <c r="B2" i="81"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82"/>
  <c r="F35" i="15"/>
  <c r="F35" i="67"/>
  <c r="B3" i="81"/>
  <c r="M21" i="15"/>
  <c r="M21" i="67"/>
  <c r="F35" i="82"/>
  <c r="F63" i="82" l="1"/>
  <c r="J20" i="82"/>
  <c r="B3" i="82"/>
  <c r="B2" i="82"/>
  <c r="C57" i="81"/>
  <c r="C56" i="81" s="1"/>
  <c r="E48" i="21"/>
  <c r="E52" i="21" s="1"/>
  <c r="F52"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K65" i="40"/>
  <c r="L63" i="40"/>
  <c r="D19" i="83"/>
  <c r="D20" i="83"/>
  <c r="D102" i="83" l="1"/>
  <c r="D21" i="83"/>
  <c r="D103" i="83"/>
  <c r="I34" i="82"/>
  <c r="I35" i="82"/>
  <c r="I53" i="21"/>
  <c r="J53" i="21" s="1"/>
  <c r="E53" i="21"/>
  <c r="F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19" i="9"/>
  <c r="D2" i="33"/>
  <c r="D102" i="9" l="1"/>
  <c r="D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0" i="9"/>
  <c r="C19" i="83"/>
  <c r="D2" i="35"/>
  <c r="D2" i="34"/>
  <c r="D2" i="36"/>
  <c r="D2" i="37"/>
  <c r="C102" i="83" l="1"/>
  <c r="D22" i="83"/>
  <c r="C21" i="83"/>
  <c r="G19" i="83"/>
  <c r="G21" i="83" s="1"/>
  <c r="D103"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8" i="1"/>
  <c r="AO9" i="1"/>
  <c r="AO12" i="1"/>
  <c r="AO11" i="1"/>
  <c r="AO7" i="1"/>
  <c r="C20" i="83"/>
  <c r="AO10" i="1"/>
  <c r="G20" i="83" l="1"/>
  <c r="C103" i="83"/>
  <c r="C7" i="7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K22" i="83" l="1"/>
  <c r="K23" i="83"/>
  <c r="E14" i="74"/>
  <c r="C32" i="83"/>
  <c r="C35" i="83" s="1"/>
  <c r="C34" i="83" s="1"/>
  <c r="C21" i="9"/>
  <c r="D22" i="9"/>
  <c r="G19" i="9"/>
  <c r="G21" i="9" s="1"/>
  <c r="C102" i="9"/>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C103" i="9" l="1"/>
  <c r="G20" i="9"/>
  <c r="D6" i="71"/>
  <c r="C5" i="71"/>
  <c r="D5" i="71" s="1"/>
  <c r="M24" i="43" s="1"/>
  <c r="C42" i="40"/>
  <c r="C43" i="40"/>
  <c r="E47" i="40"/>
  <c r="F47" i="40" s="1"/>
  <c r="E46" i="40"/>
  <c r="F46" i="40" s="1"/>
  <c r="I47" i="40"/>
  <c r="J47" i="40" s="1"/>
  <c r="C32" i="9" l="1"/>
  <c r="C35" i="9" s="1"/>
  <c r="C34" i="9" s="1"/>
  <c r="D14" i="74"/>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97" i="9"/>
  <c r="D58" i="9"/>
  <c r="D56" i="9"/>
  <c r="M54" i="9"/>
  <c r="P57" i="9"/>
  <c r="N58" i="9"/>
  <c r="D54" i="83"/>
  <c r="C68" i="83"/>
  <c r="B20" i="72"/>
  <c r="E97" i="9"/>
  <c r="E96" i="9"/>
  <c r="C85" i="9"/>
  <c r="C95" i="9"/>
  <c r="C96" i="9"/>
  <c r="B47" i="72"/>
  <c r="D4" i="52"/>
  <c r="B52" i="72"/>
  <c r="G4" i="52"/>
  <c r="H5" i="52"/>
  <c r="H119" i="9"/>
  <c r="C73" i="9"/>
  <c r="C78" i="9"/>
  <c r="B21" i="72"/>
  <c r="D7" i="53"/>
  <c r="C80" i="83"/>
  <c r="E80" i="83"/>
  <c r="E81" i="83"/>
  <c r="B32" i="72"/>
  <c r="D14" i="53"/>
  <c r="B53" i="72"/>
  <c r="F5" i="52"/>
  <c r="F119" i="9"/>
  <c r="B31" i="72"/>
  <c r="D15" i="53"/>
  <c r="B49" i="72"/>
  <c r="D5" i="52"/>
  <c r="D118" i="9"/>
  <c r="D119" i="9"/>
  <c r="D9" i="52"/>
  <c r="D123" i="9"/>
  <c r="N61" i="9"/>
  <c r="D55" i="9"/>
  <c r="M53" i="9"/>
  <c r="N57" i="9"/>
  <c r="N59" i="9"/>
  <c r="N60" i="9"/>
  <c r="G118" i="83"/>
  <c r="F118" i="83"/>
  <c r="F119" i="83"/>
  <c r="H102" i="83"/>
  <c r="C105" i="83"/>
  <c r="C96" i="83"/>
  <c r="E96" i="83"/>
  <c r="E97" i="83"/>
  <c r="D5" i="53"/>
  <c r="D6" i="53"/>
  <c r="B22" i="72"/>
  <c r="G118" i="9"/>
  <c r="F118" i="9"/>
  <c r="F4" i="52"/>
  <c r="B51" i="72"/>
  <c r="C85" i="83"/>
  <c r="C95" i="83"/>
  <c r="C97" i="83"/>
  <c r="D58" i="83"/>
  <c r="D56" i="83"/>
  <c r="M54" i="83"/>
  <c r="C86" i="9"/>
  <c r="C93" i="9"/>
  <c r="C81" i="9"/>
  <c r="C72" i="83"/>
  <c r="C79" i="83"/>
  <c r="C81" i="83"/>
  <c r="C104" i="83"/>
  <c r="H119" i="83"/>
  <c r="N58" i="83"/>
  <c r="P57" i="83"/>
  <c r="N61" i="83"/>
  <c r="D55" i="83"/>
  <c r="M53" i="83"/>
  <c r="N57" i="83"/>
  <c r="N59" i="83"/>
  <c r="N60" i="83"/>
  <c r="C73" i="83"/>
  <c r="C78" i="83"/>
  <c r="D122" i="9"/>
  <c r="D8" i="52"/>
  <c r="M48" i="83"/>
  <c r="C105" i="9"/>
  <c r="I4" i="52"/>
  <c r="D53" i="83"/>
  <c r="D52" i="83"/>
  <c r="C72" i="9"/>
  <c r="C79" i="9"/>
  <c r="C80" i="9"/>
  <c r="E80" i="9"/>
  <c r="E81" i="9"/>
  <c r="C93" i="83"/>
  <c r="C86" i="83"/>
  <c r="E118" i="83"/>
  <c r="D118" i="83"/>
  <c r="D119" i="83"/>
  <c r="H4" i="52"/>
  <c r="C104" i="9"/>
  <c r="D45" i="83"/>
  <c r="C64" i="83"/>
  <c r="C63" i="83"/>
  <c r="C67" i="83"/>
  <c r="D59" i="83"/>
  <c r="M55" i="83"/>
  <c r="D59" i="9"/>
  <c r="M55" i="9"/>
  <c r="D52" i="9"/>
  <c r="D53" i="9"/>
  <c r="M48" i="9"/>
  <c r="D13" i="53"/>
  <c r="B30" i="72"/>
  <c r="H108" i="83"/>
  <c r="D45" i="9"/>
  <c r="C64" i="9"/>
  <c r="C63" i="9"/>
  <c r="C67" i="9"/>
  <c r="C68" i="9"/>
  <c r="D54" i="9"/>
  <c r="H101" i="9"/>
  <c r="H107" i="9"/>
  <c r="H108" i="9"/>
  <c r="C6" i="74"/>
  <c r="H102" i="9"/>
  <c r="C5" i="74"/>
  <c r="I118" i="83"/>
  <c r="H118" i="83"/>
  <c r="H101" i="83"/>
  <c r="H107" i="83"/>
  <c r="D122" i="83"/>
  <c r="D123" i="83"/>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734648C5-041D-43DA-855E-B2935E13202B}">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9208C313-9522-4C95-BDB8-879147BDA8FB}">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15F375E0-0C8F-4239-A004-ED51B5337D0D}">
      <text>
        <r>
          <rPr>
            <sz val="11"/>
            <color indexed="81"/>
            <rFont val="宋体"/>
            <family val="3"/>
            <charset val="134"/>
          </rPr>
          <t>需在下方列示计算过程</t>
        </r>
        <r>
          <rPr>
            <sz val="9"/>
            <color indexed="81"/>
            <rFont val="宋体"/>
            <family val="3"/>
            <charset val="134"/>
          </rPr>
          <t xml:space="preserve">
</t>
        </r>
      </text>
    </comment>
    <comment ref="H75" authorId="2" shapeId="0" xr:uid="{029BC46A-B3D9-42F6-B3EF-6E33EFDB35E9}">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F8715119-D8DC-4B09-A942-9BFECE93BF6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F9A8718-3608-448D-9416-FBE4A450887E}">
      <text>
        <r>
          <rPr>
            <sz val="10"/>
            <color indexed="81"/>
            <rFont val="宋体"/>
            <family val="3"/>
            <charset val="134"/>
          </rPr>
          <t xml:space="preserve">需注意，采用基准地价系数修正法中土地结果计算时，土地报酬率应采用该方法中报酬率（还原率）。
</t>
        </r>
      </text>
    </comment>
    <comment ref="L55" authorId="0" shapeId="0" xr:uid="{5064FD12-7A77-4607-B8A4-DAF067FB9487}">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72E8A5BE-8D1E-4D53-87B8-1872337F92D7}">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<sst xmlns="http://schemas.openxmlformats.org/spreadsheetml/2006/main" count="8857" uniqueCount="3478">
  <si>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</si>
  <si>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</si>
  <si>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</si>
  <si>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</si>
  <si>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</si>
  <si>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</si>
  <si>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</si>
  <si>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</si>
  <si>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</si>
  <si>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</si>
  <si>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</si>
  <si>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</si>
  <si>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</si>
  <si>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</si>
  <si>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</si>
  <si>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</si>
  <si>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</si>
  <si>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</si>
  <si>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</si>
  <si>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</si>
  <si>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</si>
  <si>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</si>
  <si>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</si>
  <si>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</si>
  <si>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</si>
  <si>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</si>
  <si>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</si>
  <si>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</si>
  <si>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</si>
  <si>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</si>
  <si>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</si>
  <si>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</si>
  <si>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</si>
  <si>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</si>
  <si>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</si>
  <si>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</si>
  <si>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</si>
  <si>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</si>
  <si>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</si>
  <si>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</si>
  <si>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</si>
  <si>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</si>
  <si>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</si>
  <si>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</si>
  <si>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</si>
  <si>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</si>
  <si>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</si>
  <si>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</si>
  <si>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</si>
  <si>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</si>
  <si>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</si>
  <si>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</si>
  <si>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</si>
  <si>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</si>
  <si>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</si>
  <si>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</si>
  <si>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</si>
  <si>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</si>
  <si>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</si>
  <si>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</si>
  <si>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</si>
  <si>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</si>
  <si>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</si>
  <si>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</si>
  <si>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</si>
  <si>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</si>
  <si>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</si>
  <si>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</si>
  <si>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</si>
  <si>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</si>
  <si>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</si>
  <si>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</si>
  <si>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</si>
  <si>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</si>
  <si>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</si>
  <si>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</si>
  <si>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</si>
  <si>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</si>
  <si>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</si>
  <si>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</si>
  <si>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</si>
  <si>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</si>
  <si>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</si>
  <si>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</si>
  <si>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</si>
  <si>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</si>
  <si>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</si>
  <si>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</si>
  <si>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</si>
  <si>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</si>
  <si>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</si>
  <si>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</si>
  <si>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</si>
  <si>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</si>
  <si>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</si>
  <si>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</si>
  <si>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</si>
  <si>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</si>
  <si>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</si>
  <si>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</si>
  <si>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</si>
  <si>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</si>
  <si>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</si>
  <si>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</si>
  <si>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</si>
  <si>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</si>
  <si>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</si>
  <si>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</si>
  <si>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</si>
  <si>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</si>
  <si>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</si>
  <si>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</si>
  <si>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</si>
  <si>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</si>
  <si>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</si>
  <si>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</si>
  <si>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</si>
  <si>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</si>
  <si>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</si>
  <si>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</si>
  <si>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</si>
  <si>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</si>
  <si>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</si>
  <si>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</si>
  <si>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</si>
  <si>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</si>
  <si>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</si>
  <si>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</si>
  <si>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</si>
  <si>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</si>
  <si>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</si>
  <si>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</si>
  <si>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</si>
  <si>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</si>
  <si>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</si>
  <si>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</si>
  <si>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</si>
  <si>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</si>
  <si>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</si>
  <si>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</si>
  <si>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</si>
  <si>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</si>
  <si>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</si>
  <si>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</si>
  <si>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</si>
  <si>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</si>
  <si>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</si>
  <si>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</si>
  <si>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</si>
  <si>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</si>
  <si>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</si>
  <si>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</si>
  <si>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</si>
  <si>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</si>
  <si>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</si>
  <si>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</si>
  <si>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</si>
  <si>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</si>
  <si>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</si>
  <si>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</si>
  <si>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</si>
  <si>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</si>
  <si>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</si>
  <si>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</si>
  <si>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</si>
  <si>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</si>
  <si>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</si>
  <si>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</si>
  <si>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</si>
  <si>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</si>
  <si>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</si>
  <si>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</si>
  <si>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</si>
  <si>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</si>
  <si>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</si>
  <si>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</si>
  <si>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</si>
  <si>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</si>
  <si>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</si>
  <si>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</si>
  <si>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</si>
  <si>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</si>
  <si>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</si>
  <si>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</si>
  <si>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</si>
  <si>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</si>
  <si>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</si>
  <si>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</si>
  <si>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</si>
  <si>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</si>
  <si>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</si>
  <si>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</si>
  <si>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</si>
  <si>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</si>
  <si>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</si>
  <si>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</si>
  <si>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</si>
  <si>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</si>
  <si>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</si>
  <si>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</si>
  <si>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</si>
  <si>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</si>
  <si>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</si>
  <si>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</si>
  <si>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</si>
  <si>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</si>
  <si>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</si>
  <si>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</si>
  <si>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</si>
  <si>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</si>
  <si>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</si>
  <si>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</si>
  <si>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</si>
  <si>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</si>
  <si>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</si>
  <si>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</si>
  <si>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</si>
  <si>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</si>
  <si>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</si>
  <si>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</si>
  <si>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</si>
  <si>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</si>
  <si>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</si>
  <si>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</si>
  <si>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</si>
  <si>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</si>
  <si>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</si>
  <si>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</si>
  <si>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</si>
  <si>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</si>
  <si>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</si>
  <si>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</si>
  <si>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</si>
  <si>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</si>
  <si>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</si>
  <si>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</si>
  <si>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</si>
  <si>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</si>
  <si>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</si>
  <si>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</si>
  <si>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</si>
  <si>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</si>
  <si>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</si>
  <si>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</si>
  <si>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</si>
  <si>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</si>
  <si>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</si>
  <si>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</si>
  <si>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</si>
  <si>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</si>
  <si>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</si>
  <si>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</si>
  <si>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</si>
  <si>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</si>
  <si>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</si>
  <si>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</si>
  <si>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</si>
  <si>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</si>
  <si>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</si>
  <si>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</si>
  <si>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</si>
  <si>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</si>
  <si>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</si>
  <si>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</si>
  <si>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</si>
  <si>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</si>
  <si>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</si>
  <si>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</si>
  <si>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</si>
  <si>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</si>
  <si>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</si>
  <si>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</si>
  <si>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</si>
  <si>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</si>
  <si>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</si>
  <si>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</si>
  <si>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</si>
  <si>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</si>
  <si>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</si>
  <si>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</si>
  <si>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</si>
  <si>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</si>
  <si>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</si>
  <si>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</si>
  <si>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</si>
  <si>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</si>
  <si>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</si>
  <si>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</si>
  <si>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</si>
  <si>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</si>
  <si>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</si>
  <si>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</si>
  <si>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</si>
  <si>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</si>
  <si>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</si>
  <si>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</si>
  <si>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</si>
  <si>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</si>
  <si>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</si>
  <si>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</si>
  <si>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</si>
  <si>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</si>
  <si>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</si>
  <si>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</si>
  <si>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</si>
  <si>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</si>
  <si>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</si>
  <si>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</si>
  <si>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</si>
  <si>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</si>
  <si>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</si>
  <si>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</si>
  <si>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</si>
  <si>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</si>
  <si>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</si>
  <si>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</si>
  <si>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</si>
  <si>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</si>
  <si>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</si>
  <si>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</si>
  <si>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</si>
  <si>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</si>
  <si>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</si>
  <si>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</si>
  <si>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</si>
  <si>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</si>
  <si>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</si>
  <si>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</si>
  <si>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</si>
  <si>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</si>
  <si>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</si>
  <si>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</si>
  <si>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</si>
  <si>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</si>
  <si>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</si>
  <si>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</si>
  <si>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</si>
  <si>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</si>
  <si>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</si>
  <si>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</si>
  <si>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</si>
  <si>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</si>
  <si>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</si>
  <si>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</si>
  <si>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</si>
  <si>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</si>
  <si>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</si>
  <si>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</si>
  <si>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</si>
  <si>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</si>
  <si>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</si>
  <si>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</si>
  <si>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</si>
  <si>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</si>
  <si>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</si>
  <si>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</si>
  <si>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</si>
  <si>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</si>
  <si>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</si>
  <si>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</si>
  <si>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</si>
  <si>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</si>
  <si>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</si>
  <si>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</si>
  <si>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</si>
  <si>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</si>
  <si>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</si>
  <si>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</si>
  <si>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</si>
  <si>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</si>
  <si>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</si>
  <si>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</si>
  <si>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</si>
  <si>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</si>
  <si>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</si>
  <si>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</si>
  <si>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</si>
  <si>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</si>
  <si>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</si>
  <si>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</si>
  <si>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</si>
  <si>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</si>
  <si>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</si>
  <si>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</si>
  <si>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</si>
  <si>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</si>
  <si>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</si>
  <si>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</si>
  <si>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</si>
  <si>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</si>
  <si>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</si>
  <si>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</si>
  <si>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</si>
  <si>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</si>
  <si>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</si>
  <si>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</si>
  <si>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</si>
  <si>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</si>
  <si>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</si>
  <si>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</si>
  <si>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</si>
  <si>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</si>
  <si>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</si>
  <si>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</si>
  <si>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</si>
  <si>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</si>
  <si>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</si>
  <si>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</si>
  <si>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</si>
  <si>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</si>
  <si>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</si>
  <si>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</si>
  <si>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</si>
  <si>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</si>
  <si>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</si>
  <si>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</si>
  <si>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</si>
  <si>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</si>
  <si>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</si>
  <si>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</si>
  <si>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</si>
  <si>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</si>
  <si>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</si>
  <si>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</si>
  <si>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</si>
  <si>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</si>
  <si>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</si>
  <si>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</si>
  <si>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</si>
  <si>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</si>
  <si>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</si>
  <si>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</si>
  <si>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</si>
  <si>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</si>
  <si>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</si>
  <si>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</si>
  <si>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</si>
  <si>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</si>
  <si>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</si>
  <si>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</si>
  <si>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</si>
  <si>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</si>
  <si>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</si>
  <si>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</si>
  <si>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</si>
  <si>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</si>
  <si>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</si>
  <si>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</si>
  <si>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</si>
  <si>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</si>
  <si>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</si>
  <si>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</si>
  <si>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</si>
  <si>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</si>
  <si>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</si>
  <si>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</si>
  <si>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</si>
  <si>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</si>
  <si>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</si>
  <si>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</si>
  <si>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</si>
  <si>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</si>
  <si>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</si>
  <si>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</si>
  <si>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</si>
  <si>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</si>
  <si>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</si>
  <si>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</si>
  <si>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</si>
  <si>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</si>
  <si>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</si>
  <si>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</si>
  <si>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</si>
  <si>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</si>
  <si>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</si>
  <si>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</si>
  <si>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</si>
  <si>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</si>
  <si>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</si>
  <si>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</si>
  <si>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</si>
  <si>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</si>
  <si>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</si>
  <si>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</si>
  <si>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</si>
  <si>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</si>
  <si>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</si>
  <si>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</si>
  <si>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</si>
  <si>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</si>
  <si>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</si>
  <si>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</si>
  <si>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</si>
  <si>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</si>
  <si>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</si>
  <si>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</si>
  <si>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</si>
  <si>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</si>
  <si>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</si>
  <si>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</si>
  <si>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</si>
  <si>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</si>
  <si>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</si>
  <si>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</si>
  <si>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</si>
  <si>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</si>
  <si>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</si>
  <si>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</si>
  <si>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</si>
  <si>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</si>
  <si>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</si>
  <si>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</si>
  <si>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</si>
  <si>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</si>
  <si>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</si>
  <si>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</si>
  <si>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</si>
  <si>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</si>
  <si>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</si>
  <si>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</si>
  <si>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</si>
  <si>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</si>
  <si>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</si>
  <si>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</si>
  <si>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</si>
  <si>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</si>
  <si>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</si>
  <si>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</si>
  <si>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</si>
  <si>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</si>
  <si>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</si>
  <si>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</si>
  <si>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</si>
  <si>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</si>
  <si>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</si>
  <si>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</si>
  <si>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</si>
  <si>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</si>
  <si>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</si>
  <si>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</si>
  <si>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</si>
  <si>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</si>
  <si>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</si>
  <si>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</si>
  <si>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</si>
  <si>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</si>
  <si>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</si>
  <si>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</si>
  <si>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</si>
  <si>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</si>
  <si>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</si>
  <si>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</si>
  <si>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</si>
  <si>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</si>
  <si>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</si>
  <si>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</si>
  <si>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</si>
  <si>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</si>
  <si>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</si>
  <si>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</si>
  <si>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</si>
  <si>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</si>
  <si>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</si>
  <si>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</si>
  <si>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</si>
  <si>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</si>
  <si>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</si>
  <si>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</si>
  <si>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</si>
  <si>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</si>
  <si>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</si>
  <si>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</si>
  <si>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</si>
  <si>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</si>
  <si>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</si>
  <si>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</si>
  <si>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</si>
  <si>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</si>
  <si>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</si>
  <si>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</si>
  <si>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</si>
  <si>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</si>
  <si>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</si>
  <si>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</si>
  <si>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</si>
  <si>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</si>
  <si>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</si>
  <si>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</si>
  <si>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</si>
  <si>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</si>
  <si>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</si>
  <si>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</si>
  <si>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</si>
  <si>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</si>
  <si>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</si>
  <si>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</si>
  <si>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</si>
  <si>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</si>
  <si>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</si>
  <si>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</si>
  <si>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</si>
  <si>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</si>
  <si>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</si>
  <si>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</si>
  <si>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</si>
  <si>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</si>
  <si>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</si>
  <si>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</si>
  <si>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</si>
  <si>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</si>
  <si>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</si>
  <si>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</si>
  <si>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</si>
  <si>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</si>
  <si>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</si>
  <si>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</si>
  <si>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</si>
  <si>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</si>
  <si>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</si>
  <si>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</si>
  <si>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</si>
  <si>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</si>
  <si>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</si>
  <si>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</si>
  <si>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</si>
  <si>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</si>
  <si>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</si>
  <si>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</si>
  <si>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</si>
  <si>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</si>
  <si>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</si>
  <si>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</si>
  <si>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</si>
  <si>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</si>
  <si>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</si>
  <si>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</si>
  <si>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</si>
  <si>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</si>
  <si>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</si>
  <si>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</si>
  <si>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</si>
  <si>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</si>
  <si>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</si>
  <si>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</si>
  <si>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</si>
  <si>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</si>
  <si>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</si>
  <si>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</si>
  <si>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</si>
  <si>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</si>
  <si>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</si>
  <si>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</si>
  <si>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</si>
  <si>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</si>
  <si>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</si>
  <si>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</si>
  <si>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</si>
  <si>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</si>
  <si>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</si>
  <si>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</si>
  <si>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</si>
  <si>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</si>
  <si>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</si>
  <si>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</si>
  <si>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</si>
  <si>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</si>
  <si>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</si>
  <si>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</si>
  <si>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</si>
  <si>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</si>
  <si>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</si>
  <si>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</si>
  <si>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</si>
  <si>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</si>
  <si>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</si>
  <si>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</si>
  <si>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</si>
  <si>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</si>
  <si>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</si>
  <si>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</si>
  <si>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</si>
  <si>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</si>
  <si>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</si>
  <si>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</si>
  <si>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</si>
  <si>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</si>
  <si>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</si>
  <si>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</si>
  <si>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</si>
  <si>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</si>
  <si>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</si>
  <si>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</si>
  <si>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</si>
  <si>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</si>
  <si>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</si>
  <si>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</si>
  <si>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</si>
  <si>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</si>
  <si>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</si>
  <si>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</si>
  <si>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</si>
  <si>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</si>
  <si>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</si>
  <si>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</si>
  <si>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</si>
  <si>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</si>
  <si>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</si>
  <si>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</si>
  <si>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</si>
  <si>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</si>
  <si>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</si>
  <si>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</si>
  <si>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</si>
  <si>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</si>
  <si>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</si>
  <si>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</si>
  <si>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</si>
  <si>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</si>
  <si>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</si>
  <si>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</si>
  <si>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</si>
  <si>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</si>
  <si>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</si>
  <si>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</si>
  <si>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</si>
  <si>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</si>
  <si>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</si>
  <si>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</si>
  <si>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</si>
  <si>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</si>
  <si>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</si>
  <si>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</si>
  <si>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</si>
  <si>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</si>
  <si>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</si>
  <si>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</si>
  <si>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</si>
  <si>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</si>
  <si>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</si>
  <si>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</si>
  <si>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</si>
  <si>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</si>
  <si>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</si>
  <si>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</si>
  <si>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</si>
  <si>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</si>
  <si>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</si>
  <si>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</si>
  <si>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</si>
  <si>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</si>
  <si>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</si>
  <si>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</si>
  <si>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</si>
  <si>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</si>
  <si>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</si>
  <si>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</si>
  <si>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</si>
  <si>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</si>
  <si>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</si>
  <si>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</si>
  <si>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</si>
  <si>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</si>
  <si>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</si>
  <si>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</si>
  <si>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</si>
  <si>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</si>
  <si>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</si>
  <si>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</si>
  <si>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</si>
  <si>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</si>
  <si>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</si>
  <si>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</si>
  <si>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</si>
  <si>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</si>
  <si>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</si>
  <si>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</si>
  <si>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</si>
  <si>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</si>
  <si>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</si>
  <si>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</si>
  <si>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</si>
  <si>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</si>
  <si>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</si>
  <si>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</si>
  <si>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</si>
  <si>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</si>
  <si>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</si>
  <si>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</si>
  <si>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</si>
  <si>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</si>
  <si>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</si>
  <si>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</si>
  <si>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</si>
  <si>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</si>
  <si>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</si>
  <si>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</si>
  <si>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</si>
  <si>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</si>
  <si>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</si>
  <si>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</si>
  <si>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</si>
  <si>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</si>
  <si>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</si>
  <si>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</si>
  <si>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</si>
  <si>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</si>
  <si>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</si>
  <si>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</si>
  <si>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</si>
  <si>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</si>
  <si>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</si>
  <si>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</si>
  <si>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</si>
  <si>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</si>
  <si>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</si>
  <si>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</si>
  <si>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</si>
  <si>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</si>
  <si>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</si>
  <si>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</si>
  <si>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</si>
  <si>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</si>
  <si>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</si>
  <si>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</si>
  <si>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</si>
  <si>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</si>
  <si>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</si>
  <si>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</si>
  <si>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</si>
  <si>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</si>
  <si>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</si>
  <si>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</si>
  <si>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</si>
  <si>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</si>
  <si>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</si>
  <si>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</si>
  <si>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</si>
  <si>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</si>
  <si>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</si>
  <si>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</si>
  <si>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</si>
  <si>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</si>
  <si>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</si>
  <si>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</si>
  <si>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</si>
  <si>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</si>
  <si>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</si>
  <si>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</si>
  <si>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</si>
  <si>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</si>
  <si>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</si>
  <si>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</si>
  <si>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</si>
  <si>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</si>
  <si>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</si>
  <si>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</si>
  <si>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</si>
  <si>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</si>
  <si>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</si>
  <si>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</si>
  <si>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</si>
  <si>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</si>
  <si>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</si>
  <si>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</si>
  <si>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</si>
  <si>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</si>
  <si>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</si>
  <si>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</si>
  <si>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</si>
  <si>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</si>
  <si>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</si>
  <si>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</si>
  <si>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</si>
  <si>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</si>
  <si>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</si>
  <si>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</si>
  <si>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</si>
  <si>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</si>
  <si>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</si>
  <si>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</si>
  <si>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</si>
  <si>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</si>
  <si>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</si>
  <si>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</si>
  <si>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</si>
  <si>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</si>
  <si>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</si>
  <si>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</si>
  <si>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</si>
  <si>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</si>
  <si>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</si>
  <si>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</si>
  <si>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</si>
  <si>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</si>
  <si>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</si>
  <si>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</si>
  <si>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</si>
  <si>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</si>
  <si>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</si>
  <si>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</si>
  <si>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</si>
  <si>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</si>
  <si>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</si>
  <si>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</si>
  <si>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</si>
  <si>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</si>
  <si>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</si>
  <si>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</si>
  <si>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</si>
  <si>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</si>
  <si>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</si>
  <si>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</si>
  <si>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</si>
  <si>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</si>
  <si>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</si>
  <si>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</si>
  <si>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</si>
  <si>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</si>
  <si>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</si>
  <si>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</si>
  <si>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</si>
  <si>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</si>
  <si>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</si>
  <si>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</si>
  <si>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</si>
  <si>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</si>
  <si>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</si>
  <si>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</si>
  <si>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</si>
  <si>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</si>
  <si>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</si>
  <si>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</si>
  <si>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</si>
  <si>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</si>
  <si>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</si>
  <si>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</si>
  <si>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</si>
  <si>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</si>
  <si>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</si>
  <si>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</si>
  <si>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</si>
  <si>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</si>
  <si>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</si>
  <si>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</si>
  <si>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</si>
  <si>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</si>
  <si>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</si>
  <si>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</si>
  <si>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</si>
  <si>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</si>
  <si>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</si>
  <si>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</si>
  <si>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</si>
  <si>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</si>
  <si>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</si>
  <si>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</si>
  <si>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</si>
  <si>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</si>
  <si>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</si>
  <si>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</si>
  <si>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</si>
  <si>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</si>
  <si>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</si>
  <si>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</si>
  <si>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</si>
  <si>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</si>
  <si>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</si>
  <si>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</si>
  <si>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</si>
  <si>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</si>
  <si>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</si>
  <si>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</si>
  <si>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</si>
  <si>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</si>
  <si>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</si>
  <si>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</si>
  <si>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</si>
  <si>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</si>
  <si>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</si>
  <si>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</si>
  <si>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</si>
  <si>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</si>
  <si>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</si>
  <si>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</si>
  <si>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</si>
  <si>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</si>
  <si>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</si>
  <si>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</si>
  <si>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</si>
  <si>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</si>
  <si>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</si>
  <si>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</si>
  <si>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</si>
  <si>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</si>
  <si>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</si>
  <si>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</si>
  <si>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</si>
  <si>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</si>
  <si>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</si>
  <si>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</si>
  <si>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</si>
  <si>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</si>
  <si>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</si>
  <si>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</si>
  <si>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</si>
  <si>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</si>
  <si>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</si>
  <si>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</si>
  <si>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</si>
  <si>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</si>
  <si>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</si>
  <si>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</si>
  <si>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</si>
  <si>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</si>
  <si>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</si>
  <si>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</si>
  <si>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</si>
  <si>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</si>
  <si>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</si>
  <si>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</si>
  <si>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</si>
  <si>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</si>
  <si>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</si>
  <si>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</si>
  <si>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</si>
  <si>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</si>
  <si>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</si>
  <si>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</si>
  <si>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</si>
  <si>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</si>
  <si>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</si>
  <si>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</si>
  <si>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</si>
  <si>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</si>
  <si>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</si>
  <si>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</si>
  <si>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</si>
  <si>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</si>
  <si>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</si>
  <si>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</si>
  <si>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</si>
  <si>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</si>
  <si>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</si>
  <si>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</si>
  <si>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</si>
  <si>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</si>
  <si>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</si>
  <si>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</si>
  <si>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</si>
  <si>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</si>
  <si>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</si>
  <si>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</si>
  <si>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</si>
  <si>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</si>
  <si>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</si>
  <si>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</si>
  <si>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</si>
  <si>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</si>
  <si>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</si>
  <si>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</si>
  <si>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</si>
  <si>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</si>
  <si>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</si>
  <si>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</si>
  <si>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</si>
  <si>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</si>
  <si>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</si>
  <si>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</si>
  <si>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</si>
  <si>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</si>
  <si>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</si>
  <si>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</si>
  <si>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</si>
  <si>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</si>
  <si>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</si>
  <si>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</si>
  <si>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</si>
  <si>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</si>
  <si>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</si>
  <si>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</si>
  <si>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</si>
  <si>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</si>
  <si>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</si>
  <si>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</si>
  <si>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</si>
  <si>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</si>
  <si>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</si>
  <si>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</si>
  <si>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</si>
  <si>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</si>
  <si>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</si>
  <si>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</si>
  <si>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</si>
  <si>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</si>
  <si>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</si>
  <si>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</si>
  <si>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</si>
  <si>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</si>
  <si>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</si>
  <si>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</si>
  <si>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</si>
  <si>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</si>
  <si>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</si>
  <si>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</si>
  <si>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</si>
  <si>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</si>
  <si>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</si>
  <si>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</si>
  <si>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</si>
  <si>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</si>
  <si>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</si>
  <si>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</si>
  <si>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</si>
  <si>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</si>
  <si>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</si>
  <si>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</si>
  <si>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</si>
  <si>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</si>
  <si>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</si>
  <si>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</si>
  <si>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</si>
  <si>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</si>
  <si>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</si>
  <si>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</si>
  <si>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</si>
  <si>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</si>
  <si>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</si>
  <si>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</si>
  <si>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</si>
  <si>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</si>
  <si>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</si>
  <si>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</si>
  <si>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</si>
  <si>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</si>
  <si>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</si>
  <si>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</si>
  <si>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</si>
  <si>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</si>
  <si>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</si>
  <si>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</si>
  <si>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</si>
  <si>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</si>
  <si>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</si>
  <si>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</si>
  <si>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</si>
  <si>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</si>
  <si>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</si>
  <si>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</si>
  <si>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</si>
  <si>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</si>
  <si>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</si>
  <si>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</si>
  <si>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</si>
  <si>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</si>
  <si>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</si>
  <si>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</si>
  <si>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</si>
  <si>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</si>
  <si>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</si>
  <si>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</si>
  <si>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</si>
  <si>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</si>
  <si>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</si>
  <si>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</si>
  <si>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</si>
  <si>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</si>
  <si>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</si>
  <si>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</si>
  <si>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</si>
  <si>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</si>
  <si>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</si>
  <si>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</si>
  <si>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</si>
  <si>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</si>
  <si>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</si>
  <si>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</si>
  <si>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</si>
  <si>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</si>
  <si>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</si>
  <si>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</si>
  <si>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</si>
  <si>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</si>
  <si>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</si>
  <si>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</si>
  <si>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</si>
  <si>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</si>
  <si>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</si>
  <si>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</si>
  <si>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</si>
  <si>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</si>
  <si>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</si>
  <si>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</si>
  <si>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</si>
  <si>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</si>
  <si>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</si>
  <si>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</si>
  <si>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</si>
  <si>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</si>
  <si>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</si>
  <si>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</si>
  <si>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</si>
  <si>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</si>
  <si>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</si>
  <si>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</si>
  <si>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</si>
  <si>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</si>
  <si>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</si>
  <si>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</si>
  <si>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</si>
  <si>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</si>
  <si>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</si>
  <si>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</si>
  <si>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</si>
  <si>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</si>
  <si>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</si>
  <si>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</si>
  <si>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</si>
  <si>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</si>
  <si>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</si>
  <si>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</si>
  <si>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</si>
  <si>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</si>
  <si>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</si>
  <si>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</si>
  <si>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</si>
  <si>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</si>
  <si>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</si>
  <si>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</si>
  <si>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</si>
  <si>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</si>
  <si>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</si>
  <si>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</si>
  <si>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</si>
  <si>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</si>
  <si>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</si>
  <si>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</si>
  <si>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</si>
  <si>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</si>
  <si>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</si>
  <si>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</si>
  <si>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</si>
  <si>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</si>
  <si>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</si>
  <si>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</si>
  <si>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</si>
  <si>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</si>
  <si>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</si>
  <si>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</si>
  <si>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</si>
  <si>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</si>
  <si>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</si>
  <si>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</si>
  <si>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</si>
  <si>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</si>
  <si>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</si>
  <si>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</si>
  <si>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</si>
  <si>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</si>
  <si>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</si>
  <si>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</si>
  <si>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</si>
  <si>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</si>
  <si>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</si>
  <si>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</si>
  <si>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</si>
  <si>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</si>
  <si>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</si>
  <si>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</si>
  <si>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</si>
  <si>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</si>
  <si>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</si>
  <si>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</si>
  <si>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</si>
  <si>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</si>
  <si>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</si>
  <si>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</si>
  <si>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</si>
  <si>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</si>
  <si>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</si>
  <si>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</si>
  <si>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</si>
  <si>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</si>
  <si>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</si>
  <si>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</si>
  <si>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</si>
  <si>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</si>
  <si>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</si>
  <si>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</si>
  <si>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</si>
  <si>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</si>
  <si>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</si>
  <si>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</si>
  <si>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</si>
  <si>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</si>
  <si>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</si>
  <si>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</si>
  <si>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</si>
  <si>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</si>
  <si>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</si>
  <si>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</si>
  <si>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</si>
  <si>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</si>
  <si>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</si>
  <si>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</si>
  <si>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</si>
  <si>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</si>
  <si>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</si>
  <si>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</si>
  <si>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</si>
  <si>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</si>
  <si>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</si>
  <si>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</si>
  <si>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</si>
  <si>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</si>
  <si>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</si>
  <si>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</si>
  <si>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</si>
  <si>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</si>
  <si>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</si>
  <si>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</si>
  <si>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</si>
  <si>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</si>
  <si>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</si>
  <si>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</si>
  <si>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</si>
  <si>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</si>
  <si>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</si>
  <si>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</si>
  <si>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</si>
  <si>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</si>
  <si>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</si>
  <si>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</si>
  <si>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</si>
  <si>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</si>
  <si>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</si>
  <si>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</si>
  <si>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</si>
  <si>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</si>
  <si>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</si>
  <si>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</si>
  <si>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</si>
  <si>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</si>
  <si>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</si>
  <si>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</si>
  <si>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</si>
  <si>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</si>
  <si>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</si>
  <si>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</si>
  <si>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</si>
  <si>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</si>
  <si>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</si>
  <si>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</si>
  <si>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</si>
  <si>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</si>
  <si>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</si>
  <si>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</si>
  <si>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</si>
  <si>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</si>
  <si>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</si>
  <si>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</si>
  <si>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</si>
  <si>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</si>
  <si>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</si>
  <si>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</si>
  <si>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</si>
  <si>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</si>
  <si>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</si>
  <si>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</si>
  <si>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</si>
  <si>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</si>
  <si>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</si>
  <si>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</si>
  <si>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</si>
  <si>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</si>
  <si>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</si>
  <si>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</si>
  <si>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</si>
  <si>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</si>
  <si>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</si>
  <si>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</si>
  <si>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</si>
  <si>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</si>
  <si>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</si>
  <si>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</si>
  <si>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</si>
  <si>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</si>
  <si>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</si>
  <si>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</si>
  <si>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</si>
  <si>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</si>
  <si>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</si>
  <si>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</si>
  <si>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</si>
  <si>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</si>
  <si>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</si>
  <si>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</si>
  <si>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</si>
  <si>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</si>
  <si>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</si>
  <si>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</si>
  <si>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</si>
  <si>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</si>
  <si>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</si>
  <si>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</si>
  <si>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</si>
  <si>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</si>
  <si>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</si>
  <si>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</si>
  <si>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</si>
  <si>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</si>
  <si>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</si>
  <si>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</si>
  <si>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</si>
  <si>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</si>
  <si>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</si>
  <si>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</si>
  <si>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</si>
  <si>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</si>
  <si>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</si>
  <si>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</si>
  <si>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</si>
  <si>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</si>
  <si>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</si>
  <si>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</si>
  <si>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</si>
  <si>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</si>
  <si>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</si>
  <si>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</si>
  <si>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</si>
  <si>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</si>
  <si>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</si>
  <si>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</si>
  <si>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</si>
  <si>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</si>
  <si>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</si>
  <si>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</si>
  <si>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</si>
  <si>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</si>
  <si>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</si>
  <si>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</si>
  <si>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</si>
  <si>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</si>
  <si>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</si>
  <si>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</si>
  <si>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</si>
  <si>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</si>
  <si>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</si>
  <si>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</si>
  <si>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</si>
  <si>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</si>
  <si>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</si>
  <si>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</si>
  <si>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</si>
  <si>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</si>
  <si>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</si>
  <si>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</si>
  <si>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</si>
  <si>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</si>
  <si>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</si>
  <si>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</si>
  <si>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</si>
  <si>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</si>
  <si>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</si>
  <si>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</si>
  <si>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</si>
  <si>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</si>
  <si>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</si>
  <si>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</si>
  <si>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</si>
  <si>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</si>
  <si>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</si>
  <si>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</si>
  <si>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</si>
  <si>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</si>
  <si>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</si>
  <si>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</si>
  <si>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</si>
  <si>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</si>
  <si>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</si>
  <si>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</si>
  <si>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</si>
  <si>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</si>
  <si>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</si>
  <si>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</si>
  <si>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</si>
  <si>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</si>
  <si>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</si>
  <si>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</si>
  <si>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</si>
  <si>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</si>
  <si>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</si>
  <si>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</si>
  <si>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</si>
  <si>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</si>
  <si>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</si>
  <si>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</si>
  <si>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</si>
  <si>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</si>
  <si>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</si>
  <si>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</si>
  <si>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</si>
  <si>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</si>
  <si>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</si>
  <si>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</si>
  <si>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</si>
  <si>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</si>
  <si>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</si>
  <si>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</si>
  <si>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</si>
  <si>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</si>
  <si>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</si>
  <si>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</si>
  <si>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</si>
  <si>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</si>
  <si>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</si>
  <si>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</si>
  <si>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</si>
  <si>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</si>
  <si>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</si>
  <si>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</si>
  <si>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</si>
  <si>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</si>
  <si>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</si>
  <si>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</si>
  <si>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</si>
  <si>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</si>
  <si>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</si>
  <si>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</si>
  <si>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</si>
  <si>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</si>
  <si>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</si>
  <si>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</si>
  <si>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</si>
  <si>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</si>
  <si>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</si>
  <si>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</si>
  <si>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</si>
  <si>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</si>
  <si>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</si>
  <si>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</si>
  <si>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</si>
  <si>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</si>
  <si>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</si>
  <si>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</si>
  <si>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</si>
  <si>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</si>
  <si>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</si>
  <si>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</si>
  <si>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</si>
  <si>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</si>
  <si>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</si>
  <si>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</si>
  <si>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</si>
  <si>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</si>
  <si>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</si>
  <si>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</si>
  <si>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</si>
  <si>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</si>
  <si>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</si>
  <si>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</si>
  <si>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</si>
  <si>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</si>
  <si>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</si>
  <si>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</si>
  <si>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</si>
  <si>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</si>
  <si>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</si>
  <si>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</si>
  <si>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</si>
  <si>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</si>
  <si>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</si>
  <si>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</si>
  <si>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</si>
  <si>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</si>
  <si>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</si>
  <si>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</si>
  <si>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</si>
  <si>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</si>
  <si>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</si>
  <si>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</si>
  <si>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</si>
  <si>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</si>
  <si>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</si>
  <si>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</si>
  <si>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</si>
  <si>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</si>
  <si>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</si>
  <si>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</si>
  <si>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</si>
  <si>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</si>
  <si>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</si>
  <si>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</si>
  <si>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</si>
  <si>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</si>
  <si>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</si>
  <si>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</si>
  <si>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</si>
  <si>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</si>
  <si>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</si>
  <si>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</si>
  <si>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</si>
  <si>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</si>
  <si>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</si>
  <si>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</si>
  <si>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</si>
  <si>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</si>
  <si>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</si>
  <si>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</si>
  <si>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</si>
  <si>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</si>
  <si>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</si>
  <si>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</si>
  <si>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</si>
  <si>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</si>
  <si>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</si>
  <si>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</si>
  <si>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</si>
  <si>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</si>
  <si>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</si>
  <si>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</si>
  <si>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</si>
  <si>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</si>
  <si>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</si>
  <si>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</si>
  <si>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</si>
  <si>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</si>
  <si>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</si>
  <si>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</si>
  <si>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</si>
  <si>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</si>
  <si>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</si>
  <si>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</si>
  <si>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</si>
  <si>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</si>
  <si>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</si>
  <si>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</si>
  <si>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</si>
  <si>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</si>
  <si>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</si>
  <si>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</si>
  <si>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</si>
  <si>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</si>
  <si>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</si>
  <si>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</si>
  <si>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</si>
  <si>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</si>
  <si>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</si>
  <si>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</si>
  <si>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</si>
  <si>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</si>
  <si>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</si>
  <si>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</si>
  <si>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</si>
  <si>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</si>
  <si>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</si>
  <si>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</si>
  <si>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</si>
  <si>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</si>
  <si>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</si>
  <si>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</si>
  <si>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</si>
  <si>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</si>
  <si>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</si>
  <si>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</si>
  <si>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</si>
  <si>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</si>
  <si>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</si>
  <si>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</si>
  <si>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</si>
  <si>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</si>
  <si>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</si>
  <si>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</si>
  <si>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</si>
  <si>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</si>
  <si>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</si>
  <si>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</si>
  <si>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</si>
  <si>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</si>
  <si>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</si>
  <si>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</si>
  <si>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</si>
  <si>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</si>
  <si>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</si>
  <si>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</si>
  <si>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</si>
  <si>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</si>
  <si>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</si>
  <si>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</si>
  <si>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</si>
  <si>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</si>
  <si>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</si>
  <si>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</si>
  <si>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</si>
  <si>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</si>
  <si>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</si>
  <si>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</si>
  <si>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</si>
  <si>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</si>
  <si>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</si>
  <si>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</si>
  <si>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</si>
  <si>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</si>
  <si>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</si>
  <si>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</si>
  <si>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</si>
  <si>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</si>
  <si>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</si>
  <si>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</si>
  <si>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</si>
  <si>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</si>
  <si>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</si>
  <si>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</si>
  <si>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</si>
  <si>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</si>
  <si>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</si>
  <si>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</si>
  <si>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</si>
  <si>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</si>
  <si>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</si>
  <si>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</si>
  <si>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</si>
  <si>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</si>
  <si>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</si>
  <si>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</si>
  <si>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</si>
  <si>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</si>
  <si>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</si>
  <si>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</si>
  <si>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</si>
  <si>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</si>
  <si>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</si>
  <si>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</si>
  <si>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</si>
  <si>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</si>
  <si>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</si>
  <si>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</si>
  <si>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</si>
  <si>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</si>
  <si>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</si>
  <si>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</si>
  <si>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</si>
  <si>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</si>
  <si>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</si>
  <si>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</si>
  <si>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</si>
  <si>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</si>
  <si>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</si>
  <si>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</si>
  <si>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</si>
  <si>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</si>
  <si>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</si>
  <si>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</si>
  <si>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</si>
  <si>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</si>
  <si>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</si>
  <si>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</si>
  <si>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</si>
  <si>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</si>
  <si>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</si>
  <si>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</si>
  <si>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</si>
  <si>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</si>
  <si>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</si>
  <si>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</si>
  <si>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</si>
  <si>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</si>
  <si>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</si>
  <si>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</si>
  <si>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</si>
  <si>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</si>
  <si>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</si>
  <si>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</si>
  <si>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</si>
  <si>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</si>
  <si>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</si>
  <si>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</si>
  <si>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</si>
  <si>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</si>
  <si>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</si>
  <si>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</si>
  <si>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</si>
  <si>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</si>
  <si>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</si>
  <si>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</si>
  <si>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</si>
  <si>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</si>
  <si>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</si>
  <si>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</si>
  <si>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</si>
  <si>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</si>
  <si>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</si>
  <si>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</si>
  <si>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</si>
  <si>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</si>
  <si>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</si>
  <si>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</si>
  <si>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</si>
  <si>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</si>
  <si>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</si>
  <si>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</si>
  <si>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</si>
  <si>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</si>
  <si>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</si>
  <si>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</si>
  <si>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</si>
  <si>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</si>
  <si>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</si>
  <si>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</si>
  <si>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</si>
  <si>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</si>
  <si>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</si>
  <si>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</si>
  <si>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</si>
  <si>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</si>
  <si>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</si>
  <si>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</si>
  <si>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</si>
  <si>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</si>
  <si>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</si>
  <si>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</si>
  <si>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</si>
  <si>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</si>
  <si>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</si>
  <si>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</si>
  <si>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</si>
  <si>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</si>
  <si>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</si>
  <si>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</si>
  <si>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</si>
  <si>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</si>
  <si>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</si>
  <si>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</si>
  <si>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</si>
  <si>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</si>
  <si>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</si>
  <si>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</si>
  <si>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</si>
  <si>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</si>
  <si>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</si>
  <si>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</si>
  <si>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</si>
  <si>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</si>
  <si>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</si>
  <si>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</si>
  <si>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</si>
  <si>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</si>
  <si>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</si>
  <si>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</si>
  <si>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</si>
  <si>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</si>
  <si>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</si>
  <si>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</si>
  <si>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</si>
  <si>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</si>
  <si>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</si>
  <si>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</si>
  <si>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</si>
  <si>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</si>
  <si>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</si>
  <si>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</si>
  <si>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</si>
  <si>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</si>
  <si>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</si>
  <si>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</si>
  <si>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</si>
  <si>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</si>
  <si>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</si>
  <si>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</si>
  <si>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</si>
  <si>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</si>
  <si>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</si>
  <si>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</si>
  <si>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</si>
  <si>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</si>
  <si>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</si>
  <si>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</si>
  <si>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</si>
  <si>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</si>
  <si>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</si>
  <si>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</si>
  <si>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</si>
  <si>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</si>
  <si>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</si>
  <si>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</si>
  <si>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</si>
  <si>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</si>
  <si>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</si>
  <si>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</si>
  <si>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</si>
  <si>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</si>
  <si>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</si>
  <si>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</si>
  <si>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</si>
  <si>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</si>
  <si>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</si>
  <si>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</si>
  <si>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</si>
  <si>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</si>
  <si>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</si>
  <si>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</si>
  <si>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</si>
  <si>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</si>
  <si>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</si>
  <si>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</si>
  <si>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</si>
  <si>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</si>
  <si>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</si>
  <si>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</si>
  <si>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</si>
  <si>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</si>
  <si>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</si>
  <si>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</si>
  <si>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</si>
  <si>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</si>
  <si>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</si>
  <si>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</si>
  <si>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</si>
  <si>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</si>
  <si>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</si>
  <si>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</si>
  <si>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</si>
  <si>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</si>
  <si>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</si>
  <si>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</si>
  <si>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</si>
  <si>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</si>
  <si>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</si>
  <si>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</si>
  <si>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</si>
  <si>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</si>
  <si>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</si>
  <si>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</si>
  <si>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</si>
  <si>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</si>
  <si>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</si>
  <si>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</si>
  <si>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</si>
  <si>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</si>
  <si>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</si>
  <si>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</si>
  <si>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</si>
  <si>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</si>
  <si>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</si>
  <si>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</si>
  <si>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</si>
  <si>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</si>
  <si>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</si>
  <si>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</si>
  <si>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</si>
  <si>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</si>
  <si>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</si>
  <si>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</si>
  <si>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</si>
  <si>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</si>
  <si>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</si>
  <si>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</si>
  <si>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</si>
  <si>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</si>
  <si>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</si>
  <si>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</si>
  <si>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</si>
  <si>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</si>
  <si>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</si>
  <si>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</si>
  <si>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</si>
  <si>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</si>
  <si>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</si>
  <si>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</si>
  <si>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</si>
  <si>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</si>
  <si>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</si>
  <si>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</si>
  <si>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</si>
  <si>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</si>
  <si>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</si>
  <si>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</si>
  <si>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</si>
  <si>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</si>
  <si>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</si>
  <si>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</si>
  <si>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</si>
  <si>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</si>
  <si>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</si>
  <si>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</si>
  <si>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</si>
  <si>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</si>
  <si>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</si>
  <si>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</si>
  <si>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</si>
  <si>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</si>
  <si>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</si>
  <si>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</si>
  <si>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</si>
  <si>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</si>
  <si>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</si>
  <si>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</si>
  <si>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</si>
  <si>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</si>
  <si>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</si>
  <si>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</si>
  <si>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</si>
  <si>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</si>
  <si>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</si>
  <si>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</si>
  <si>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</si>
  <si>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</si>
  <si>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</si>
  <si>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</si>
  <si>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</si>
  <si>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</si>
  <si>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</si>
  <si>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</si>
  <si>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</si>
  <si>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</si>
  <si>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</si>
  <si>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</si>
  <si>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</si>
  <si>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</si>
  <si>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</si>
  <si>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</si>
  <si>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</si>
  <si>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</si>
  <si>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</si>
  <si>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</si>
  <si>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</si>
  <si>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</si>
  <si>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</si>
  <si>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</si>
  <si>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</si>
  <si>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</si>
  <si>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</si>
  <si>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</si>
  <si>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</si>
  <si>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</si>
  <si>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</si>
  <si>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</si>
  <si>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</si>
  <si>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</si>
  <si>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</si>
  <si>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</si>
  <si>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</si>
  <si>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</si>
  <si>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</si>
  <si>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</si>
  <si>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</si>
  <si>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</si>
  <si>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</si>
  <si>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</si>
  <si>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</si>
  <si>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</si>
  <si>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</si>
  <si>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</si>
  <si>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</si>
  <si>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</si>
  <si>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</si>
  <si>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</si>
  <si>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</si>
  <si>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</si>
  <si>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</si>
  <si>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</si>
  <si>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</si>
  <si>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</si>
  <si>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</si>
  <si>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</si>
  <si>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</si>
  <si>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</si>
  <si>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</si>
  <si>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</si>
  <si>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</si>
  <si>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</si>
  <si>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</si>
  <si>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</si>
  <si>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</si>
  <si>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</si>
  <si>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</si>
  <si>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</si>
  <si>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</si>
  <si>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</si>
  <si>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</si>
  <si>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</si>
  <si>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</si>
  <si>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</si>
  <si>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</si>
  <si>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</si>
  <si>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</si>
  <si>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</si>
  <si>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</si>
  <si>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</si>
  <si>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</si>
  <si>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</si>
  <si>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</si>
  <si>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</si>
  <si>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</si>
  <si>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</si>
  <si>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</si>
  <si>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</si>
  <si>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</si>
  <si>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</si>
  <si>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</si>
  <si>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</si>
  <si>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</si>
  <si>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</si>
  <si>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</si>
  <si>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</si>
  <si>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</si>
  <si>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</si>
  <si>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</si>
  <si>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</si>
  <si>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</si>
  <si>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</si>
  <si>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</si>
  <si>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</si>
  <si>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</si>
  <si>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</si>
  <si>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</si>
  <si>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</si>
  <si>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</si>
  <si>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</si>
  <si>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</si>
  <si>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</si>
  <si>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</si>
  <si>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</si>
  <si>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</si>
  <si>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</si>
  <si>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</si>
  <si>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</si>
  <si>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</si>
  <si>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</si>
  <si>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</si>
  <si>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</si>
  <si>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</si>
  <si>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</si>
  <si>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</si>
  <si>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</si>
  <si>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</si>
  <si>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</si>
  <si>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</si>
  <si>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</si>
  <si>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</si>
  <si>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</si>
  <si>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</si>
  <si>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</si>
  <si>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</si>
  <si>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</si>
  <si>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</si>
  <si>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</si>
  <si>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</si>
  <si>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</si>
  <si>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</si>
  <si>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</si>
  <si>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</si>
  <si>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</si>
  <si>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</si>
  <si>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</si>
  <si>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</si>
  <si>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</si>
  <si>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</si>
  <si>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</si>
  <si>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</si>
  <si>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</si>
  <si>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</si>
  <si>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</si>
  <si>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</si>
  <si>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</si>
  <si>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</si>
  <si>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</si>
  <si>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</si>
  <si>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</si>
  <si>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</si>
  <si>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</si>
  <si>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</si>
  <si>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</si>
  <si>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</si>
  <si>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</si>
  <si>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</si>
  <si>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</si>
  <si>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</si>
  <si>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</si>
  <si>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</si>
  <si>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</si>
  <si>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</si>
  <si>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</si>
  <si>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</si>
  <si>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</si>
  <si>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</si>
  <si>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</si>
  <si>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</si>
  <si>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</si>
  <si>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</si>
  <si>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</si>
  <si>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</si>
  <si>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</si>
  <si>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</si>
  <si>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</si>
  <si>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</si>
  <si>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</si>
  <si>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</si>
  <si>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</si>
  <si>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</si>
  <si>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</si>
  <si>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</si>
  <si>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</si>
  <si>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</si>
  <si>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</si>
  <si>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</si>
  <si>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</si>
  <si>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</si>
  <si>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</si>
  <si>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</si>
  <si>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</si>
  <si>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</si>
  <si>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</si>
  <si>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</si>
  <si>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</si>
  <si>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</si>
  <si>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</si>
  <si>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</si>
  <si>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</si>
  <si>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</si>
  <si>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</si>
  <si>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</si>
  <si>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</si>
  <si>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</si>
  <si>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</si>
  <si>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</si>
  <si>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</si>
  <si>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</si>
  <si>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</si>
  <si>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</si>
  <si>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</si>
  <si>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</si>
  <si>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</si>
  <si>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</si>
  <si>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</si>
  <si>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</si>
  <si>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</si>
  <si>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</si>
  <si>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</si>
  <si>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</si>
  <si>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</si>
  <si>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</si>
  <si>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</si>
  <si>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</si>
  <si>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</si>
  <si>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</si>
  <si>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</si>
  <si>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</si>
  <si>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</si>
  <si>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</si>
  <si>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</si>
  <si>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</si>
  <si>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</si>
  <si>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</si>
  <si>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</si>
  <si>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</si>
  <si>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</si>
  <si>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</si>
  <si>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</si>
  <si>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</si>
  <si>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</si>
  <si>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</si>
  <si>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</si>
  <si>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</si>
  <si>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</si>
  <si>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</si>
  <si>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</si>
  <si>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</si>
  <si>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</si>
  <si>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</si>
  <si>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</si>
  <si>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</si>
  <si>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</si>
  <si>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</si>
  <si>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</si>
  <si>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</si>
  <si>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</si>
  <si>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</si>
  <si>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</si>
  <si>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</si>
  <si>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</si>
  <si>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</si>
  <si>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</si>
  <si>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</si>
  <si>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</si>
  <si>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</si>
  <si>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</si>
  <si>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</si>
  <si>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</si>
  <si>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</si>
  <si>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</si>
  <si>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</si>
  <si>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</si>
  <si>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</si>
  <si>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</si>
  <si>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</si>
  <si>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</si>
  <si>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</si>
  <si>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</si>
  <si>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</si>
  <si>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</si>
  <si>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</si>
  <si>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</si>
  <si>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</si>
  <si>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</si>
  <si>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</si>
  <si>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</si>
  <si>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</si>
  <si>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</si>
  <si>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</si>
  <si>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</si>
  <si>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</si>
  <si>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</si>
  <si>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</si>
  <si>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</si>
  <si>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</si>
  <si>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</si>
  <si>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</si>
  <si>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</si>
  <si>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</si>
  <si>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</si>
  <si>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</si>
  <si>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</si>
  <si>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</si>
  <si>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</si>
  <si>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</si>
  <si>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</si>
  <si>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</si>
  <si>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</si>
  <si>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</si>
  <si>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</si>
  <si>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</si>
  <si>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</si>
  <si>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</si>
  <si>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</si>
  <si>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</si>
  <si>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</si>
  <si>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</si>
  <si>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</si>
  <si>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</si>
  <si>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</si>
  <si>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</si>
  <si>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</si>
  <si>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</si>
  <si>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</si>
  <si>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</si>
  <si>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</si>
  <si>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</si>
  <si>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</si>
  <si>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</si>
  <si>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</si>
  <si>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</si>
  <si>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</si>
  <si>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</si>
  <si>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</si>
  <si>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</si>
  <si>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</si>
  <si>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</si>
  <si>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</si>
  <si>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</si>
  <si>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</si>
  <si>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</si>
  <si>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</si>
  <si>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</si>
  <si>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</si>
  <si>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</si>
  <si>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</si>
  <si>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</si>
  <si>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</si>
  <si>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</si>
  <si>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</si>
  <si>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</si>
  <si>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</si>
  <si>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</si>
  <si>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</si>
  <si>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</si>
  <si>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</si>
  <si>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</si>
  <si>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</si>
  <si>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</si>
  <si>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</si>
  <si>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</si>
  <si>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</si>
  <si>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</si>
  <si>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</si>
  <si>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</si>
  <si>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</si>
  <si>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</si>
  <si>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</si>
  <si>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</si>
  <si>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</si>
  <si>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</si>
  <si>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</si>
  <si>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</si>
  <si>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</si>
  <si>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</si>
  <si>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</si>
  <si>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</si>
  <si>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</si>
  <si>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</si>
  <si>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</si>
  <si>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</si>
  <si>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</si>
  <si>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</si>
  <si>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</si>
  <si>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</si>
  <si>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</si>
  <si>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</si>
  <si>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</si>
  <si>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</si>
  <si>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</si>
  <si>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</si>
  <si>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</si>
  <si>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</si>
  <si>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</si>
  <si>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</si>
  <si>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</si>
  <si>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</si>
  <si>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</si>
  <si>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</si>
  <si>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</si>
  <si>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</si>
  <si>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</si>
  <si>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</si>
  <si>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</si>
  <si>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</si>
  <si>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</si>
  <si>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</si>
  <si>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</si>
  <si>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</si>
  <si>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</si>
  <si>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</si>
  <si>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</si>
  <si>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</si>
  <si>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</si>
  <si>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</si>
  <si>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</si>
  <si>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</si>
  <si>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</si>
  <si>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</si>
  <si>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</si>
  <si>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</si>
  <si>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</si>
  <si>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</si>
  <si>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</si>
  <si>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</si>
  <si>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</si>
  <si>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</si>
  <si>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</si>
  <si>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</si>
  <si>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</si>
  <si>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</si>
  <si>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</si>
  <si>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</si>
  <si>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</si>
  <si>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</si>
  <si>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</si>
  <si>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</si>
  <si>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</si>
  <si>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</si>
  <si>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</si>
  <si>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</si>
  <si>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</si>
  <si>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</si>
  <si>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</si>
  <si>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</si>
  <si>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</si>
  <si>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</si>
  <si>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</si>
  <si>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</si>
  <si>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</si>
  <si>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</si>
  <si>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</si>
  <si>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</si>
  <si>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</si>
  <si>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</si>
  <si>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</si>
  <si>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</si>
  <si>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</si>
  <si>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</si>
  <si>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</si>
  <si>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</si>
  <si>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</si>
  <si>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</si>
  <si>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</si>
  <si>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</si>
  <si>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</si>
  <si>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</si>
  <si>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</si>
  <si>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</si>
  <si>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</si>
  <si>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</si>
  <si>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</si>
  <si>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</si>
  <si>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</si>
  <si>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</si>
  <si>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</si>
  <si>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</si>
  <si>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</si>
  <si>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</si>
  <si>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</si>
  <si>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</si>
  <si>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</si>
  <si>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</si>
  <si>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</si>
  <si>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</si>
  <si>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</si>
  <si>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</si>
  <si>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</si>
  <si>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</si>
  <si>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</si>
  <si>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</si>
  <si>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</si>
  <si>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</si>
  <si>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</si>
  <si>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</si>
  <si>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</si>
  <si>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</si>
  <si>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</si>
  <si>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</si>
  <si>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</si>
  <si>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</si>
  <si>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</si>
  <si>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</si>
  <si>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</si>
  <si>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</si>
  <si>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</si>
  <si>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</si>
  <si>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</si>
  <si>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</si>
  <si>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</si>
  <si>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</si>
  <si>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</si>
  <si>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</si>
  <si>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</si>
  <si>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</si>
  <si>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</si>
  <si>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</si>
  <si>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</si>
  <si>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</si>
  <si>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</si>
  <si>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</si>
  <si>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</si>
  <si>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</si>
  <si>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</si>
  <si>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</si>
  <si>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</si>
  <si>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</si>
  <si>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</si>
  <si>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</si>
  <si>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</si>
  <si>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</si>
  <si>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</si>
  <si>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</si>
  <si>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</si>
  <si>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</si>
  <si>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</si>
  <si>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</si>
  <si>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</si>
  <si>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</si>
  <si>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</si>
  <si>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</si>
  <si>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</si>
  <si>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</si>
  <si>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</si>
  <si>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</si>
  <si>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</si>
  <si>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</si>
  <si>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</si>
  <si>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</si>
  <si>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</si>
  <si>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</si>
  <si>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</si>
  <si>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</si>
  <si>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</si>
  <si>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</si>
  <si>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</si>
  <si>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</si>
  <si>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</si>
  <si>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</si>
  <si>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</si>
  <si>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</si>
  <si>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</si>
  <si>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</si>
  <si>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</si>
  <si>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</si>
  <si>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</si>
  <si>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</si>
  <si>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</si>
  <si>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</si>
  <si>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</si>
  <si>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</si>
  <si>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</si>
  <si>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</si>
  <si>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</si>
  <si>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</si>
  <si>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</si>
  <si>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</si>
  <si>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</si>
  <si>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</si>
  <si>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</si>
  <si>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</si>
  <si>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</si>
  <si>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</si>
  <si>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</si>
  <si>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</si>
  <si>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</si>
  <si>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</si>
  <si>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</si>
  <si>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</si>
  <si>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</si>
  <si>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</si>
  <si>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</si>
  <si>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</si>
  <si>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</si>
  <si>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</si>
  <si>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</si>
  <si>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</si>
  <si>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</si>
  <si>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</si>
  <si>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</si>
  <si>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</si>
  <si>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</si>
  <si>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</si>
  <si>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</si>
  <si>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</si>
  <si>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</si>
  <si>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</si>
  <si>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</si>
  <si>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</si>
  <si>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</si>
  <si>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</si>
  <si>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</si>
  <si>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</si>
  <si>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</si>
  <si>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</si>
  <si>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</si>
  <si>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</si>
  <si>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</si>
  <si>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</si>
  <si>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</si>
  <si>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</si>
  <si>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</si>
  <si>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</si>
  <si>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</si>
  <si>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</si>
  <si>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</si>
  <si>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</si>
  <si>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</si>
  <si>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</si>
  <si>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</si>
  <si>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</si>
  <si>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</si>
  <si>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</si>
  <si>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</si>
  <si>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</si>
  <si>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</si>
  <si>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</si>
  <si>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</si>
  <si>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</si>
  <si>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</si>
  <si>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</si>
  <si>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</si>
  <si>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</si>
  <si>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</si>
  <si>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</si>
  <si>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</si>
  <si>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</si>
  <si>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</si>
  <si>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</si>
  <si>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</si>
  <si>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</si>
  <si>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</si>
  <si>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</si>
  <si>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</si>
  <si>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</si>
  <si>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</si>
  <si>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</si>
  <si>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</si>
  <si>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</si>
  <si>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</si>
  <si>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</si>
  <si>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</si>
  <si>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</si>
  <si>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</si>
  <si>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</si>
  <si>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</si>
  <si>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</si>
  <si>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</si>
  <si>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</si>
  <si>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</si>
  <si>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</si>
  <si>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</si>
  <si>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</si>
  <si>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</si>
  <si>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</si>
  <si>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</si>
  <si>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</si>
  <si>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</si>
  <si>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</si>
  <si>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</si>
  <si>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</si>
  <si>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</si>
  <si>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</si>
  <si>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</si>
  <si>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</si>
  <si>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</si>
  <si>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</si>
  <si>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</si>
  <si>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</si>
  <si>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</si>
  <si>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</si>
  <si>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</si>
  <si>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</si>
  <si>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</si>
  <si>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</si>
  <si>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</si>
  <si>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</si>
  <si>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</si>
  <si>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</si>
  <si>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</si>
  <si>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</si>
  <si>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</si>
  <si>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</si>
  <si>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</si>
  <si>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</si>
  <si>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</si>
  <si>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</si>
  <si>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</si>
  <si>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</si>
  <si>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</si>
  <si>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</si>
  <si>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</si>
  <si>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</si>
  <si>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</si>
  <si>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</si>
  <si>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</si>
  <si>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</si>
  <si>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</si>
  <si>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</si>
  <si>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</si>
  <si>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</si>
  <si>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</si>
  <si>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</si>
  <si>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</si>
  <si>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</si>
  <si>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</si>
  <si>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</si>
  <si>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</si>
  <si>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</si>
  <si>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</si>
  <si>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</si>
  <si>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</si>
  <si>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</si>
  <si>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</si>
  <si>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</si>
  <si>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</si>
  <si>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</si>
  <si>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</si>
  <si>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</si>
  <si>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</si>
  <si>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</si>
  <si>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</si>
  <si>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</si>
  <si>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</si>
  <si>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</si>
  <si>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</si>
  <si>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</si>
  <si>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</si>
  <si>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</si>
  <si>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</si>
  <si>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</si>
  <si>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</si>
  <si>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</si>
  <si>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</si>
  <si>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</si>
  <si>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</si>
  <si>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</si>
  <si>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</si>
  <si>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</si>
  <si>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</si>
  <si>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</si>
  <si>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</si>
  <si>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</si>
  <si>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</si>
  <si>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</si>
  <si>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</si>
  <si>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</si>
  <si>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</si>
  <si>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</si>
  <si>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</si>
  <si>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</si>
  <si>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</si>
  <si>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</si>
  <si>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</si>
  <si>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</si>
  <si>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</si>
  <si>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</si>
  <si>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</si>
  <si>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</si>
  <si>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</si>
  <si>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</si>
  <si>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</si>
  <si>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</si>
  <si>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</si>
  <si>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</si>
  <si>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</si>
  <si>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</si>
  <si>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</si>
  <si>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</si>
  <si>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</si>
  <si>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</si>
  <si>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</si>
  <si>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</si>
  <si>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</si>
  <si>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</si>
  <si>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</si>
  <si>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</si>
  <si>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</si>
  <si>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</si>
  <si>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</si>
  <si>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</si>
  <si>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</si>
  <si>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</si>
  <si>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</si>
  <si>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</si>
  <si>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</si>
  <si>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</si>
  <si>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</si>
  <si>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</si>
  <si>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</si>
  <si>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</si>
  <si>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</si>
  <si>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</si>
  <si>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</si>
  <si>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</si>
  <si>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</si>
  <si>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</si>
  <si>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</si>
  <si>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</si>
  <si>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</si>
  <si>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</si>
  <si>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</si>
  <si>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</si>
  <si>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</si>
  <si>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</si>
  <si>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</si>
  <si>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</si>
  <si>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</si>
  <si>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</si>
  <si>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</si>
  <si>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</si>
  <si>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</si>
  <si>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</si>
  <si>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</si>
  <si>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</si>
  <si>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</si>
  <si>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</si>
  <si>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</si>
  <si>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</si>
  <si>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</si>
  <si>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</si>
  <si>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</si>
  <si>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</si>
  <si>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</si>
  <si>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</si>
  <si>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</si>
  <si>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</si>
  <si>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</si>
  <si>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</si>
  <si>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</si>
  <si>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</si>
  <si>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</si>
  <si>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</si>
  <si>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</si>
  <si>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</si>
  <si>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</si>
  <si>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</si>
  <si>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</si>
  <si>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</si>
  <si>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</si>
  <si>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</si>
  <si>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</si>
  <si>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</si>
  <si>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</si>
  <si>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</si>
  <si>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</si>
  <si>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</si>
  <si>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</si>
  <si>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</si>
  <si>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</si>
  <si>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</si>
  <si>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</si>
  <si>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</si>
  <si>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</si>
  <si>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</si>
  <si>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</si>
  <si>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</si>
  <si>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</si>
  <si>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</si>
  <si>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</si>
  <si>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</si>
  <si>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</si>
  <si>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</si>
  <si>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</si>
  <si>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</si>
  <si>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</si>
  <si>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</si>
  <si>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</si>
  <si>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</si>
  <si>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</si>
  <si>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</si>
  <si>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</si>
  <si>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</si>
  <si>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</si>
  <si>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</si>
  <si>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</si>
  <si>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</si>
  <si>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</si>
  <si>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</si>
  <si>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</si>
  <si>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</si>
  <si>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</si>
  <si>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</si>
  <si>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</si>
  <si>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</si>
  <si>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</si>
  <si>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</si>
  <si>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</si>
  <si>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</si>
  <si>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</si>
  <si>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</si>
  <si>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</si>
  <si>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</si>
  <si>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</si>
  <si>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</si>
  <si>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</si>
  <si>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</si>
  <si>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</si>
  <si>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</si>
  <si>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</si>
  <si>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</si>
  <si>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</si>
  <si>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</si>
  <si>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</si>
  <si>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</si>
  <si>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</si>
  <si>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</si>
  <si>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</si>
  <si>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</si>
  <si>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</si>
  <si>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</si>
  <si>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</si>
  <si>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</si>
  <si>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</si>
  <si>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</si>
  <si>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</si>
  <si>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</si>
  <si>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</si>
  <si>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</si>
  <si>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</si>
  <si>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</si>
  <si>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</si>
  <si>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</si>
  <si>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</si>
  <si>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</si>
  <si>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</si>
  <si>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</si>
  <si>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</si>
  <si>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</si>
  <si>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</si>
  <si>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</si>
  <si>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</si>
  <si>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</si>
  <si>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</si>
  <si>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</si>
  <si>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</si>
  <si>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</si>
  <si>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</si>
  <si>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</si>
  <si>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</si>
  <si>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</si>
  <si>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</si>
  <si>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</si>
  <si>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</si>
  <si>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</si>
  <si>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</si>
  <si>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</si>
  <si>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</si>
  <si>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</si>
  <si>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</si>
  <si>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</si>
  <si>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</si>
  <si>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</si>
  <si>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</si>
  <si>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</si>
  <si>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</si>
  <si>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</si>
  <si>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</si>
  <si>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</si>
  <si>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</si>
  <si>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</si>
  <si>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</si>
  <si>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</si>
  <si>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</si>
  <si>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</si>
  <si>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</si>
  <si>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</si>
  <si>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</si>
  <si>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</si>
  <si>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</si>
  <si>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</si>
  <si>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</si>
  <si>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</si>
  <si>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</si>
  <si>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</si>
  <si>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</si>
  <si>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</si>
  <si>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</si>
  <si>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</si>
  <si>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</si>
  <si>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</si>
  <si>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</si>
  <si>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</si>
  <si>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</si>
  <si>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</si>
  <si>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</si>
  <si>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</si>
  <si>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</si>
  <si>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</si>
  <si>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</si>
  <si>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</si>
  <si>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</si>
  <si>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</si>
  <si>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</si>
  <si>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</si>
  <si>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</si>
  <si>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</si>
  <si>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</si>
  <si>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</si>
  <si>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</si>
  <si>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</si>
  <si>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</si>
  <si>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</si>
  <si>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</si>
  <si>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</si>
  <si>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</si>
  <si>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</si>
  <si>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</si>
  <si>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</si>
  <si>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</si>
  <si>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</si>
  <si>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</si>
  <si>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</si>
  <si>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</si>
  <si>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</si>
  <si>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</si>
  <si>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</si>
  <si>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</si>
  <si>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</si>
  <si>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</si>
  <si>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</si>
  <si>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</si>
  <si>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</si>
  <si>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</si>
  <si>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</si>
  <si>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</si>
  <si>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</si>
  <si>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</si>
  <si>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</si>
  <si>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</si>
  <si>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</si>
  <si>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</si>
  <si>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</si>
  <si>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</si>
  <si>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</si>
  <si>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</si>
  <si>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</si>
  <si>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</si>
  <si>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</si>
  <si>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</si>
  <si>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</si>
  <si>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</si>
  <si>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</si>
  <si>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</si>
  <si>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</si>
  <si>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</si>
  <si>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</si>
  <si>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</si>
  <si>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</si>
  <si>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</si>
  <si>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</si>
  <si>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</si>
  <si>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</si>
  <si>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</si>
  <si>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</si>
  <si>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</si>
  <si>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</si>
  <si>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</si>
  <si>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</si>
  <si>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</si>
  <si>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</si>
  <si>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</si>
  <si>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</si>
  <si>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</si>
  <si>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</si>
  <si>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</si>
  <si>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</si>
  <si>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</si>
  <si>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</si>
  <si>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</si>
  <si>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</si>
  <si>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</si>
  <si>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</si>
  <si>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</si>
  <si>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</si>
  <si>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</si>
  <si>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</si>
  <si>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</si>
  <si>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</si>
  <si>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</si>
  <si>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</si>
  <si>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</si>
  <si>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</si>
  <si>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</si>
  <si>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</si>
  <si>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</si>
  <si>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</si>
  <si>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</si>
  <si>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</si>
  <si>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</si>
  <si>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</si>
  <si>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</si>
  <si>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</si>
  <si>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</si>
  <si>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</si>
  <si>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</si>
  <si>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</si>
  <si>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</si>
  <si>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</si>
  <si>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</si>
  <si>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</si>
  <si>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</si>
  <si>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</si>
  <si>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</si>
  <si>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</si>
  <si>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</si>
  <si>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</si>
  <si>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</si>
  <si>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</si>
  <si>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</si>
  <si>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</si>
  <si>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</si>
  <si>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</si>
  <si>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</si>
  <si>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</si>
  <si>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</si>
  <si>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</si>
  <si>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</si>
  <si>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</si>
  <si>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</si>
  <si>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</si>
  <si>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</si>
  <si>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</si>
  <si>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</si>
  <si>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</si>
  <si>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</si>
  <si>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</si>
  <si>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</si>
  <si>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</si>
  <si>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</si>
  <si>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</si>
  <si>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</si>
  <si>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</si>
  <si>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</si>
  <si>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</si>
  <si>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</si>
  <si>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</si>
  <si>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</si>
  <si>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</si>
  <si>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</si>
  <si>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</si>
  <si>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</si>
  <si>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</si>
  <si>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</si>
  <si>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</si>
  <si>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</si>
  <si>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</si>
  <si>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</si>
  <si>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</si>
  <si>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</si>
  <si>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</si>
  <si>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</si>
  <si>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</si>
  <si>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</si>
  <si>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</si>
  <si>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</si>
  <si>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</si>
  <si>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</si>
  <si>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</si>
  <si>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</si>
  <si>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</si>
  <si>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</si>
  <si>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</si>
  <si>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</si>
  <si>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</si>
  <si>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</si>
  <si>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</si>
  <si>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</si>
  <si>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</si>
  <si>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</si>
  <si>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</si>
  <si>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</si>
  <si>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</si>
  <si>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</si>
  <si>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</si>
  <si>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</si>
  <si>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</si>
  <si>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</si>
  <si>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</si>
  <si>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</si>
  <si>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</si>
  <si>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</si>
  <si>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</si>
  <si>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</si>
  <si>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</si>
  <si>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</si>
  <si>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</si>
  <si>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</si>
  <si>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</si>
  <si>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</si>
  <si>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</si>
  <si>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</si>
  <si>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</si>
  <si>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</si>
  <si>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</si>
  <si>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</si>
  <si>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</si>
  <si>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</si>
  <si>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</si>
  <si>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</si>
  <si>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</si>
  <si>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</si>
  <si>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</si>
  <si>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</si>
  <si>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</si>
  <si>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</si>
  <si>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</si>
  <si>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</si>
  <si>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</si>
  <si>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</si>
  <si>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</si>
  <si>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</si>
  <si>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</si>
  <si>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</si>
  <si>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</si>
  <si>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</si>
  <si>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</si>
  <si>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</si>
  <si>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</si>
  <si>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</si>
  <si>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</si>
  <si>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</si>
  <si>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</si>
  <si>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</si>
  <si>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</si>
  <si>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</si>
  <si>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</si>
  <si>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</si>
  <si>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</si>
  <si>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</si>
  <si>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</si>
  <si>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</si>
  <si>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</si>
  <si>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</si>
  <si>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</si>
  <si>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</si>
  <si>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</si>
  <si>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</si>
  <si>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</si>
  <si>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</si>
  <si>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</si>
  <si>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</si>
  <si>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</si>
  <si>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</si>
  <si>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</si>
  <si>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</si>
  <si>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</si>
  <si>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</si>
  <si>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</si>
  <si>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</si>
  <si>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</si>
  <si>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</si>
  <si>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</si>
  <si>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</si>
  <si>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</si>
  <si>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</si>
  <si>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</si>
  <si>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</si>
  <si>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</si>
  <si>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</si>
  <si>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</si>
  <si>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</si>
  <si>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</si>
  <si>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</si>
  <si>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</si>
  <si>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</si>
  <si>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</si>
  <si>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</si>
  <si>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</si>
  <si>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</si>
  <si>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</si>
  <si>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</si>
  <si>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</si>
  <si>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</si>
  <si>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</si>
  <si>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</si>
  <si>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</si>
  <si>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</si>
  <si>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</si>
  <si>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</si>
  <si>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</si>
  <si>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</si>
  <si>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</si>
  <si>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</si>
  <si>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</si>
  <si>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</si>
  <si>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</si>
  <si>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</si>
  <si>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</si>
  <si>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</si>
  <si>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</si>
  <si>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</si>
  <si>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</si>
  <si>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</si>
  <si>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</si>
  <si>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</si>
  <si>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</si>
  <si>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</si>
  <si>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</si>
  <si>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</si>
  <si>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</si>
  <si>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</si>
  <si>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</si>
  <si>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</si>
  <si>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</si>
  <si>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</si>
  <si>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</si>
  <si>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</si>
  <si>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</si>
  <si>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</si>
  <si>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</si>
  <si>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</si>
  <si>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</si>
  <si>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</si>
  <si>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</si>
  <si>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</si>
  <si>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</si>
  <si>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</si>
  <si>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</si>
  <si>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</si>
  <si>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</si>
  <si>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</si>
  <si>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</si>
  <si>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</si>
  <si>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</si>
  <si>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</si>
  <si>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</si>
  <si>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</si>
  <si>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</si>
  <si>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</si>
  <si>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</si>
  <si>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</si>
  <si>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</si>
  <si>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</si>
  <si>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</si>
  <si>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</si>
  <si>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</si>
  <si>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</si>
  <si>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</si>
  <si>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</si>
  <si>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</si>
  <si>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</si>
  <si>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</si>
  <si>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</si>
  <si>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</si>
  <si>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</si>
  <si>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</si>
  <si>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</si>
  <si>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</si>
  <si>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</si>
  <si>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</si>
  <si>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</si>
  <si>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</si>
  <si>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</si>
  <si>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</si>
  <si>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</si>
  <si>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</si>
  <si>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</si>
  <si>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</si>
  <si>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</si>
  <si>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</si>
  <si>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</si>
  <si>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</si>
  <si>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</si>
  <si>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</si>
  <si>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</si>
  <si>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</si>
  <si>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</si>
  <si>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</si>
  <si>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</si>
  <si>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</si>
  <si>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</si>
  <si>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</si>
  <si>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</si>
  <si>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</si>
  <si>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</si>
  <si>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</si>
  <si>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</si>
  <si>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</si>
  <si>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核定资产</t>
  </si>
  <si>
    <t>房地产市场价值</t>
  </si>
  <si>
    <t>北京市</t>
  </si>
  <si>
    <t>自然人</t>
  </si>
  <si>
    <t>中楼层</t>
    <phoneticPr fontId="134" type="noConversion"/>
  </si>
  <si>
    <t>低楼层</t>
    <phoneticPr fontId="134" type="noConversion"/>
  </si>
  <si>
    <t>高楼层</t>
    <phoneticPr fontId="134" type="noConversion"/>
  </si>
  <si>
    <t>南北</t>
    <phoneticPr fontId="134" type="noConversion"/>
  </si>
  <si>
    <t>西南</t>
    <phoneticPr fontId="134" type="noConversion"/>
  </si>
  <si>
    <t>有</t>
  </si>
  <si>
    <t>与级别开发程度一致</t>
  </si>
  <si>
    <t>地上</t>
  </si>
  <si>
    <t>是</t>
  </si>
  <si>
    <t>住宅</t>
    <phoneticPr fontId="7" type="noConversion"/>
  </si>
  <si>
    <t>成新度</t>
  </si>
  <si>
    <t>收益法 (元)</t>
  </si>
  <si>
    <t>钢混</t>
  </si>
  <si>
    <t>非生产用房</t>
  </si>
  <si>
    <t>押一</t>
  </si>
  <si>
    <t>比较法-住宅</t>
  </si>
  <si>
    <t>单套模式</t>
  </si>
  <si>
    <t>售价</t>
  </si>
  <si>
    <t>未包含在土地购买价格中</t>
  </si>
  <si>
    <t>已包含在土地取得成本中</t>
  </si>
  <si>
    <t>正常</t>
  </si>
  <si>
    <t>挂牌</t>
  </si>
  <si>
    <t>挂牌</t>
    <phoneticPr fontId="24" type="noConversion"/>
  </si>
  <si>
    <t>500米范围内</t>
  </si>
  <si>
    <t>地下</t>
  </si>
  <si>
    <t>收益法 (元)-车位</t>
  </si>
  <si>
    <t>收益法 (元)-车位</t>
    <phoneticPr fontId="16" type="noConversion"/>
  </si>
  <si>
    <t>成本法 (元) -车位</t>
    <phoneticPr fontId="16" type="noConversion"/>
  </si>
  <si>
    <t>楼层</t>
    <phoneticPr fontId="24" type="noConversion"/>
  </si>
  <si>
    <t>高楼层</t>
    <phoneticPr fontId="24" type="noConversion"/>
  </si>
  <si>
    <t>中楼层</t>
    <phoneticPr fontId="24" type="noConversion"/>
  </si>
  <si>
    <t>低楼层</t>
    <phoneticPr fontId="24" type="noConversion"/>
  </si>
  <si>
    <t>南北</t>
  </si>
  <si>
    <t>南北</t>
    <phoneticPr fontId="24" type="noConversion"/>
  </si>
  <si>
    <t>西南</t>
  </si>
  <si>
    <t>西南</t>
    <phoneticPr fontId="24" type="noConversion"/>
  </si>
  <si>
    <t>地下车位3062</t>
  </si>
  <si>
    <t>地下车位3062</t>
    <phoneticPr fontId="7" type="noConversion"/>
  </si>
  <si>
    <t>地下车位3063</t>
    <phoneticPr fontId="7" type="noConversion"/>
  </si>
  <si>
    <t>好</t>
  </si>
  <si>
    <t>25-30</t>
    <phoneticPr fontId="134" type="noConversion"/>
  </si>
  <si>
    <t>精装修</t>
  </si>
  <si>
    <t>精装修</t>
    <phoneticPr fontId="24" type="noConversion"/>
  </si>
  <si>
    <t>普通装修</t>
  </si>
  <si>
    <t>普通装修</t>
    <phoneticPr fontId="24" type="noConversion"/>
  </si>
  <si>
    <t>高层塔楼</t>
  </si>
  <si>
    <t>高层塔楼</t>
    <phoneticPr fontId="24" type="noConversion"/>
  </si>
  <si>
    <t>钢混</t>
    <phoneticPr fontId="24" type="noConversion"/>
  </si>
  <si>
    <t>较好</t>
  </si>
  <si>
    <t>较好</t>
    <phoneticPr fontId="24" type="noConversion"/>
  </si>
  <si>
    <t>物业公司管理</t>
  </si>
  <si>
    <t>物业公司管理</t>
    <phoneticPr fontId="24" type="noConversion"/>
  </si>
  <si>
    <t>七通</t>
  </si>
  <si>
    <t>七通</t>
    <phoneticPr fontId="24" type="noConversion"/>
  </si>
  <si>
    <t>2004</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</si>
</sst>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28" fillId="0" borderId="2" xfId="0" applyFont="1" applyBorder="1" applyAlignment="1" applyProtection="1">
      <alignment horizontal="center" vertical="center" wrapText="1"/>
      <protection locked="0"/>
    </xf>
    <xf numFmtId="0" fontId="95" fillId="5" borderId="0" xfId="0" applyFont="1" applyFill="1">
      <alignment vertical="center"/>
    </xf>
    <xf numFmtId="0" fontId="128" fillId="0" borderId="5"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0" fillId="2" borderId="41"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6">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599486</xdr:colOff>
      <xdr:row>26</xdr:row>
      <xdr:rowOff>28014</xdr:rowOff>
    </xdr:to>
    <xdr:pic>
      <xdr:nvPicPr>
        <xdr:cNvPr id="2" name="图片 1">
          <a:extLst>
            <a:ext uri="{FF2B5EF4-FFF2-40B4-BE49-F238E27FC236}">
              <a16:creationId xmlns:a16="http://schemas.microsoft.com/office/drawing/2014/main" id="{581DF996-6662-3EC3-F937-BFDC6B16B9FD}"/>
            </a:ext>
          </a:extLst>
        </xdr:cNvPr>
        <xdr:cNvPicPr>
          <a:picLocks noChangeAspect="1"/>
        </xdr:cNvPicPr>
      </xdr:nvPicPr>
      <xdr:blipFill>
        <a:blip xmlns:r="http://schemas.openxmlformats.org/officeDocument/2006/relationships" r:embed="rId1"/>
        <a:stretch>
          <a:fillRect/>
        </a:stretch>
      </xdr:blipFill>
      <xdr:spPr>
        <a:xfrm>
          <a:off x="0" y="0"/>
          <a:ext cx="4714286" cy="4485714"/>
        </a:xfrm>
        <a:prstGeom prst="rect">
          <a:avLst/>
        </a:prstGeom>
      </xdr:spPr>
    </xdr:pic>
    <xdr:clientData/>
  </xdr:twoCellAnchor>
  <xdr:twoCellAnchor editAs="oneCell">
    <xdr:from>
      <xdr:col>6</xdr:col>
      <xdr:colOff>609600</xdr:colOff>
      <xdr:row>0</xdr:row>
      <xdr:rowOff>0</xdr:rowOff>
    </xdr:from>
    <xdr:to>
      <xdr:col>19</xdr:col>
      <xdr:colOff>122771</xdr:colOff>
      <xdr:row>69</xdr:row>
      <xdr:rowOff>93759</xdr:rowOff>
    </xdr:to>
    <xdr:pic>
      <xdr:nvPicPr>
        <xdr:cNvPr id="3" name="图片 2">
          <a:extLst>
            <a:ext uri="{FF2B5EF4-FFF2-40B4-BE49-F238E27FC236}">
              <a16:creationId xmlns:a16="http://schemas.microsoft.com/office/drawing/2014/main" id="{00BF1B9C-EF06-1BD3-0C09-1C9FCBA3D588}"/>
            </a:ext>
          </a:extLst>
        </xdr:cNvPr>
        <xdr:cNvPicPr>
          <a:picLocks noChangeAspect="1"/>
        </xdr:cNvPicPr>
      </xdr:nvPicPr>
      <xdr:blipFill>
        <a:blip xmlns:r="http://schemas.openxmlformats.org/officeDocument/2006/relationships" r:embed="rId2"/>
        <a:stretch>
          <a:fillRect/>
        </a:stretch>
      </xdr:blipFill>
      <xdr:spPr>
        <a:xfrm>
          <a:off x="4724400" y="0"/>
          <a:ext cx="8428571" cy="11923809"/>
        </a:xfrm>
        <a:prstGeom prst="rect">
          <a:avLst/>
        </a:prstGeom>
      </xdr:spPr>
    </xdr:pic>
    <xdr:clientData/>
  </xdr:twoCellAnchor>
  <xdr:twoCellAnchor editAs="oneCell">
    <xdr:from>
      <xdr:col>24</xdr:col>
      <xdr:colOff>49367</xdr:colOff>
      <xdr:row>1</xdr:row>
      <xdr:rowOff>85724</xdr:rowOff>
    </xdr:from>
    <xdr:to>
      <xdr:col>34</xdr:col>
      <xdr:colOff>389409</xdr:colOff>
      <xdr:row>48</xdr:row>
      <xdr:rowOff>132093</xdr:rowOff>
    </xdr:to>
    <xdr:pic>
      <xdr:nvPicPr>
        <xdr:cNvPr id="4" name="图片 3">
          <a:extLst>
            <a:ext uri="{FF2B5EF4-FFF2-40B4-BE49-F238E27FC236}">
              <a16:creationId xmlns:a16="http://schemas.microsoft.com/office/drawing/2014/main" id="{83E1D71A-EBDA-BACB-662F-59AA58DA750E}"/>
            </a:ext>
          </a:extLst>
        </xdr:cNvPr>
        <xdr:cNvPicPr>
          <a:picLocks noChangeAspect="1"/>
        </xdr:cNvPicPr>
      </xdr:nvPicPr>
      <xdr:blipFill>
        <a:blip xmlns:r="http://schemas.openxmlformats.org/officeDocument/2006/relationships" r:embed="rId3"/>
        <a:stretch>
          <a:fillRect/>
        </a:stretch>
      </xdr:blipFill>
      <xdr:spPr>
        <a:xfrm>
          <a:off x="16508567" y="257174"/>
          <a:ext cx="7198042" cy="8104519"/>
        </a:xfrm>
        <a:prstGeom prst="rect">
          <a:avLst/>
        </a:prstGeom>
      </xdr:spPr>
    </xdr:pic>
    <xdr:clientData/>
  </xdr:twoCellAnchor>
  <xdr:twoCellAnchor editAs="oneCell">
    <xdr:from>
      <xdr:col>0</xdr:col>
      <xdr:colOff>0</xdr:colOff>
      <xdr:row>26</xdr:row>
      <xdr:rowOff>161925</xdr:rowOff>
    </xdr:from>
    <xdr:to>
      <xdr:col>6</xdr:col>
      <xdr:colOff>361390</xdr:colOff>
      <xdr:row>54</xdr:row>
      <xdr:rowOff>37515</xdr:rowOff>
    </xdr:to>
    <xdr:pic>
      <xdr:nvPicPr>
        <xdr:cNvPr id="5" name="图片 4">
          <a:extLst>
            <a:ext uri="{FF2B5EF4-FFF2-40B4-BE49-F238E27FC236}">
              <a16:creationId xmlns:a16="http://schemas.microsoft.com/office/drawing/2014/main" id="{1CBA0C14-83DB-3F97-57C2-F1367588BADF}"/>
            </a:ext>
          </a:extLst>
        </xdr:cNvPr>
        <xdr:cNvPicPr>
          <a:picLocks noChangeAspect="1"/>
        </xdr:cNvPicPr>
      </xdr:nvPicPr>
      <xdr:blipFill>
        <a:blip xmlns:r="http://schemas.openxmlformats.org/officeDocument/2006/relationships" r:embed="rId4"/>
        <a:stretch>
          <a:fillRect/>
        </a:stretch>
      </xdr:blipFill>
      <xdr:spPr>
        <a:xfrm>
          <a:off x="0" y="4619625"/>
          <a:ext cx="4476190" cy="4676190"/>
        </a:xfrm>
        <a:prstGeom prst="rect">
          <a:avLst/>
        </a:prstGeom>
      </xdr:spPr>
    </xdr:pic>
    <xdr:clientData/>
  </xdr:twoCellAnchor>
  <xdr:twoCellAnchor editAs="oneCell">
    <xdr:from>
      <xdr:col>19</xdr:col>
      <xdr:colOff>561975</xdr:colOff>
      <xdr:row>36</xdr:row>
      <xdr:rowOff>76200</xdr:rowOff>
    </xdr:from>
    <xdr:to>
      <xdr:col>23</xdr:col>
      <xdr:colOff>352108</xdr:colOff>
      <xdr:row>54</xdr:row>
      <xdr:rowOff>18671</xdr:rowOff>
    </xdr:to>
    <xdr:pic>
      <xdr:nvPicPr>
        <xdr:cNvPr id="6" name="图片 5">
          <a:extLst>
            <a:ext uri="{FF2B5EF4-FFF2-40B4-BE49-F238E27FC236}">
              <a16:creationId xmlns:a16="http://schemas.microsoft.com/office/drawing/2014/main" id="{55200E3A-FFD0-C549-1601-2ED706C83670}"/>
            </a:ext>
          </a:extLst>
        </xdr:cNvPr>
        <xdr:cNvPicPr>
          <a:picLocks noChangeAspect="1"/>
        </xdr:cNvPicPr>
      </xdr:nvPicPr>
      <xdr:blipFill>
        <a:blip xmlns:r="http://schemas.openxmlformats.org/officeDocument/2006/relationships" r:embed="rId5"/>
        <a:stretch>
          <a:fillRect/>
        </a:stretch>
      </xdr:blipFill>
      <xdr:spPr>
        <a:xfrm>
          <a:off x="13592175" y="6248400"/>
          <a:ext cx="2533333" cy="3028571"/>
        </a:xfrm>
        <a:prstGeom prst="rect">
          <a:avLst/>
        </a:prstGeom>
      </xdr:spPr>
    </xdr:pic>
    <xdr:clientData/>
  </xdr:twoCellAnchor>
  <xdr:twoCellAnchor editAs="oneCell">
    <xdr:from>
      <xdr:col>23</xdr:col>
      <xdr:colOff>352425</xdr:colOff>
      <xdr:row>32</xdr:row>
      <xdr:rowOff>28575</xdr:rowOff>
    </xdr:from>
    <xdr:to>
      <xdr:col>29</xdr:col>
      <xdr:colOff>475720</xdr:colOff>
      <xdr:row>53</xdr:row>
      <xdr:rowOff>66220</xdr:rowOff>
    </xdr:to>
    <xdr:pic>
      <xdr:nvPicPr>
        <xdr:cNvPr id="7" name="图片 6">
          <a:extLst>
            <a:ext uri="{FF2B5EF4-FFF2-40B4-BE49-F238E27FC236}">
              <a16:creationId xmlns:a16="http://schemas.microsoft.com/office/drawing/2014/main" id="{D8230BB1-1A3B-89F0-201C-3E870FA92145}"/>
            </a:ext>
          </a:extLst>
        </xdr:cNvPr>
        <xdr:cNvPicPr>
          <a:picLocks noChangeAspect="1"/>
        </xdr:cNvPicPr>
      </xdr:nvPicPr>
      <xdr:blipFill>
        <a:blip xmlns:r="http://schemas.openxmlformats.org/officeDocument/2006/relationships" r:embed="rId6"/>
        <a:stretch>
          <a:fillRect/>
        </a:stretch>
      </xdr:blipFill>
      <xdr:spPr>
        <a:xfrm>
          <a:off x="16125825" y="5514975"/>
          <a:ext cx="4238095" cy="3638095"/>
        </a:xfrm>
        <a:prstGeom prst="rect">
          <a:avLst/>
        </a:prstGeom>
      </xdr:spPr>
    </xdr:pic>
    <xdr:clientData/>
  </xdr:twoCellAnchor>
  <xdr:twoCellAnchor editAs="oneCell">
    <xdr:from>
      <xdr:col>19</xdr:col>
      <xdr:colOff>533400</xdr:colOff>
      <xdr:row>30</xdr:row>
      <xdr:rowOff>57150</xdr:rowOff>
    </xdr:from>
    <xdr:to>
      <xdr:col>23</xdr:col>
      <xdr:colOff>342581</xdr:colOff>
      <xdr:row>35</xdr:row>
      <xdr:rowOff>95138</xdr:rowOff>
    </xdr:to>
    <xdr:pic>
      <xdr:nvPicPr>
        <xdr:cNvPr id="8" name="图片 7">
          <a:extLst>
            <a:ext uri="{FF2B5EF4-FFF2-40B4-BE49-F238E27FC236}">
              <a16:creationId xmlns:a16="http://schemas.microsoft.com/office/drawing/2014/main" id="{9E8FBD98-8067-A36C-5BD8-27DE38D4CFB7}"/>
            </a:ext>
          </a:extLst>
        </xdr:cNvPr>
        <xdr:cNvPicPr>
          <a:picLocks noChangeAspect="1"/>
        </xdr:cNvPicPr>
      </xdr:nvPicPr>
      <xdr:blipFill>
        <a:blip xmlns:r="http://schemas.openxmlformats.org/officeDocument/2006/relationships" r:embed="rId7"/>
        <a:stretch>
          <a:fillRect/>
        </a:stretch>
      </xdr:blipFill>
      <xdr:spPr>
        <a:xfrm>
          <a:off x="13563600" y="5200650"/>
          <a:ext cx="2552381"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估价对象为北京市房地产，为所有。根据《国有土地使用证》[]，估价对象（分摊）出让国有建设用地使用权面积为0平方米，建筑面积为263.11平方米。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估价对象为北京市房地产,属开发建设的，该项目尚在开发建设中。根据《国有土地使用证》[]，估价对象（分摊）出让国有建设用地使用权面积为0平方米，规划建筑面积为263.11平方米。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2025年8月6日（评估专业人员实地查勘之日）</v>
      </c>
    </row>
    <row r="13" spans="1:2">
      <c r="A13" s="1119" t="s">
        <v>529</v>
      </c>
      <c r="B13" s="1120" t="str">
        <f>'预评函-1'!A18</f>
        <v>本次估价的“房地产价值”是指在正常市场情况下，在价值时点2025年8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本次评估采用的主估价方法为比较法和比较法。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263.11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9" sqref="G29"/>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3407</v>
      </c>
      <c r="AA1" s="1438" t="s">
        <v>3406</v>
      </c>
      <c r="AB1" s="1438" t="s">
        <v>3</v>
      </c>
    </row>
    <row r="2" spans="1:28">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3414</v>
      </c>
      <c r="Z2" s="1445" t="s">
        <v>2452</v>
      </c>
      <c r="AA2" s="1445" t="s">
        <v>3415</v>
      </c>
      <c r="AB2" s="1445" t="s">
        <v>2479</v>
      </c>
    </row>
    <row r="3" spans="1:28">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3416</v>
      </c>
    </row>
    <row r="6" spans="1:28">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3342</v>
      </c>
      <c r="X7" s="1445" t="s">
        <v>2449</v>
      </c>
      <c r="Z7" s="1445" t="s">
        <v>2462</v>
      </c>
      <c r="AB7" s="1445" t="s">
        <v>2488</v>
      </c>
    </row>
    <row r="8" spans="1:28">
      <c r="A8" s="1441" t="s">
        <v>1026</v>
      </c>
      <c r="B8" s="1441" t="s">
        <v>1027</v>
      </c>
      <c r="C8" s="1442" t="s">
        <v>319</v>
      </c>
      <c r="F8" s="1443" t="s">
        <v>1028</v>
      </c>
      <c r="H8" s="1443" t="s">
        <v>2577</v>
      </c>
      <c r="I8" s="1443" t="s">
        <v>3343</v>
      </c>
      <c r="X8" s="1445" t="s">
        <v>3417</v>
      </c>
      <c r="Z8" s="1445" t="s">
        <v>2464</v>
      </c>
      <c r="AB8" s="1445" t="s">
        <v>2490</v>
      </c>
    </row>
    <row r="9" spans="1:28">
      <c r="A9" s="1441" t="s">
        <v>1029</v>
      </c>
      <c r="B9" s="1441" t="s">
        <v>1030</v>
      </c>
      <c r="C9" s="1442" t="s">
        <v>320</v>
      </c>
      <c r="F9" s="1443" t="s">
        <v>1031</v>
      </c>
      <c r="H9" s="1443"/>
      <c r="I9" s="1445" t="s">
        <v>3344</v>
      </c>
      <c r="X9" s="1445" t="s">
        <v>3418</v>
      </c>
      <c r="Z9" s="1445" t="s">
        <v>2466</v>
      </c>
      <c r="AB9" s="1445" t="s">
        <v>2492</v>
      </c>
    </row>
    <row r="10" spans="1:28">
      <c r="A10" s="1441" t="s">
        <v>1032</v>
      </c>
      <c r="B10" s="1441" t="s">
        <v>1033</v>
      </c>
      <c r="C10" s="1442" t="s">
        <v>321</v>
      </c>
      <c r="F10" s="1443" t="s">
        <v>2578</v>
      </c>
      <c r="I10" s="1445" t="s">
        <v>3345</v>
      </c>
      <c r="Z10" s="1445" t="s">
        <v>2468</v>
      </c>
      <c r="AB10" s="1445" t="s">
        <v>2494</v>
      </c>
    </row>
    <row r="11" spans="1:28">
      <c r="A11" s="1441" t="s">
        <v>1034</v>
      </c>
      <c r="B11" s="1441" t="s">
        <v>1035</v>
      </c>
      <c r="C11" s="1442" t="s">
        <v>322</v>
      </c>
      <c r="F11" s="1443" t="s">
        <v>13</v>
      </c>
      <c r="I11" s="1445" t="s">
        <v>3346</v>
      </c>
      <c r="Z11" s="1445" t="s">
        <v>2470</v>
      </c>
      <c r="AB11" s="1445" t="s">
        <v>2496</v>
      </c>
    </row>
    <row r="12" spans="1:28">
      <c r="A12" s="1441" t="s">
        <v>1036</v>
      </c>
      <c r="B12" s="1441" t="s">
        <v>1037</v>
      </c>
      <c r="C12" s="1442" t="s">
        <v>323</v>
      </c>
      <c r="I12" s="1445" t="s">
        <v>3347</v>
      </c>
      <c r="Z12" s="1445" t="s">
        <v>2472</v>
      </c>
      <c r="AB12" s="1445" t="s">
        <v>2498</v>
      </c>
    </row>
    <row r="13" spans="1:28">
      <c r="A13" s="1441" t="s">
        <v>1038</v>
      </c>
      <c r="B13" s="1441" t="s">
        <v>1039</v>
      </c>
      <c r="C13" s="1442" t="s">
        <v>324</v>
      </c>
      <c r="I13" s="1445" t="s">
        <v>3348</v>
      </c>
      <c r="Z13" s="1445" t="s">
        <v>2474</v>
      </c>
    </row>
    <row r="14" spans="1:28">
      <c r="A14" s="1441" t="s">
        <v>1040</v>
      </c>
      <c r="B14" s="1441" t="s">
        <v>1041</v>
      </c>
      <c r="C14" s="1443" t="s">
        <v>13</v>
      </c>
      <c r="I14" s="1445" t="s">
        <v>3349</v>
      </c>
      <c r="Z14" s="1445" t="s">
        <v>2476</v>
      </c>
    </row>
    <row r="15" spans="1:28">
      <c r="A15" s="1441" t="s">
        <v>1042</v>
      </c>
      <c r="B15" s="1441" t="s">
        <v>1043</v>
      </c>
      <c r="C15" s="1442"/>
      <c r="I15" s="1445" t="s">
        <v>3350</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3449</v>
      </c>
      <c r="C19" s="1442"/>
    </row>
    <row r="20" spans="1:3">
      <c r="A20" s="1441" t="s">
        <v>1048</v>
      </c>
      <c r="B20" s="1441" t="s">
        <v>3450</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9" t="s">
        <v>2580</v>
      </c>
      <c r="J2" s="3219"/>
      <c r="K2" s="3219"/>
      <c r="L2" s="3219"/>
      <c r="M2" s="3219"/>
      <c r="N2" s="3219"/>
      <c r="O2" s="3219"/>
      <c r="P2" s="3219"/>
      <c r="Q2" s="3219"/>
      <c r="R2" s="3219"/>
    </row>
    <row r="3" spans="1:18">
      <c r="A3" s="2761" t="s">
        <v>2501</v>
      </c>
      <c r="B3" s="2762">
        <f>项目基本情况!D3</f>
        <v>45875</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1.36</v>
      </c>
      <c r="D5" s="2766">
        <f>IF(ISERROR(ROUND(POWER(1+E5,A5-C5)*(POWER(1+E5,C5)-1)/(POWER(1+E5,A5)-1),3)),0,ROUND(POWER(1+E5,A5-C5)*(POWER(1+E5,C5)-1)/(POWER(1+E5,A5)-1),4))</f>
        <v>6.5600000000000006E-2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11.37</v>
      </c>
      <c r="D6" s="2766">
        <f>IF(ISERROR(ROUND(POWER(1+E6,A6-C6)*(POWER(1+E6,C6)-1)/(POWER(1+E6,A6)-1),3)),0,ROUND(POWER(1+E6,A6-C6)*(POWER(1+E6,C6)-1)/(POWER(1+E6,A6)-1),4))</f>
        <v>0.41870000000000002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31.39</v>
      </c>
      <c r="D7" s="2766">
        <f>IF(ISERROR(ROUND(POWER(1+E7,A7-C7)*(POWER(1+E7,C7)-1)/(POWER(1+E7,A7)-1),3)),0,ROUND(POWER(1+E7,A7-C7)*(POWER(1+E7,C7)-1)/(POWER(1+E7,A7)-1),4))</f>
        <v>0.75660000000000005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45" zoomScaleNormal="100" zoomScaleSheetLayoutView="145" workbookViewId="0">
      <selection activeCell="M16" sqref="M16"/>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220" t="str">
        <f>IF(B10="北京市","北京市",C10)&amp;F10&amp;IF('结果表-住宅'!G1="在建","出让国有建设用地使用权及在建建筑物",IF('结果表-住宅'!G1="土地","出让国有建设用地使用权",))&amp;B9&amp;"预评估"</f>
        <v>北京市房地产市场价值预评估</v>
      </c>
      <c r="C1" s="3221"/>
      <c r="D1" s="3221"/>
      <c r="E1" s="3221"/>
      <c r="F1" s="3221"/>
      <c r="G1" s="3221"/>
      <c r="H1" s="3221"/>
      <c r="I1" s="3222"/>
      <c r="J1" s="2243"/>
      <c r="K1" s="2181"/>
      <c r="L1" s="2182"/>
      <c r="M1" s="2182"/>
      <c r="N1" s="2180"/>
      <c r="O1" s="1466"/>
      <c r="P1" s="2180"/>
      <c r="Q1" s="2180"/>
      <c r="R1" s="2180"/>
      <c r="S1" s="1561" t="str">
        <f>IF(B10="北京市","北京市",C10)&amp;F10&amp;IF('结果表-住宅'!G1="在建","出让国有建设用地使用权及在建建筑物房地产抵押价值",IF('结果表-住宅'!G1="土地","出让国有建设用地使用权抵押价值",B9))</f>
        <v>北京市房地产市场价值</v>
      </c>
      <c r="T1" s="1618"/>
      <c r="U1" s="1618"/>
      <c r="V1" s="1618"/>
      <c r="W1" s="1618"/>
      <c r="X1" s="1618"/>
      <c r="Y1" s="1618"/>
      <c r="Z1" s="1618"/>
      <c r="AA1" s="1618"/>
      <c r="AB1" s="1618"/>
    </row>
    <row r="2" spans="1:30">
      <c r="A2" s="2180" t="s">
        <v>2169</v>
      </c>
      <c r="B2" s="122"/>
      <c r="D2" s="2446"/>
      <c r="E2" s="2439"/>
      <c r="F2" s="2439"/>
      <c r="G2" s="2440"/>
      <c r="H2" s="2440"/>
      <c r="I2" s="2440"/>
      <c r="J2" s="2243"/>
      <c r="K2" s="2181"/>
      <c r="L2" s="2182"/>
      <c r="M2" s="2182"/>
      <c r="N2" s="2180"/>
      <c r="O2" s="1466"/>
      <c r="P2" s="2180"/>
      <c r="Q2" s="2180"/>
      <c r="R2" s="2180"/>
      <c r="S2" s="1561" t="str">
        <f>IF(B10="北京市","北京市",C10)&amp;F10&amp;IF('结果表-住宅'!G1="在建","出让国有建设用地使用权及在建建筑物房地产",IF('结果表-住宅'!G1="土地","出让国有建设用地使用权","房地产"))</f>
        <v>北京市房地产</v>
      </c>
      <c r="T2" s="1618"/>
      <c r="U2" s="1618"/>
      <c r="V2" s="1618"/>
      <c r="W2" s="1618"/>
      <c r="X2" s="1618"/>
      <c r="Y2" s="1618"/>
      <c r="Z2" s="1618"/>
      <c r="AA2" s="1618"/>
      <c r="AB2" s="1618"/>
    </row>
    <row r="3" spans="1:30">
      <c r="A3" s="294" t="s">
        <v>2170</v>
      </c>
      <c r="B3" s="2183">
        <v>45875</v>
      </c>
      <c r="C3" s="2184" t="s">
        <v>2171</v>
      </c>
      <c r="D3" s="2183">
        <f>B3</f>
        <v>45875</v>
      </c>
      <c r="E3" s="2440"/>
      <c r="F3" s="2440"/>
      <c r="G3" s="2440"/>
      <c r="H3" s="2440"/>
      <c r="I3" s="2440"/>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9"/>
      <c r="F6" s="2440"/>
      <c r="G6" s="2440"/>
      <c r="H6" s="2440"/>
      <c r="I6" s="2440"/>
      <c r="J6" s="2243"/>
      <c r="K6" s="2399" t="str">
        <f>IF(COUNTIF(B6,"*上海银行*"),"上海银行","")</f>
        <v/>
      </c>
      <c r="L6" s="2397"/>
      <c r="M6" s="2397"/>
      <c r="N6" s="2243"/>
      <c r="O6" s="1670"/>
      <c r="P6" s="2243"/>
      <c r="Q6" s="2243"/>
      <c r="R6" s="2243"/>
    </row>
    <row r="7" spans="1:30">
      <c r="A7" s="2192" t="s">
        <v>2175</v>
      </c>
      <c r="B7" s="2196"/>
      <c r="C7" s="2194"/>
      <c r="D7" s="2195"/>
      <c r="E7" s="2439"/>
      <c r="F7" s="2440"/>
      <c r="G7" s="2440"/>
      <c r="H7" s="2440"/>
      <c r="I7" s="2440"/>
      <c r="J7" s="2243"/>
      <c r="K7" s="2400"/>
      <c r="L7" s="2397"/>
      <c r="M7" s="2397"/>
      <c r="N7" s="2243"/>
      <c r="O7" s="1670"/>
      <c r="P7" s="2243"/>
      <c r="Q7" s="2243"/>
      <c r="R7" s="2243"/>
    </row>
    <row r="8" spans="1:30">
      <c r="A8" s="2197" t="s">
        <v>2176</v>
      </c>
      <c r="B8" s="2198" t="s">
        <v>3419</v>
      </c>
      <c r="C8" s="2199"/>
      <c r="D8" s="3223" t="s">
        <v>2177</v>
      </c>
      <c r="E8" s="2200"/>
      <c r="F8" s="2201"/>
      <c r="G8" s="2440"/>
      <c r="H8" s="2440"/>
      <c r="I8" s="2440"/>
      <c r="J8" s="2243"/>
      <c r="K8" s="2398"/>
      <c r="L8" s="2397"/>
      <c r="M8" s="2397"/>
      <c r="N8" s="2243"/>
      <c r="O8" s="1670"/>
      <c r="P8" s="2243"/>
      <c r="Q8" s="2243"/>
      <c r="R8" s="2243"/>
    </row>
    <row r="9" spans="1:30" ht="13.5" thickBot="1">
      <c r="A9" s="2202" t="s">
        <v>2178</v>
      </c>
      <c r="B9" s="2203" t="s">
        <v>3420</v>
      </c>
      <c r="C9" s="2204"/>
      <c r="D9" s="3224"/>
      <c r="E9" s="2203"/>
      <c r="F9" s="2205"/>
      <c r="G9" s="2441"/>
      <c r="H9" s="2441"/>
      <c r="I9" s="2441"/>
      <c r="J9" s="2243"/>
      <c r="K9" s="2400"/>
      <c r="L9" s="2397"/>
      <c r="M9" s="2397"/>
      <c r="N9" s="2243"/>
      <c r="O9" s="1670"/>
      <c r="P9" s="2243"/>
      <c r="Q9" s="2243"/>
      <c r="R9" s="2243"/>
    </row>
    <row r="10" spans="1:30" ht="13.5" thickTop="1">
      <c r="A10" s="2206" t="s">
        <v>2179</v>
      </c>
      <c r="B10" s="2207" t="s">
        <v>3421</v>
      </c>
      <c r="C10" s="2208"/>
      <c r="D10" s="2191"/>
      <c r="E10" s="2209" t="s">
        <v>2180</v>
      </c>
      <c r="F10" s="2442"/>
      <c r="G10" s="2443"/>
      <c r="H10" s="2444"/>
      <c r="I10" s="2445"/>
      <c r="J10" s="2243"/>
      <c r="K10" s="2400"/>
      <c r="L10" s="2397"/>
      <c r="M10" s="2397"/>
      <c r="N10" s="2243"/>
      <c r="O10" s="1670"/>
      <c r="P10" s="2243"/>
      <c r="Q10" s="2243"/>
      <c r="R10" s="2243"/>
    </row>
    <row r="11" spans="1:30">
      <c r="A11" s="2210" t="s">
        <v>2181</v>
      </c>
      <c r="B11" s="2211" t="s">
        <v>3422</v>
      </c>
      <c r="C11" s="2212"/>
      <c r="D11" s="2213"/>
      <c r="E11" s="2180"/>
      <c r="F11" s="2180"/>
      <c r="G11" s="2180"/>
      <c r="H11" s="2180"/>
      <c r="I11" s="2180"/>
      <c r="J11" s="2800"/>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2576</v>
      </c>
      <c r="J12" s="2801"/>
      <c r="K12" s="2397"/>
      <c r="L12" s="2397"/>
      <c r="M12" s="2243"/>
      <c r="N12" s="1670"/>
      <c r="O12" s="2243"/>
      <c r="P12" s="2243"/>
      <c r="Q12" s="2243"/>
      <c r="AD12" s="1618"/>
    </row>
    <row r="13" spans="1:30">
      <c r="A13" s="3120" t="s">
        <v>3332</v>
      </c>
      <c r="B13" s="2216" t="s">
        <v>2190</v>
      </c>
      <c r="C13" s="803">
        <v>62302</v>
      </c>
      <c r="D13" s="803"/>
      <c r="E13" s="803"/>
      <c r="F13" s="803">
        <v>55001</v>
      </c>
      <c r="G13" s="803"/>
      <c r="H13" s="803"/>
      <c r="I13" s="803"/>
      <c r="J13" s="2801"/>
      <c r="K13" s="2397"/>
      <c r="L13" s="2397" t="s">
        <v>3477</v>
      </c>
      <c r="M13" s="2243"/>
      <c r="N13" s="1670"/>
      <c r="O13" s="2243"/>
      <c r="P13" s="2243"/>
      <c r="Q13" s="2243"/>
      <c r="AD13" s="1618"/>
    </row>
    <row r="14" spans="1:30">
      <c r="A14" s="1018"/>
      <c r="B14" s="2216" t="s">
        <v>2191</v>
      </c>
      <c r="C14" s="2217">
        <v>70</v>
      </c>
      <c r="D14" s="2217"/>
      <c r="E14" s="2217"/>
      <c r="F14" s="2217">
        <v>50</v>
      </c>
      <c r="G14" s="2217"/>
      <c r="H14" s="2217"/>
      <c r="I14" s="2217"/>
      <c r="J14" s="2802"/>
      <c r="K14" s="2397"/>
      <c r="L14" s="2397">
        <f>L13-2+70</f>
        <v>2072</v>
      </c>
      <c r="M14" s="2243"/>
      <c r="N14" s="1670"/>
      <c r="O14" s="2243"/>
      <c r="P14" s="2243"/>
      <c r="Q14" s="2243"/>
      <c r="AD14" s="1618"/>
    </row>
    <row r="15" spans="1:30">
      <c r="A15" s="312"/>
      <c r="B15" s="2218" t="s">
        <v>2192</v>
      </c>
      <c r="C15" s="2219">
        <f>IF(A13="出让",IF(C13="","",ROUNDDOWN(MIN((C13-$D$3)/365,C14),2)),C14)</f>
        <v>45</v>
      </c>
      <c r="D15" s="2219" t="str">
        <f>IF(A13="出让",IF(D13="","",ROUNDDOWN(MIN((D13-$D$3)/365,D14),2)),D14)</f>
        <v/>
      </c>
      <c r="E15" s="2219" t="str">
        <f>IF(A13="出让",IF(E13="","",ROUNDDOWN(MIN((E13-$D$3)/365,E14),2)),E14)</f>
        <v/>
      </c>
      <c r="F15" s="2219">
        <f>IF(A13="出让",IF(F13="","",ROUNDDOWN(MIN((F13-$D$3)/365,F14),2)),F14)</f>
        <v>25</v>
      </c>
      <c r="G15" s="2219" t="str">
        <f>IF(A13="出让",IF(G13="","",ROUNDDOWN(MIN((G13-$D$3)/365,G14),2)),G14)</f>
        <v/>
      </c>
      <c r="H15" s="2219" t="str">
        <f>IF(A13="出让",IF(H13="","",ROUNDDOWN(MIN((H13-$D$3)/365,H14),2)),H14)</f>
        <v/>
      </c>
      <c r="I15" s="2219" t="str">
        <f>IF(A13="出让",IF(I13="","",ROUNDDOWN(MIN((I13-$D$3)/365,I14),2)),I14)</f>
        <v/>
      </c>
      <c r="J15" s="2803"/>
      <c r="K15" s="1670"/>
      <c r="L15" s="1670"/>
      <c r="M15" s="2243"/>
      <c r="N15" s="1670"/>
      <c r="O15" s="2243"/>
      <c r="P15" s="2243"/>
      <c r="Q15" s="2243"/>
      <c r="AD15" s="1618"/>
    </row>
    <row r="16" spans="1:30">
      <c r="A16" s="2209" t="s">
        <v>2193</v>
      </c>
      <c r="B16" s="3230"/>
      <c r="C16" s="3231"/>
      <c r="D16" s="3232"/>
      <c r="E16" s="2220" t="s">
        <v>2194</v>
      </c>
      <c r="F16" s="3233"/>
      <c r="G16" s="3234"/>
      <c r="H16" s="3234"/>
      <c r="I16" s="3235"/>
      <c r="J16" s="2243"/>
      <c r="K16" s="2401"/>
      <c r="L16" s="1670"/>
      <c r="M16" s="1670"/>
      <c r="N16" s="2243"/>
      <c r="O16" s="1670"/>
      <c r="P16" s="2243"/>
      <c r="Q16" s="2243"/>
      <c r="R16" s="2243"/>
    </row>
    <row r="17" spans="1:28">
      <c r="A17" s="305" t="s">
        <v>2195</v>
      </c>
      <c r="B17" s="294" t="s">
        <v>2196</v>
      </c>
      <c r="C17" s="8">
        <f>'数据-汇总表'!E3</f>
        <v>263.11</v>
      </c>
      <c r="D17" s="1256" t="s">
        <v>2197</v>
      </c>
      <c r="E17" s="3236" t="s">
        <v>2198</v>
      </c>
      <c r="F17" s="3237"/>
      <c r="G17" s="3237"/>
      <c r="H17" s="3237"/>
      <c r="I17" s="3238"/>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39" t="s">
        <v>2202</v>
      </c>
      <c r="F18" s="3240"/>
      <c r="G18" s="3240"/>
      <c r="H18" s="3240"/>
      <c r="I18" s="3241"/>
      <c r="J18" s="2243"/>
      <c r="K18" s="2402"/>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26" t="s">
        <v>2206</v>
      </c>
      <c r="C20" s="3227"/>
      <c r="D20" s="3228" t="s">
        <v>2207</v>
      </c>
      <c r="E20" s="3229"/>
      <c r="F20" s="2428" t="s">
        <v>1056</v>
      </c>
      <c r="G20" s="2440"/>
      <c r="H20" s="2440"/>
      <c r="I20" s="2440"/>
      <c r="J20" s="2243"/>
      <c r="K20" s="322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25"/>
      <c r="L22" s="646"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43" t="s">
        <v>2214</v>
      </c>
      <c r="B27" s="312" t="s">
        <v>2215</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243"/>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43"/>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44"/>
      <c r="B30" s="294" t="s">
        <v>2218</v>
      </c>
      <c r="C30" s="3245"/>
      <c r="D30" s="3246"/>
      <c r="E30" s="2440"/>
      <c r="F30" s="2440"/>
      <c r="G30" s="2440"/>
      <c r="H30" s="2440"/>
      <c r="I30" s="2440"/>
      <c r="J30" s="2243"/>
      <c r="K30" s="2400"/>
      <c r="L30" s="2397"/>
      <c r="M30" s="2397"/>
      <c r="N30" s="2243"/>
      <c r="O30" s="1670"/>
      <c r="P30" s="2243"/>
      <c r="Q30" s="2243"/>
      <c r="R30" s="2243"/>
      <c r="S30" s="2243"/>
      <c r="T30" s="2243"/>
      <c r="U30" s="2243"/>
      <c r="V30" s="2243"/>
    </row>
    <row r="31" spans="1:28">
      <c r="A31" s="3247" t="s">
        <v>2219</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48"/>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48"/>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42" t="s">
        <v>2228</v>
      </c>
      <c r="T34" s="315" t="str">
        <f>NUMBERSTRING(7-K34,1)&amp;"通"</f>
        <v>七通</v>
      </c>
      <c r="U34" s="2243"/>
      <c r="V34" s="2243"/>
    </row>
    <row r="35" spans="1:30">
      <c r="A35" s="2234"/>
      <c r="B35" s="3242" t="s">
        <v>2229</v>
      </c>
      <c r="C35" s="3242"/>
      <c r="D35" s="3242"/>
      <c r="E35" s="3242"/>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2"/>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c r="D37" s="2235" t="s">
        <v>184</v>
      </c>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c r="D38" s="2236" t="s">
        <v>251</v>
      </c>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6"/>
      <c r="J40" s="2243"/>
      <c r="K40" s="2399"/>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263.11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263.11</v>
      </c>
      <c r="H5" s="13">
        <f t="shared" ref="H5:AT5" si="0">SUM(H13:H656)</f>
        <v>263.11</v>
      </c>
      <c r="I5" s="13">
        <f t="shared" si="0"/>
        <v>237.82</v>
      </c>
      <c r="J5" s="13">
        <f t="shared" si="0"/>
        <v>0</v>
      </c>
      <c r="K5" s="13">
        <f t="shared" si="0"/>
        <v>25.29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263.11</v>
      </c>
      <c r="BA5" s="15">
        <f t="shared" si="1"/>
        <v>263.11</v>
      </c>
      <c r="BB5" s="15">
        <f t="shared" si="1"/>
        <v>237.82</v>
      </c>
      <c r="BC5" s="15">
        <f t="shared" si="1"/>
        <v>25.29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3430</v>
      </c>
      <c r="J9" s="761"/>
      <c r="K9" s="1491" t="s">
        <v>3447</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3406</v>
      </c>
      <c r="J10" s="761"/>
      <c r="K10" s="1497" t="s">
        <v>3333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车库</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3431</v>
      </c>
      <c r="E13" s="13">
        <f>IF($C$3="是",ROUND($A$3*G13/$B$3,2),ROUND($A$3*(G13-AT13)/$B$3,2))</f>
        <v>0</v>
      </c>
      <c r="F13" s="29"/>
      <c r="G13" s="30">
        <f>H13+AC13+AT13</f>
        <v>237.82</v>
      </c>
      <c r="H13" s="17">
        <f>SUMIF(I$12:AB$12,"总值",I13:AB13)</f>
        <v>237.82</v>
      </c>
      <c r="I13" s="1514">
        <v>237.82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237.82</v>
      </c>
      <c r="BA13" s="13">
        <f>SUM(BB13:BK13)</f>
        <v>237.82</v>
      </c>
      <c r="BB13" s="13">
        <f>IF($D13="是",I13-J13,0)</f>
        <v>237.82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t="s">
        <v>3431</v>
      </c>
      <c r="E14" s="13">
        <f>IF($C$3="是",ROUND($A$3*G14/$B$3,2),ROUND($A$3*(G14-AT14)/$B$3,2))</f>
        <v>0</v>
      </c>
      <c r="F14" s="29"/>
      <c r="G14" s="30">
        <f>H14+AC14+AT14</f>
        <v>12.44</v>
      </c>
      <c r="H14" s="17">
        <f>SUMIF(I$12:AB$12,"总值",I14:AB14)</f>
        <v>12.44</v>
      </c>
      <c r="I14" s="1514"/>
      <c r="J14" s="1514"/>
      <c r="K14" s="1514">
        <v>12.44</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12.44</v>
      </c>
      <c r="BA14" s="13">
        <f>SUM(BB14:BK14)</f>
        <v>12.44</v>
      </c>
      <c r="BB14" s="13">
        <f>IF($D14="是",I14-J14,0)</f>
        <v>0</v>
      </c>
      <c r="BC14" s="13">
        <f>IF($D14="是",K14-L14,0)</f>
        <v>12.44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t="s">
        <v>3431</v>
      </c>
      <c r="E15" s="13">
        <f>IF($C$3="是",ROUND($A$3*G15/$B$3,2),ROUND($A$3*(G15-AT15)/$B$3,2))</f>
        <v>0</v>
      </c>
      <c r="F15" s="29"/>
      <c r="G15" s="30">
        <f>H15+AC15+AT15</f>
        <v>12.85</v>
      </c>
      <c r="H15" s="17">
        <f>SUMIF(I$12:AB$12,"总值",I15:AB15)</f>
        <v>12.85</v>
      </c>
      <c r="I15" s="1514"/>
      <c r="J15" s="1514"/>
      <c r="K15" s="1514">
        <v>12.85</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12.85</v>
      </c>
      <c r="BA15" s="13">
        <f>SUM(BB15:BK15)</f>
        <v>12.85</v>
      </c>
      <c r="BB15" s="13">
        <f>IF($D15="是",I15-J15,0)</f>
        <v>0</v>
      </c>
      <c r="BC15" s="13">
        <f>IF($D15="是",K15-L15,0)</f>
        <v>12.85</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30" zoomScaleNormal="100" zoomScaleSheetLayoutView="130" workbookViewId="0">
      <selection activeCell="G22" sqref="G2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8" t="s">
        <v>1131</v>
      </c>
      <c r="B2" s="3258"/>
      <c r="C2" s="3258"/>
      <c r="D2" s="748" t="s">
        <v>1107</v>
      </c>
      <c r="E2" s="1523" t="s">
        <v>1108</v>
      </c>
      <c r="F2" s="2437"/>
      <c r="G2" s="2430"/>
      <c r="H2" s="2431"/>
      <c r="I2" s="2144" t="s">
        <v>1132</v>
      </c>
      <c r="J2" s="2437"/>
      <c r="K2" s="2437"/>
      <c r="L2" s="2437"/>
      <c r="M2" s="2437"/>
      <c r="N2" s="2438"/>
      <c r="O2" s="2437"/>
      <c r="P2" s="2437"/>
    </row>
    <row r="3" spans="1:16" ht="15.75" thickBot="1">
      <c r="A3" s="3259" t="s">
        <v>1105</v>
      </c>
      <c r="B3" s="3259"/>
      <c r="C3" s="3259"/>
      <c r="D3" s="41">
        <f>'数据-基础表'!AY6</f>
        <v>0</v>
      </c>
      <c r="E3" s="41">
        <f>'数据-基础表'!AZ5</f>
        <v>263.11</v>
      </c>
      <c r="F3" s="2437"/>
      <c r="G3" s="42"/>
      <c r="H3" s="43" t="s">
        <v>1106</v>
      </c>
      <c r="I3" s="802" t="e">
        <f>ROUND('数据-基础表'!B3/'数据-基础表'!A3,2)</f>
        <v>#DIV/0!</v>
      </c>
      <c r="J3" s="2437"/>
      <c r="K3" s="2437"/>
      <c r="L3" s="2437"/>
      <c r="M3" s="2437"/>
      <c r="N3" s="2438"/>
      <c r="O3" s="2437"/>
      <c r="P3" s="2437"/>
    </row>
    <row r="4" spans="1:16" ht="15">
      <c r="A4" s="3260"/>
      <c r="B4" s="3261"/>
      <c r="C4" s="3262"/>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63" t="s">
        <v>1110</v>
      </c>
      <c r="C5" s="3263"/>
      <c r="D5" s="43">
        <f>ROUND($D$3*E5/$E$3,2)</f>
        <v>0</v>
      </c>
      <c r="E5" s="44">
        <f>SUMIF('数据-基础表'!$11:$11,"住宅",'数据-基础表'!$5:$5)</f>
        <v>237.82</v>
      </c>
      <c r="F5" s="2437"/>
      <c r="G5" s="42"/>
      <c r="H5" s="43" t="s">
        <v>1106</v>
      </c>
      <c r="I5" s="802" t="e">
        <f>ROUND(E31/D31,2)</f>
        <v>#DIV/0!</v>
      </c>
      <c r="J5" s="2437"/>
      <c r="K5" s="2437"/>
      <c r="L5" s="2437"/>
      <c r="M5" s="2437"/>
      <c r="N5" s="2437"/>
      <c r="O5" s="2437"/>
      <c r="P5" s="2437"/>
    </row>
    <row r="6" spans="1:16" ht="15" thickBot="1">
      <c r="A6" s="1527"/>
      <c r="B6" s="3263" t="s">
        <v>1111</v>
      </c>
      <c r="C6" s="3263"/>
      <c r="D6" s="43">
        <f>ROUND($D$3*E6/$E$3,2)</f>
        <v>0</v>
      </c>
      <c r="E6" s="44">
        <f>E3-E5</f>
        <v>25.29000000000002</v>
      </c>
      <c r="F6" s="2437"/>
      <c r="G6" s="1529" t="s">
        <v>1112</v>
      </c>
      <c r="H6" s="45" t="s">
        <v>1113</v>
      </c>
      <c r="I6" s="2433" t="e">
        <f>ROUND(F31/D31,2)</f>
        <v>#DIV/0!</v>
      </c>
      <c r="J6" s="2437"/>
      <c r="K6" s="2437"/>
      <c r="L6" s="2437"/>
      <c r="M6" s="2437"/>
      <c r="N6" s="2437"/>
      <c r="O6" s="2437"/>
      <c r="P6" s="2437"/>
    </row>
    <row r="7" spans="1:16" ht="15.75" thickBot="1">
      <c r="A7" s="3255"/>
      <c r="B7" s="3256"/>
      <c r="C7" s="3257"/>
      <c r="D7" s="1524" t="s">
        <v>1107</v>
      </c>
      <c r="E7" s="1528" t="s">
        <v>1114</v>
      </c>
      <c r="F7" s="2437"/>
      <c r="G7" s="2434" t="s">
        <v>1115</v>
      </c>
      <c r="H7" s="95"/>
      <c r="I7" s="2435">
        <v>3</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237.82</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25.29</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263.11</v>
      </c>
      <c r="F16" s="2437"/>
      <c r="G16" s="2437"/>
      <c r="H16" s="1531" t="s">
        <v>1135</v>
      </c>
      <c r="I16" s="1532"/>
      <c r="J16" s="1071"/>
      <c r="K16" s="3252" t="s">
        <v>1135</v>
      </c>
      <c r="L16" s="3253"/>
      <c r="M16" s="3253"/>
      <c r="N16" s="3253"/>
      <c r="O16" s="3253"/>
      <c r="P16" s="3254"/>
    </row>
    <row r="17" spans="1:19" ht="15">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3432</v>
      </c>
      <c r="D19" s="43">
        <f>ROUND($D$3*E19/$E$3,2)</f>
        <v>0</v>
      </c>
      <c r="E19" s="51">
        <f t="shared" ref="E19:E26" si="1">SUM(F19:G19)</f>
        <v>237.82</v>
      </c>
      <c r="F19" s="2556">
        <f>'数据-基础表'!I13</f>
        <v>237.82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237.82</v>
      </c>
    </row>
    <row r="20" spans="1:19">
      <c r="A20" s="1549"/>
      <c r="B20" s="45" t="s">
        <v>1153</v>
      </c>
      <c r="C20" s="3114" t="s">
        <v>3460</v>
      </c>
      <c r="D20" s="43">
        <f t="shared" ref="D20:D26" si="6">ROUND($D$3*E20/$E$3,2)</f>
        <v>0</v>
      </c>
      <c r="E20" s="51">
        <f t="shared" si="1"/>
        <v>12.44</v>
      </c>
      <c r="F20" s="2556"/>
      <c r="G20" s="1243">
        <f>'数据-基础表'!K14</f>
        <v>12.44</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12.44</v>
      </c>
    </row>
    <row r="21" spans="1:19">
      <c r="A21" s="1549"/>
      <c r="B21" s="45" t="s">
        <v>1153</v>
      </c>
      <c r="C21" s="3114" t="s">
        <v>3461</v>
      </c>
      <c r="D21" s="43">
        <f t="shared" si="6"/>
        <v>0</v>
      </c>
      <c r="E21" s="51">
        <f t="shared" si="1"/>
        <v>12.85</v>
      </c>
      <c r="F21" s="2556"/>
      <c r="G21" s="1243">
        <f>'数据-基础表'!K15</f>
        <v>12.85</v>
      </c>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12.85</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263.11</v>
      </c>
      <c r="F27" s="1072">
        <f>IF(SUM(F19:F26)=E8,SUM(F19:F26),"地上面积有误")</f>
        <v>237.82</v>
      </c>
      <c r="G27" s="1074">
        <f>SUM(G19:G26)</f>
        <v>25.29</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263.11</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263.11</v>
      </c>
      <c r="F31" s="644">
        <f>F27+F30</f>
        <v>237.82</v>
      </c>
      <c r="G31" s="645">
        <f>G27+G30</f>
        <v>25.29</v>
      </c>
      <c r="H31" s="2437"/>
      <c r="I31" s="2437"/>
      <c r="J31" s="2437"/>
      <c r="K31" s="2437"/>
      <c r="L31" s="2437"/>
      <c r="M31" s="2437"/>
      <c r="N31" s="2437"/>
      <c r="O31" s="2437"/>
      <c r="P31" s="2437"/>
    </row>
    <row r="32" spans="1:19">
      <c r="A32" s="1526"/>
      <c r="B32" s="1526" t="s">
        <v>1159</v>
      </c>
      <c r="C32" s="1526"/>
      <c r="D32" s="1526"/>
      <c r="E32" s="990">
        <f>SUMIF(C19:C26,"*住宅*",E19:E26)</f>
        <v>237.82</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3.625" style="1561" bestFit="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45875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3406</v>
      </c>
      <c r="D6" s="805">
        <f>SUMIF(项目基本情况!C$12:I$12,C6,项目基本情况!C$14:I$14)</f>
        <v>70</v>
      </c>
      <c r="E6" s="804">
        <f>IF(B6="","",SUMIF(项目基本情况!C$12:I$12,C6,项目基本情况!C$13:I$13))</f>
        <v>62302</v>
      </c>
      <c r="F6" s="61">
        <f>SUMIF(项目基本情况!C$12:I$12,C6,项目基本情况!C$15:I$15)</f>
        <v>45</v>
      </c>
      <c r="G6" s="62">
        <f>IF(ISERROR(ROUND(POWER(1+H6,D6-F6)*(POWER(1+H6,F6)-1)/(POWER(1+H6,D6)-1),3)),0,ROUND(POWER(1+H6,D6-F6)*(POWER(1+H6,F6)-1)/(POWER(1+H6,D6)-1),3))</f>
        <v>0.91900000000000004</v>
      </c>
      <c r="H6" s="691">
        <v>0.05</v>
      </c>
      <c r="I6" s="691">
        <v>2.5000000000000001E-2</v>
      </c>
      <c r="J6" s="63">
        <v>0.06</v>
      </c>
      <c r="K6" s="970">
        <f>SUMIF('数据-汇总表'!C$19:C$33,A6,'数据-汇总表'!E$19:E$33)</f>
        <v>237.82</v>
      </c>
      <c r="L6" s="692">
        <v>4500</v>
      </c>
      <c r="M6" s="64">
        <f t="shared" ref="M6:M14" si="0">ROUND(K6*L6/10000,0)</f>
        <v>107</v>
      </c>
      <c r="N6" s="690">
        <v>0.8</v>
      </c>
      <c r="O6" s="64" t="str">
        <f>IF($N$5="成新度","——",ROUND(M6*N6,0))</f>
        <v>——</v>
      </c>
      <c r="P6" s="65" t="str">
        <f>IF($N$5="成新度","——",M6-O6)</f>
        <v>——</v>
      </c>
      <c r="Q6" s="693">
        <v>0.3</v>
      </c>
      <c r="R6" s="66">
        <f ca="1">SUMIF('数据-汇总表'!C$19:C$33,A6,'数据-汇总表'!R$19:R$27)</f>
        <v>0</v>
      </c>
      <c r="S6" s="49">
        <f>IF('数据-汇总表'!$I$17="按面积比例",SUMIF('数据-汇总表'!C$19:C$33,A6,'数据-汇总表'!K$19:K$33),SUMIF('数据-汇总表'!C$19:C$33,A6,'数据-汇总表'!N$19:N$33))</f>
        <v>0</v>
      </c>
      <c r="T6" s="1092">
        <f>ROUND($L$14*S6/10000,0)</f>
        <v>0</v>
      </c>
      <c r="U6" s="3125">
        <v>40000</v>
      </c>
      <c r="V6" s="67">
        <v>5.0000000000000001E-3</v>
      </c>
      <c r="W6" s="67">
        <v>0.05</v>
      </c>
      <c r="X6" s="979"/>
      <c r="Y6" s="68">
        <f>N6</f>
        <v>0.8</v>
      </c>
      <c r="Z6" s="69"/>
      <c r="AA6" s="63"/>
      <c r="AB6" s="63"/>
      <c r="AC6" s="979"/>
      <c r="AD6" s="70"/>
      <c r="AE6" s="980">
        <f ca="1">IF(AN6="",0,SUMIF(INDIRECT("'"&amp;AN6&amp;"'"&amp;"!E:E"),$AE$5,INDIRECT("'"&amp;AN6&amp;"'"&amp;"!F:F")))</f>
        <v>45</v>
      </c>
      <c r="AF6" s="74"/>
      <c r="AG6" s="130">
        <f>IF(AF6="",0,AE6-AF6)</f>
        <v>0</v>
      </c>
      <c r="AH6" s="71">
        <v>1</v>
      </c>
      <c r="AI6" s="73">
        <v>12</v>
      </c>
      <c r="AJ6" s="74"/>
      <c r="AK6" s="75">
        <v>2E-3</v>
      </c>
      <c r="AL6" s="76">
        <v>1E-3</v>
      </c>
      <c r="AM6" s="77">
        <v>0.01</v>
      </c>
      <c r="AN6" s="1589" t="s">
        <v>3434</v>
      </c>
      <c r="AO6" s="50">
        <f ca="1">SUMIF(INDIRECT("'"&amp;AN6&amp;"'"&amp;"!A:A"),"总价",INDIRECT("'"&amp;AN6&amp;"'"&amp;"!B:B"))</f>
        <v>1281.7719999999999</v>
      </c>
      <c r="AP6" s="1590">
        <f>IF(C6="住宅",K6*L6,0)</f>
        <v>1070190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地下车位3062</v>
      </c>
      <c r="B7" s="1587" t="str">
        <f t="shared" ref="B7:B13" si="1">IF(A7=0,"","经营性")</f>
        <v>经营性</v>
      </c>
      <c r="C7" s="1588" t="s">
        <v>3333</v>
      </c>
      <c r="D7" s="805">
        <f>SUMIF(项目基本情况!C$12:I$12,C7,项目基本情况!C$14:I$14)</f>
        <v>50</v>
      </c>
      <c r="E7" s="804">
        <f>IF(B7="","",SUMIF(项目基本情况!C$12:I$12,C7,项目基本情况!C$13:I$13))</f>
        <v>55001</v>
      </c>
      <c r="F7" s="61">
        <f>SUMIF(项目基本情况!C$12:I$12,C7,项目基本情况!C$15:I$15)</f>
        <v>25</v>
      </c>
      <c r="G7" s="62">
        <f t="shared" ref="G7:G11" si="2">IF(ISERROR(ROUND(POWER(1+H7,D7-F7)*(POWER(1+H7,F7)-1)/(POWER(1+H7,D7)-1),3)),0,ROUND(POWER(1+H7,D7-F7)*(POWER(1+H7,F7)-1)/(POWER(1+H7,D7)-1),3))</f>
        <v>0.77200000000000002</v>
      </c>
      <c r="H7" s="691">
        <v>0.05</v>
      </c>
      <c r="I7" s="691">
        <v>2.5000000000000001E-2</v>
      </c>
      <c r="J7" s="63">
        <v>0.06</v>
      </c>
      <c r="K7" s="970">
        <f>SUMIF('数据-汇总表'!C$19:C$33,A7,'数据-汇总表'!E$19:E$33)</f>
        <v>12.44</v>
      </c>
      <c r="L7" s="692">
        <v>3500</v>
      </c>
      <c r="M7" s="64">
        <f t="shared" si="0"/>
        <v>4</v>
      </c>
      <c r="N7" s="690">
        <f>N6</f>
        <v>0.8</v>
      </c>
      <c r="O7" s="64" t="str">
        <f t="shared" ref="O7:O14" si="3">IF($N$5="成新度","——",ROUND(M7*N7,0))</f>
        <v>——</v>
      </c>
      <c r="P7" s="65" t="str">
        <f t="shared" ref="P7:P14" si="4">IF($N$5="成新度","——",M7-O7)</f>
        <v>——</v>
      </c>
      <c r="Q7" s="693">
        <v>0.05</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v>1000</v>
      </c>
      <c r="V7" s="67">
        <v>0.01</v>
      </c>
      <c r="W7" s="67">
        <v>0</v>
      </c>
      <c r="X7" s="979"/>
      <c r="Y7" s="68">
        <f>Y6</f>
        <v>0.8</v>
      </c>
      <c r="Z7" s="69"/>
      <c r="AA7" s="63"/>
      <c r="AB7" s="63"/>
      <c r="AC7" s="979"/>
      <c r="AD7" s="70"/>
      <c r="AE7" s="980">
        <f t="shared" ref="AE7:AE13" ca="1" si="6">IF(AN7="",0,SUMIF(INDIRECT("'"&amp;AN7&amp;"'"&amp;"!E:E"),$AE$5,INDIRECT("'"&amp;AN7&amp;"'"&amp;"!F:F")))</f>
        <v>25</v>
      </c>
      <c r="AF7" s="74"/>
      <c r="AG7" s="130">
        <f t="shared" ref="AG7:AG13" si="7">IF(AF7="",0,AE7-AF7)</f>
        <v>0</v>
      </c>
      <c r="AH7" s="71">
        <v>1</v>
      </c>
      <c r="AI7" s="73">
        <v>12</v>
      </c>
      <c r="AJ7" s="74"/>
      <c r="AK7" s="75">
        <v>1E-3</v>
      </c>
      <c r="AL7" s="76">
        <v>1E-3</v>
      </c>
      <c r="AM7" s="77">
        <v>0.01</v>
      </c>
      <c r="AN7" s="1589" t="s">
        <v>3448</v>
      </c>
      <c r="AO7" s="50">
        <f t="shared" ref="AO7:AO13" ca="1" si="8">SUMIF(INDIRECT("'"&amp;AN7&amp;"'"&amp;"!A:A"),"总价",INDIRECT("'"&amp;AN7&amp;"'"&amp;"!B:B"))</f>
        <v>22.5837</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地下车位3063</v>
      </c>
      <c r="B8" s="1587" t="str">
        <f t="shared" si="1"/>
        <v>经营性</v>
      </c>
      <c r="C8" s="1588"/>
      <c r="D8" s="805">
        <f>SUMIF(项目基本情况!C$12:I$12,C8,项目基本情况!C$14:I$14)</f>
        <v>0</v>
      </c>
      <c r="E8" s="804">
        <f>IF(B8="","",SUMIF(项目基本情况!C$12:I$12,C8,项目基本情况!C$13:I$13))</f>
        <v>0</v>
      </c>
      <c r="F8" s="61">
        <f>SUMIF(项目基本情况!C$12:I$12,C8,项目基本情况!C$15:I$15)</f>
        <v>0</v>
      </c>
      <c r="G8" s="62">
        <f t="shared" si="2"/>
        <v>0</v>
      </c>
      <c r="H8" s="691"/>
      <c r="I8" s="691"/>
      <c r="J8" s="63"/>
      <c r="K8" s="970">
        <f>SUMIF('数据-汇总表'!C$19:C$33,A8,'数据-汇总表'!E$19:E$33)</f>
        <v>12.85</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0.91200000000000003</v>
      </c>
      <c r="H16" s="84">
        <f>ROUND(SUMPRODUCT(H6:H13,K6:K13)/SUMPRODUCT((H6:H13&gt;0)*(K6:K13)),3)</f>
        <v>0.05</v>
      </c>
      <c r="I16" s="85"/>
      <c r="J16" s="85"/>
      <c r="K16" s="86">
        <f>SUM(K6:K15)</f>
        <v>263.11</v>
      </c>
      <c r="L16" s="87">
        <f>ROUND(M16*10000/SUM(K6:K14),0)</f>
        <v>4219</v>
      </c>
      <c r="M16" s="87">
        <f>SUM(M6:M14)</f>
        <v>111</v>
      </c>
      <c r="N16" s="88">
        <f>ROUND(SUMPRODUCT(M6:M14,N6:N14)/M16,3)</f>
        <v>0.8</v>
      </c>
      <c r="O16" s="87">
        <f>SUM(O6:O14)</f>
        <v>0</v>
      </c>
      <c r="P16" s="87">
        <f>SUM(P6:P14)</f>
        <v>0</v>
      </c>
      <c r="Q16" s="89">
        <f>ROUND(SUMPRODUCT(Q6:Q13,K6:K13)/SUMPRODUCT((Q6:Q13&gt;0)*(K6:K13)),2)</f>
        <v>0.28999999999999998</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2302</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2300</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3383</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0.05</v>
      </c>
      <c r="C34" s="2563" t="s">
        <v>2295</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3401</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0.01</v>
      </c>
      <c r="C37" s="2563" t="s">
        <v>3384</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0.03</v>
      </c>
      <c r="C38" s="2563" t="s">
        <v>3385</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0.03</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3386</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64" t="s">
        <v>2286</v>
      </c>
      <c r="B1" s="3265"/>
      <c r="C1" s="3265"/>
      <c r="D1" s="3265"/>
      <c r="E1" s="3265"/>
      <c r="F1" s="3265"/>
      <c r="G1" s="326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130" zoomScaleNormal="80" zoomScaleSheetLayoutView="130" workbookViewId="0">
      <selection activeCell="D14" sqref="D14"/>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25.29</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45875</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45.911499999999997</v>
      </c>
      <c r="C5" s="2298">
        <f ca="1">IF(B5=D14,'结果表-住宅'!H102,ROUND(B5*10000/$B$1,0))</f>
        <v>0</v>
      </c>
      <c r="D5" s="2298" t="e">
        <f ca="1">ROUND(B5*10000/$B$2,0)</f>
        <v>#DIV/0!</v>
      </c>
      <c r="E5" s="2460"/>
      <c r="F5" s="2461"/>
      <c r="G5" s="2461"/>
      <c r="H5" s="2461"/>
      <c r="I5" s="2461"/>
      <c r="J5" s="2461"/>
      <c r="K5" s="2461"/>
    </row>
    <row r="6" spans="1:11" ht="16.5">
      <c r="A6" s="2298" t="s">
        <v>656</v>
      </c>
      <c r="B6" s="2298">
        <f>SUM(G14:G23)</f>
        <v>0</v>
      </c>
      <c r="C6" s="2298">
        <f ca="1">IF(B6=G14,'结果表-住宅'!H108,ROUND(B6*10000/$B$1,0))</f>
        <v>0</v>
      </c>
      <c r="D6" s="2298" t="e">
        <f>ROUND(B6*10000/$B$2,0)</f>
        <v>#DIV/0!</v>
      </c>
      <c r="E6" s="2460"/>
      <c r="F6" s="2461"/>
      <c r="G6" s="2461"/>
      <c r="H6" s="2461"/>
      <c r="I6" s="2461"/>
      <c r="J6" s="2461"/>
      <c r="K6" s="2461"/>
    </row>
    <row r="7" spans="1:11" ht="16.5">
      <c r="A7" s="2298" t="s">
        <v>664</v>
      </c>
      <c r="B7" s="2298">
        <f>SUM(H14:H23)</f>
        <v>0</v>
      </c>
      <c r="C7" s="2298" t="str">
        <f>IF(B7=H14,'结果表-住宅'!H110,ROUND(B7*10000/$B$1,0))</f>
        <v>——</v>
      </c>
      <c r="D7" s="2298" t="e">
        <f>ROUND(B7*10000/$B$2,0)</f>
        <v>#DIV/0!</v>
      </c>
      <c r="E7" s="2460"/>
      <c r="F7" s="2461"/>
      <c r="G7" s="2461"/>
      <c r="H7" s="2461"/>
      <c r="I7" s="2461"/>
      <c r="J7" s="2461"/>
      <c r="K7" s="2461"/>
    </row>
    <row r="8" spans="1:11" ht="16.5">
      <c r="A8" s="2298" t="s">
        <v>587</v>
      </c>
      <c r="B8" s="2298">
        <f>SUM(I14:I23)</f>
        <v>0</v>
      </c>
      <c r="C8" s="2298" t="str">
        <f>IF(B8=I14,'结果表-住宅'!H112,ROUND(B8*10000/$B$1,0))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3356</v>
      </c>
      <c r="D10" s="2298" t="s">
        <v>3357</v>
      </c>
      <c r="E10" s="3135"/>
      <c r="F10" s="3139" t="s">
        <v>3358</v>
      </c>
      <c r="G10" s="3136"/>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'数据-汇总表'!G20+'数据-汇总表'!G21</f>
        <v>25.29</v>
      </c>
      <c r="C14" s="2304"/>
      <c r="D14" s="2304">
        <f ca="1">ROUND(B14*E14/10000,4)</f>
        <v>45.911499999999997</v>
      </c>
      <c r="E14" s="2304">
        <f ca="1">'结果表-车位'!G20</f>
        <v>18154</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145" zoomScaleNormal="100" zoomScaleSheetLayoutView="145" zoomScalePageLayoutView="80" workbookViewId="0">
      <selection activeCell="F32" sqref="F3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3406</v>
      </c>
      <c r="D1" s="646"/>
      <c r="E1" s="646"/>
      <c r="F1" s="1621" t="s">
        <v>1263</v>
      </c>
      <c r="G1" s="1453"/>
      <c r="H1" s="1621" t="str">
        <f>IF(G1="现房","——","估价对象范围")</f>
        <v>估价对象范围</v>
      </c>
      <c r="I1" s="1622"/>
    </row>
    <row r="2" spans="1:12" ht="21.75" customHeight="1" thickBot="1">
      <c r="A2" s="3333" t="str">
        <f>项目基本情况!S2</f>
        <v>北京市房地产</v>
      </c>
      <c r="B2" s="3334"/>
      <c r="C2" s="3334"/>
      <c r="D2" s="3334"/>
      <c r="E2" s="3334"/>
      <c r="F2" s="3334"/>
      <c r="G2" s="3334"/>
      <c r="H2" s="3334"/>
      <c r="I2" s="3335"/>
    </row>
    <row r="3" spans="1:12" ht="12.75">
      <c r="A3" s="3337" t="s">
        <v>1264</v>
      </c>
      <c r="B3" s="3338"/>
      <c r="C3" s="3338"/>
      <c r="D3" s="3338"/>
      <c r="E3" s="3338"/>
      <c r="F3" s="3338"/>
      <c r="G3" s="3338"/>
      <c r="H3" s="3338"/>
      <c r="I3" s="3338"/>
    </row>
    <row r="4" spans="1:12" ht="14.25">
      <c r="A4" s="1624" t="s">
        <v>1265</v>
      </c>
      <c r="B4" s="1625" t="s">
        <v>1266</v>
      </c>
      <c r="C4" s="1626" t="s">
        <v>3438</v>
      </c>
      <c r="D4" s="1626" t="s">
        <v>3438</v>
      </c>
      <c r="E4" s="3342" t="s">
        <v>1267</v>
      </c>
      <c r="F4" s="3343"/>
      <c r="G4" s="3343"/>
      <c r="H4" s="3343"/>
      <c r="I4" s="3344"/>
      <c r="K4" s="138" t="str">
        <f>IF(ISNUMBER(FIND("比较法",'结果表-住宅'!C4)),"比较法",IF(ISNUMBER(FIND("成本法",'结果表-住宅'!C4)),"成本法",IF(ISNUMBER(FIND("假设开发法",'结果表-住宅'!C4)),"假设开发法",IF(ISNUMBER(FIND("收益法",'结果表-住宅'!C4)),"收益法","基准地价系数修正法"))))</f>
        <v>比较法</v>
      </c>
      <c r="L4" s="138" t="str">
        <f>IF(ISNUMBER(FIND("比较法",'结果表-住宅'!D4)),"比较法",IF(ISNUMBER(FIND("成本法",'结果表-住宅'!D4)),"成本法",IF(ISNUMBER(FIND("假设开发法",'结果表-住宅'!D4)),"假设开发法",IF(ISNUMBER(FIND("收益法",'结果表-住宅'!D4)),"收益法","基准地价系数修正法"))))</f>
        <v>比较法</v>
      </c>
    </row>
    <row r="5" spans="1:12" ht="12.75">
      <c r="A5" s="3281" t="s">
        <v>1268</v>
      </c>
      <c r="B5" s="3336">
        <v>25</v>
      </c>
      <c r="C5" s="3339"/>
      <c r="D5" s="3327"/>
      <c r="E5" s="123" t="s">
        <v>1269</v>
      </c>
      <c r="F5" s="1627"/>
      <c r="G5" s="1627"/>
      <c r="H5" s="1627"/>
      <c r="I5" s="1281"/>
    </row>
    <row r="6" spans="1:12" ht="12.75">
      <c r="A6" s="3281"/>
      <c r="B6" s="3336"/>
      <c r="C6" s="3341"/>
      <c r="D6" s="3327"/>
      <c r="E6" s="123" t="s">
        <v>1270</v>
      </c>
      <c r="F6" s="1627"/>
      <c r="G6" s="1627"/>
      <c r="H6" s="1627"/>
      <c r="I6" s="1281"/>
    </row>
    <row r="7" spans="1:12" ht="12.75">
      <c r="A7" s="3281"/>
      <c r="B7" s="3336"/>
      <c r="C7" s="3340"/>
      <c r="D7" s="3327"/>
      <c r="E7" s="123" t="s">
        <v>1271</v>
      </c>
      <c r="F7" s="1627"/>
      <c r="G7" s="1627"/>
      <c r="H7" s="1627"/>
      <c r="I7" s="1281"/>
    </row>
    <row r="8" spans="1:12" ht="12.75">
      <c r="A8" s="3281" t="s">
        <v>1272</v>
      </c>
      <c r="B8" s="3336">
        <v>15</v>
      </c>
      <c r="C8" s="3339"/>
      <c r="D8" s="3327"/>
      <c r="E8" s="123" t="s">
        <v>1273</v>
      </c>
      <c r="F8" s="1627"/>
      <c r="G8" s="1627"/>
      <c r="H8" s="1627"/>
      <c r="I8" s="1281"/>
    </row>
    <row r="9" spans="1:12" ht="12.75">
      <c r="A9" s="3281"/>
      <c r="B9" s="3336"/>
      <c r="C9" s="3340"/>
      <c r="D9" s="3327"/>
      <c r="E9" s="123" t="s">
        <v>1274</v>
      </c>
      <c r="F9" s="1627"/>
      <c r="G9" s="1627"/>
      <c r="H9" s="1627"/>
      <c r="I9" s="1281"/>
    </row>
    <row r="10" spans="1:12" ht="12.75">
      <c r="A10" s="3281" t="s">
        <v>1275</v>
      </c>
      <c r="B10" s="3336">
        <v>15</v>
      </c>
      <c r="C10" s="3339"/>
      <c r="D10" s="3327"/>
      <c r="E10" s="123" t="s">
        <v>1276</v>
      </c>
      <c r="F10" s="1627"/>
      <c r="G10" s="1627"/>
      <c r="H10" s="1627"/>
      <c r="I10" s="1281"/>
    </row>
    <row r="11" spans="1:12" ht="12.75">
      <c r="A11" s="3281"/>
      <c r="B11" s="3336"/>
      <c r="C11" s="3340"/>
      <c r="D11" s="3327"/>
      <c r="E11" s="123" t="s">
        <v>1277</v>
      </c>
      <c r="F11" s="1627"/>
      <c r="G11" s="1627"/>
      <c r="H11" s="1627"/>
      <c r="I11" s="1281"/>
    </row>
    <row r="12" spans="1:12" ht="12.75">
      <c r="A12" s="3281" t="s">
        <v>1278</v>
      </c>
      <c r="B12" s="3336">
        <v>15</v>
      </c>
      <c r="C12" s="3339"/>
      <c r="D12" s="3327"/>
      <c r="E12" s="123" t="s">
        <v>1279</v>
      </c>
      <c r="F12" s="1627"/>
      <c r="G12" s="1627"/>
      <c r="H12" s="1627"/>
      <c r="I12" s="1281"/>
    </row>
    <row r="13" spans="1:12" ht="12.75">
      <c r="A13" s="3281"/>
      <c r="B13" s="3336"/>
      <c r="C13" s="3340"/>
      <c r="D13" s="3327"/>
      <c r="E13" s="123" t="s">
        <v>1280</v>
      </c>
      <c r="F13" s="1627"/>
      <c r="G13" s="1627"/>
      <c r="H13" s="1627"/>
      <c r="I13" s="1281"/>
    </row>
    <row r="14" spans="1:12" ht="12.75">
      <c r="A14" s="3281" t="s">
        <v>1281</v>
      </c>
      <c r="B14" s="3336">
        <v>30</v>
      </c>
      <c r="C14" s="3339">
        <v>2</v>
      </c>
      <c r="D14" s="3327">
        <f>10-C14</f>
        <v>8</v>
      </c>
      <c r="E14" s="123" t="s">
        <v>1282</v>
      </c>
      <c r="F14" s="1627"/>
      <c r="G14" s="1627"/>
      <c r="H14" s="1627"/>
      <c r="I14" s="1281"/>
    </row>
    <row r="15" spans="1:12" ht="12.75">
      <c r="A15" s="3281"/>
      <c r="B15" s="3336"/>
      <c r="C15" s="3341"/>
      <c r="D15" s="3327"/>
      <c r="E15" s="123" t="s">
        <v>1283</v>
      </c>
      <c r="F15" s="1627"/>
      <c r="G15" s="1627"/>
      <c r="H15" s="1627"/>
      <c r="I15" s="1281"/>
    </row>
    <row r="16" spans="1:12" ht="12.75">
      <c r="A16" s="3281"/>
      <c r="B16" s="3336"/>
      <c r="C16" s="3340"/>
      <c r="D16" s="3327"/>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358" t="s">
        <v>2131</v>
      </c>
      <c r="F18" s="3359"/>
      <c r="G18" s="3359"/>
      <c r="H18" s="3359"/>
      <c r="I18" s="3359"/>
      <c r="K18" s="294" t="s">
        <v>1289</v>
      </c>
      <c r="L18" s="294">
        <f>IF(C1="",'数据-汇总表'!E3,SUMIF(项目类型,C1,'数据-汇总表'!E17:E26)+SUMIF(项目类型,C1,'数据-汇总表'!I17:I26))</f>
        <v>237.82</v>
      </c>
      <c r="M18" s="294">
        <f>IF(C1="",'数据-汇总表'!E3,SUMIF(项目类型,C1,'数据-汇总表'!E17:E26))</f>
        <v>237.82</v>
      </c>
    </row>
    <row r="19" spans="1:36" ht="15">
      <c r="A19" s="1630" t="s">
        <v>1290</v>
      </c>
      <c r="B19" s="1631" t="s">
        <v>1291</v>
      </c>
      <c r="C19" s="126">
        <f ca="1">SUMIF(INDIRECT("'"&amp;C4&amp;"'"&amp;"!A:A"),'结果表-住宅'!B19,INDIRECT("'"&amp;C4&amp;"'"&amp;"!B:B"))</f>
        <v>2335.8679999999999</v>
      </c>
      <c r="D19" s="127">
        <f ca="1">SUMIF(INDIRECT("'"&amp;D4&amp;"'"&amp;"!A:A"),'结果表-住宅'!B19,INDIRECT("'"&amp;D4&amp;"'"&amp;"!B:B"))</f>
        <v>2335.8679999999999</v>
      </c>
      <c r="E19" s="1630" t="s">
        <v>1292</v>
      </c>
      <c r="F19" s="1631" t="s">
        <v>1291</v>
      </c>
      <c r="G19" s="128">
        <f ca="1">ROUND(C19*$C$18+D19*$D$18,0)</f>
        <v>2336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SUMIF(INDIRECT("'"&amp;C4&amp;"'"&amp;"!A:A"),'结果表-住宅'!B20,INDIRECT("'"&amp;C4&amp;"'"&amp;"!B:B"))</f>
        <v>98220</v>
      </c>
      <c r="D20" s="130">
        <f ca="1">SUMIF(INDIRECT("'"&amp;D4&amp;"'"&amp;"!A:A"),'结果表-住宅'!B20,INDIRECT("'"&amp;D4&amp;"'"&amp;"!B:B"))</f>
        <v>98220</v>
      </c>
      <c r="E20" s="1633"/>
      <c r="F20" s="43" t="s">
        <v>1295</v>
      </c>
      <c r="G20" s="131">
        <f ca="1">ROUND(C20*$C$18+D20*$D$18,0)</f>
        <v>98220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v>
      </c>
      <c r="E22" s="121"/>
      <c r="F22" s="121"/>
      <c r="G22" s="121"/>
      <c r="H22" s="121"/>
      <c r="I22" s="121"/>
    </row>
    <row r="23" spans="1:36" ht="13.5" thickBot="1">
      <c r="A23" s="646"/>
      <c r="B23" s="646"/>
      <c r="C23" s="646"/>
      <c r="D23" s="646"/>
      <c r="E23" s="121"/>
      <c r="F23" s="121"/>
      <c r="G23" s="121"/>
      <c r="H23" s="121"/>
      <c r="I23" s="121"/>
    </row>
    <row r="24" spans="1:36" ht="14.25">
      <c r="A24" s="3351" t="s">
        <v>1299</v>
      </c>
      <c r="B24" s="1631" t="s">
        <v>1291</v>
      </c>
      <c r="C24" s="128">
        <f>IF(B30=0,0,D30)</f>
        <v>0</v>
      </c>
      <c r="D24" s="1637"/>
      <c r="E24" s="121"/>
      <c r="F24" s="121"/>
      <c r="G24" s="121"/>
      <c r="H24" s="121"/>
      <c r="I24" s="121"/>
    </row>
    <row r="25" spans="1:36" ht="14.25">
      <c r="A25" s="33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98220</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28" t="s">
        <v>1312</v>
      </c>
      <c r="B36" s="1652" t="s">
        <v>1313</v>
      </c>
      <c r="C36" s="137"/>
      <c r="D36" s="1653"/>
      <c r="E36" s="1567"/>
      <c r="F36" s="1654"/>
      <c r="G36" s="121"/>
      <c r="H36" s="121"/>
      <c r="I36" s="121"/>
    </row>
    <row r="37" spans="1:15" ht="15.75" thickBot="1">
      <c r="A37" s="3329"/>
      <c r="B37" s="1555" t="s">
        <v>1314</v>
      </c>
      <c r="C37" s="139"/>
      <c r="D37" s="1071"/>
      <c r="E37" s="1071"/>
      <c r="F37" s="1654"/>
      <c r="G37" s="121"/>
      <c r="H37" s="121"/>
      <c r="I37" s="121"/>
    </row>
    <row r="38" spans="1:15" ht="15.75" thickBot="1">
      <c r="A38" s="333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8" t="s">
        <v>1326</v>
      </c>
      <c r="B45" s="3349"/>
      <c r="C45" s="3350"/>
      <c r="D45" s="147" t="e">
        <f ca="1">ROUND(H101*F45,0)</f>
        <v>#REF!</v>
      </c>
      <c r="E45" s="148" t="s">
        <v>1327</v>
      </c>
      <c r="F45" s="149">
        <v>1</v>
      </c>
      <c r="G45" s="150" t="s">
        <v>1328</v>
      </c>
      <c r="H45" s="121"/>
      <c r="I45" s="121"/>
      <c r="J45" s="3268" t="s">
        <v>1329</v>
      </c>
      <c r="K45" s="3268"/>
      <c r="L45" s="3268"/>
      <c r="M45" s="3268"/>
      <c r="N45" s="3268"/>
      <c r="O45" s="3268"/>
    </row>
    <row r="46" spans="1:15" ht="14.25" customHeight="1">
      <c r="A46" s="3345" t="s">
        <v>1330</v>
      </c>
      <c r="B46" s="3346"/>
      <c r="C46" s="3346"/>
      <c r="D46" s="3346"/>
      <c r="E46" s="3346"/>
      <c r="F46" s="3346"/>
      <c r="G46" s="3347"/>
      <c r="H46" s="1668"/>
      <c r="I46" s="151"/>
      <c r="J46" s="2308">
        <v>1</v>
      </c>
      <c r="K46" s="3269" t="s">
        <v>1331</v>
      </c>
      <c r="L46" s="3269"/>
      <c r="M46" s="3270"/>
      <c r="N46" s="3270"/>
      <c r="O46" s="3270"/>
    </row>
    <row r="47" spans="1:15" ht="12" customHeight="1">
      <c r="A47" s="152" t="s">
        <v>1332</v>
      </c>
      <c r="B47" s="153"/>
      <c r="C47" s="154"/>
      <c r="D47" s="1024" t="s">
        <v>1333</v>
      </c>
      <c r="E47" s="294" t="s">
        <v>1334</v>
      </c>
      <c r="F47" s="155" t="s">
        <v>1335</v>
      </c>
      <c r="G47" s="2331" t="s">
        <v>1336</v>
      </c>
      <c r="H47" s="2332"/>
      <c r="I47" s="151"/>
      <c r="J47" s="2308">
        <v>2</v>
      </c>
      <c r="K47" s="3269" t="s">
        <v>1337</v>
      </c>
      <c r="L47" s="3269"/>
      <c r="M47" s="3271">
        <f>'数据-取费表'!B2</f>
        <v>45875</v>
      </c>
      <c r="N47" s="3271"/>
      <c r="O47" s="3271"/>
    </row>
    <row r="48" spans="1:15" ht="25.5">
      <c r="A48" s="3331" t="s">
        <v>1338</v>
      </c>
      <c r="B48" s="3332"/>
      <c r="C48" s="3332"/>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69" t="s">
        <v>1340</v>
      </c>
      <c r="L48" s="3269"/>
      <c r="M48" s="3272" t="e">
        <f ca="1">H101</f>
        <v>#REF!</v>
      </c>
      <c r="N48" s="3272"/>
      <c r="O48" s="3272"/>
    </row>
    <row r="49" spans="1:35" ht="25.5" customHeight="1">
      <c r="A49" s="2150" t="s">
        <v>1341</v>
      </c>
      <c r="B49" s="3317" t="s">
        <v>1342</v>
      </c>
      <c r="C49" s="3317"/>
      <c r="D49" s="1478">
        <v>0</v>
      </c>
      <c r="E49" s="316" t="s">
        <v>1343</v>
      </c>
      <c r="F49" s="2231" t="s">
        <v>28</v>
      </c>
      <c r="G49" s="3300"/>
      <c r="H49" s="2132" t="s">
        <v>2134</v>
      </c>
      <c r="I49" s="2133"/>
      <c r="J49" s="2308">
        <v>4</v>
      </c>
      <c r="K49" s="3269" t="str">
        <f>IF(项目基本情况!E8="房地产抵押价值","房地产抵押价值","抵押担保权已注销时的房地产抵押价值")</f>
        <v>抵押担保权已注销时的房地产抵押价值</v>
      </c>
      <c r="L49" s="3269"/>
      <c r="M49" s="3272" t="str">
        <f>IF(项目基本情况!E8="房地产抵押价值",H107,H109)</f>
        <v>——</v>
      </c>
      <c r="N49" s="3272"/>
      <c r="O49" s="3272"/>
    </row>
    <row r="50" spans="1:35" ht="25.5" customHeight="1">
      <c r="A50" s="2336"/>
      <c r="B50" s="3317" t="s">
        <v>1344</v>
      </c>
      <c r="C50" s="3317"/>
      <c r="D50" s="2187"/>
      <c r="E50" s="323"/>
      <c r="F50" s="2231"/>
      <c r="G50" s="3301"/>
      <c r="H50" s="2134" t="s">
        <v>2135</v>
      </c>
      <c r="I50" s="2133"/>
      <c r="J50" s="3268" t="s">
        <v>1345</v>
      </c>
      <c r="K50" s="3268"/>
      <c r="L50" s="3268"/>
      <c r="M50" s="3268"/>
      <c r="N50" s="3268"/>
      <c r="O50" s="3268"/>
    </row>
    <row r="51" spans="1:35" ht="20.45" customHeight="1">
      <c r="A51" s="2337"/>
      <c r="B51" s="3317" t="s">
        <v>1346</v>
      </c>
      <c r="C51" s="3317"/>
      <c r="D51" s="1024"/>
      <c r="E51" s="319"/>
      <c r="F51" s="2231"/>
      <c r="G51" s="3302"/>
      <c r="H51" s="2134" t="s">
        <v>2136</v>
      </c>
      <c r="I51" s="2133"/>
      <c r="J51" s="2309" t="s">
        <v>1347</v>
      </c>
      <c r="K51" s="3269" t="s">
        <v>1348</v>
      </c>
      <c r="L51" s="3269"/>
      <c r="M51" s="2309" t="s">
        <v>1349</v>
      </c>
      <c r="N51" s="2309" t="s">
        <v>1350</v>
      </c>
      <c r="O51" s="2309" t="s">
        <v>1351</v>
      </c>
    </row>
    <row r="52" spans="1:35" ht="24" customHeight="1">
      <c r="A52" s="2151" t="s">
        <v>1352</v>
      </c>
      <c r="B52" s="3317" t="s">
        <v>1353</v>
      </c>
      <c r="C52" s="3317"/>
      <c r="D52" s="1024" t="e">
        <f ca="1">ROUND(D45*'数据-取费表'!B41/(1+'数据-取费表'!C42),0)</f>
        <v>#REF!</v>
      </c>
      <c r="E52" s="1256" t="s">
        <v>1354</v>
      </c>
      <c r="F52" s="2338">
        <f>'数据-取费表'!B41</f>
        <v>5.6000000000000001E-2</v>
      </c>
      <c r="G52" s="2339"/>
      <c r="H52" s="2329"/>
      <c r="I52" s="1669"/>
      <c r="J52" s="2308">
        <v>1</v>
      </c>
      <c r="K52" s="3294" t="s">
        <v>1355</v>
      </c>
      <c r="L52" s="3294"/>
      <c r="M52" s="2310" t="b">
        <f>D48</f>
        <v>0</v>
      </c>
      <c r="N52" s="2308" t="str">
        <f>E48</f>
        <v>销售额×税（费）率</v>
      </c>
      <c r="O52" s="2311">
        <f>F48</f>
        <v>5.6000000000000001E-2</v>
      </c>
    </row>
    <row r="53" spans="1:35" ht="12" customHeight="1">
      <c r="A53" s="2151" t="s">
        <v>1356</v>
      </c>
      <c r="B53" s="3318" t="s">
        <v>2291</v>
      </c>
      <c r="C53" s="3319"/>
      <c r="D53" s="1024" t="e">
        <f ca="1">ROUND(D45*'数据-取费表'!B41/(1+'数据-取费表'!C42),0)</f>
        <v>#REF!</v>
      </c>
      <c r="E53" s="1256" t="s">
        <v>1354</v>
      </c>
      <c r="F53" s="2338">
        <f>'数据-取费表'!B41</f>
        <v>5.6000000000000001E-2</v>
      </c>
      <c r="G53" s="2339"/>
      <c r="H53" s="2329"/>
      <c r="I53" s="1669"/>
      <c r="J53" s="2308">
        <v>2</v>
      </c>
      <c r="K53" s="3294" t="s">
        <v>1357</v>
      </c>
      <c r="L53" s="3294"/>
      <c r="M53" s="2310" t="e">
        <f t="shared" ref="M53:O54" ca="1" si="0">D55</f>
        <v>#REF!</v>
      </c>
      <c r="N53" s="2308" t="str">
        <f t="shared" si="0"/>
        <v>销售额×税（费）率</v>
      </c>
      <c r="O53" s="2311" t="str">
        <f t="shared" si="0"/>
        <v>免征</v>
      </c>
    </row>
    <row r="54" spans="1:35" ht="12" customHeight="1">
      <c r="A54" s="2151" t="s">
        <v>1358</v>
      </c>
      <c r="B54" s="3318" t="s">
        <v>2292</v>
      </c>
      <c r="C54" s="3319"/>
      <c r="D54" s="1024" t="e">
        <f ca="1">C68</f>
        <v>#REF!</v>
      </c>
      <c r="E54" s="319" t="s">
        <v>1359</v>
      </c>
      <c r="F54" s="2338">
        <f>'数据-取费表'!B41</f>
        <v>5.6000000000000001E-2</v>
      </c>
      <c r="G54" s="2339"/>
      <c r="H54" s="2340"/>
      <c r="I54" s="1669"/>
      <c r="J54" s="2308">
        <v>3</v>
      </c>
      <c r="K54" s="3294" t="s">
        <v>1360</v>
      </c>
      <c r="L54" s="3294"/>
      <c r="M54" s="2310" t="e">
        <f t="shared" ca="1" si="0"/>
        <v>#REF!</v>
      </c>
      <c r="N54" s="2308" t="str">
        <f t="shared" si="0"/>
        <v>增值额×税（费）率</v>
      </c>
      <c r="O54" s="2312" t="str">
        <f t="shared" si="0"/>
        <v>免征</v>
      </c>
    </row>
    <row r="55" spans="1:35" ht="24" customHeight="1">
      <c r="A55" s="3354" t="s">
        <v>1361</v>
      </c>
      <c r="B55" s="3332"/>
      <c r="C55" s="3332"/>
      <c r="D55" s="12" t="e">
        <f ca="1">IF(H55="个人住宅",0,ROUND(D45*I55,0))</f>
        <v>#REF!</v>
      </c>
      <c r="E55" s="1256" t="s">
        <v>1362</v>
      </c>
      <c r="F55" s="2338" t="str">
        <f>IF(H55="正常",I55,"免征")</f>
        <v>免征</v>
      </c>
      <c r="G55" s="2339"/>
      <c r="H55" s="2335"/>
      <c r="I55" s="157">
        <f>'数据-取费表'!B49</f>
        <v>5.0000000000000001E-4</v>
      </c>
      <c r="J55" s="2308">
        <f>IF(H59="非个人房产","",4)</f>
        <v>4</v>
      </c>
      <c r="K55" s="3294" t="str">
        <f>IF(H59="非个人房产","——","个人所得税")</f>
        <v>个人所得税</v>
      </c>
      <c r="L55" s="3294"/>
      <c r="M55" s="2313" t="e">
        <f ca="1">D59</f>
        <v>#REF!</v>
      </c>
      <c r="N55" s="1881" t="str">
        <f>E59</f>
        <v>差额计税</v>
      </c>
      <c r="O55" s="2314">
        <f>F59</f>
        <v>0.01</v>
      </c>
    </row>
    <row r="56" spans="1:35" ht="24.75">
      <c r="A56" s="3354" t="s">
        <v>1363</v>
      </c>
      <c r="B56" s="3332"/>
      <c r="C56" s="3332"/>
      <c r="D56" s="12" t="e">
        <f ca="1">IF(H56="个人住宅",D57,D58)</f>
        <v>#REF!</v>
      </c>
      <c r="E56" s="1256" t="s">
        <v>1364</v>
      </c>
      <c r="F56" s="2338" t="str">
        <f>IF(H56="正常",F58,"免征")</f>
        <v>免征</v>
      </c>
      <c r="G56" s="2341" t="s">
        <v>1365</v>
      </c>
      <c r="H56" s="2342"/>
      <c r="I56" s="1670"/>
      <c r="J56" s="2308" t="str">
        <f>IF(项目基本情况!K6="上海银行",IF(J55="",4,J55+1),"")</f>
        <v/>
      </c>
      <c r="K56" s="3275" t="str">
        <f>IF(项目基本情况!K6="上海银行","其他处置费用","")</f>
        <v/>
      </c>
      <c r="L56" s="3276"/>
      <c r="M56" s="2310" t="str">
        <f>IF(项目基本情况!K6="上海银行",M69,"")</f>
        <v/>
      </c>
      <c r="N56" s="3275" t="str">
        <f>IF(项目基本情况!K6="上海银行","包含处置中涉及的律师、诉讼、拍卖、评估等费用","")</f>
        <v/>
      </c>
      <c r="O56" s="3278"/>
    </row>
    <row r="57" spans="1:35" ht="12.75">
      <c r="A57" s="2151" t="s">
        <v>1341</v>
      </c>
      <c r="B57" s="3318" t="s">
        <v>1366</v>
      </c>
      <c r="C57" s="3319"/>
      <c r="D57" s="1478">
        <v>0</v>
      </c>
      <c r="E57" s="316" t="s">
        <v>1343</v>
      </c>
      <c r="F57" s="294"/>
      <c r="G57" s="2339"/>
      <c r="H57" s="2343"/>
      <c r="I57" s="1670"/>
      <c r="J57" s="3294">
        <f>IF(AND(J55="",J56=""),4,IF(项目基本情况!K6="上海银行",'结果表-住宅'!J56+1,'结果表-住宅'!J55+1))</f>
        <v>5</v>
      </c>
      <c r="K57" s="3294" t="s">
        <v>1367</v>
      </c>
      <c r="L57" s="2315" t="s">
        <v>1368</v>
      </c>
      <c r="M57" s="2316"/>
      <c r="N57" s="2317">
        <f ca="1">SUMIF(M52:M56,"&lt;9e307")</f>
        <v>0</v>
      </c>
      <c r="O57" s="2318"/>
      <c r="P57" s="2463" t="e">
        <f ca="1">N57/M49</f>
        <v>#VALUE!</v>
      </c>
    </row>
    <row r="58" spans="1:35" ht="24.75">
      <c r="A58" s="2151" t="s">
        <v>1352</v>
      </c>
      <c r="B58" s="3318" t="s">
        <v>1369</v>
      </c>
      <c r="C58" s="3317"/>
      <c r="D58" s="12" t="e">
        <f ca="1">IF(H58="转让取得",C81,C97)</f>
        <v>#REF!</v>
      </c>
      <c r="E58" s="1256" t="s">
        <v>1364</v>
      </c>
      <c r="F58" s="294" t="s">
        <v>28</v>
      </c>
      <c r="G58" s="2339"/>
      <c r="H58" s="2342"/>
      <c r="I58" s="1670"/>
      <c r="J58" s="3294"/>
      <c r="K58" s="3294"/>
      <c r="L58" s="2315" t="s">
        <v>1370</v>
      </c>
      <c r="M58" s="2319"/>
      <c r="N58" s="2320" t="str">
        <f ca="1">NUMBERSTRING(INT(N57*10000),2)&amp;"元整"</f>
        <v>零元整</v>
      </c>
      <c r="O58" s="2321"/>
    </row>
    <row r="59" spans="1:35" ht="24.75" thickBot="1">
      <c r="A59" s="3298" t="s">
        <v>1371</v>
      </c>
      <c r="B59" s="3299"/>
      <c r="C59" s="3299"/>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296">
        <f>J57+1</f>
        <v>6</v>
      </c>
      <c r="K59" s="3294" t="s">
        <v>1372</v>
      </c>
      <c r="L59" s="2308" t="s">
        <v>1368</v>
      </c>
      <c r="M59" s="2322"/>
      <c r="N59" s="2323" t="e">
        <f ca="1">M49-N57</f>
        <v>#VALUE!</v>
      </c>
      <c r="O59" s="2324"/>
    </row>
    <row r="60" spans="1:35" ht="12" customHeight="1">
      <c r="A60" s="1671"/>
      <c r="B60" s="646"/>
      <c r="C60" s="646"/>
      <c r="D60" s="646"/>
      <c r="E60" s="1466"/>
      <c r="F60" s="1670"/>
      <c r="G60" s="1670"/>
      <c r="H60" s="151"/>
      <c r="I60" s="121"/>
      <c r="J60" s="3297"/>
      <c r="K60" s="3294"/>
      <c r="L60" s="2315" t="s">
        <v>1370</v>
      </c>
      <c r="M60" s="2319"/>
      <c r="N60" s="2320" t="e">
        <f ca="1">NUMBERSTRING(INT(N59*10000),2)&amp;"元整"</f>
        <v>#VALUE!</v>
      </c>
      <c r="O60" s="2321"/>
    </row>
    <row r="61" spans="1:35" ht="13.5" thickBot="1">
      <c r="A61" s="3353" t="s">
        <v>1373</v>
      </c>
      <c r="B61" s="3353"/>
      <c r="C61" s="3353"/>
      <c r="D61" s="3353"/>
      <c r="E61" s="3353"/>
      <c r="F61" s="1670"/>
      <c r="G61" s="1670"/>
      <c r="H61" s="151"/>
      <c r="I61" s="121"/>
      <c r="J61" s="2308">
        <f>J59+1</f>
        <v>7</v>
      </c>
      <c r="K61" s="3294" t="s">
        <v>1374</v>
      </c>
      <c r="L61" s="3294"/>
      <c r="M61" s="2325"/>
      <c r="N61" s="2326" t="e">
        <f ca="1">ROUND(N59*10000/'数据-汇总表'!E3,0)</f>
        <v>#VALUE!</v>
      </c>
      <c r="O61" s="2327"/>
    </row>
    <row r="62" spans="1:35" ht="12.75">
      <c r="A62" s="3313" t="s">
        <v>1375</v>
      </c>
      <c r="B62" s="3314"/>
      <c r="C62" s="1863"/>
      <c r="D62" s="1863"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277"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27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277"/>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277"/>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27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5.6000000000000001E-2</v>
      </c>
      <c r="E68" s="170"/>
      <c r="F68" s="1670"/>
      <c r="G68" s="1670"/>
      <c r="H68" s="151"/>
      <c r="I68" s="121"/>
      <c r="J68" s="3277"/>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277"/>
      <c r="K69" s="1245" t="s">
        <v>1393</v>
      </c>
      <c r="L69" s="1245"/>
      <c r="M69" s="294" t="e">
        <f>ROUND(SUM(M63:M68),0)</f>
        <v>#VALUE!</v>
      </c>
      <c r="N69" s="2330" t="e">
        <f>M69/M49</f>
        <v>#VALUE!</v>
      </c>
      <c r="Z69" s="1623"/>
      <c r="AI69" s="1561"/>
    </row>
    <row r="70" spans="1:35" s="642" customFormat="1" ht="15"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3" t="s">
        <v>1375</v>
      </c>
      <c r="B71" s="3314"/>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8" t="s">
        <v>1402</v>
      </c>
      <c r="F76" s="3317"/>
      <c r="G76" s="3317"/>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6.000000000000001E-3</v>
      </c>
      <c r="E78" s="3310" t="s">
        <v>1406</v>
      </c>
      <c r="F78" s="3311"/>
      <c r="G78" s="3311"/>
      <c r="H78" s="331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3" t="s">
        <v>1375</v>
      </c>
      <c r="B84" s="3314"/>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6"/>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6"/>
      <c r="G90" s="3279" t="s">
        <v>2129</v>
      </c>
      <c r="H90" s="3280"/>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0" t="s">
        <v>1419</v>
      </c>
      <c r="F91" s="3311"/>
      <c r="G91" s="331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0" t="s">
        <v>1422</v>
      </c>
      <c r="F92" s="3311"/>
      <c r="G92" s="3311"/>
      <c r="H92" s="3312"/>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6.000000000000001E-3</v>
      </c>
      <c r="E93" s="3310" t="s">
        <v>1406</v>
      </c>
      <c r="F93" s="3311"/>
      <c r="G93" s="3311"/>
      <c r="H93" s="331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55" t="s">
        <v>1426</v>
      </c>
      <c r="F94" s="3356"/>
      <c r="G94" s="3356"/>
      <c r="H94" s="335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95"/>
      <c r="E100" s="3261" t="s">
        <v>1429</v>
      </c>
      <c r="F100" s="3261"/>
      <c r="G100" s="3261"/>
      <c r="H100" s="3295"/>
      <c r="I100" s="121"/>
    </row>
    <row r="101" spans="1:35" ht="18.75" customHeight="1">
      <c r="A101" s="3303" t="s">
        <v>1430</v>
      </c>
      <c r="B101" s="3304"/>
      <c r="C101" s="2369" t="str">
        <f>C4</f>
        <v>比较法-住宅</v>
      </c>
      <c r="D101" s="2370" t="str">
        <f>D4</f>
        <v>比较法-住宅</v>
      </c>
      <c r="E101" s="3273" t="s">
        <v>1431</v>
      </c>
      <c r="F101" s="3274"/>
      <c r="G101" s="1687" t="s">
        <v>1432</v>
      </c>
      <c r="H101" s="2379" t="e">
        <f ca="1">H118</f>
        <v>#REF!</v>
      </c>
      <c r="I101" s="121"/>
    </row>
    <row r="102" spans="1:35" ht="18.75" customHeight="1">
      <c r="A102" s="3305" t="s">
        <v>1433</v>
      </c>
      <c r="B102" s="2368" t="s">
        <v>1432</v>
      </c>
      <c r="C102" s="2369">
        <f ca="1">IF(D32="楼面单价",ROUND(C19,0),C19)</f>
        <v>2335.8679999999999</v>
      </c>
      <c r="D102" s="2370">
        <f ca="1">IF(D32="楼面单价",ROUND(D19,0),D19)</f>
        <v>2335.8679999999999</v>
      </c>
      <c r="E102" s="3273"/>
      <c r="F102" s="3274"/>
      <c r="G102" s="1687" t="s">
        <v>1434</v>
      </c>
      <c r="H102" s="2339" t="e">
        <f ca="1">I118</f>
        <v>#REF!</v>
      </c>
      <c r="I102" s="121"/>
    </row>
    <row r="103" spans="1:35" ht="42.75" customHeight="1">
      <c r="A103" s="3305"/>
      <c r="B103" s="2368" t="s">
        <v>1434</v>
      </c>
      <c r="C103" s="2371">
        <f ca="1">C20</f>
        <v>98220</v>
      </c>
      <c r="D103" s="2372">
        <f ca="1">D20</f>
        <v>98220</v>
      </c>
      <c r="E103" s="3266" t="s">
        <v>1435</v>
      </c>
      <c r="F103" s="3267"/>
      <c r="G103" s="1688" t="s">
        <v>1436</v>
      </c>
      <c r="H103" s="2379">
        <f>IF(D36="正常操作",H104+H105+H106,H105+H106)</f>
        <v>0</v>
      </c>
      <c r="I103" s="121"/>
    </row>
    <row r="104" spans="1:35" ht="18.75" customHeight="1">
      <c r="A104" s="3305"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15"/>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6" t="str">
        <f>IF(项目基本情况!E8="已注销","——","3.房地产抵押价值")</f>
        <v>3.房地产抵押价值</v>
      </c>
      <c r="F107" s="3274"/>
      <c r="G107" s="1687" t="s">
        <v>1432</v>
      </c>
      <c r="H107" s="2379" t="e">
        <f ca="1">IF(E107="——","——",H101-H103)</f>
        <v>#REF!</v>
      </c>
      <c r="I107" s="121"/>
    </row>
    <row r="108" spans="1:35" ht="18.75" customHeight="1">
      <c r="A108" s="121"/>
      <c r="B108" s="121"/>
      <c r="C108" s="121"/>
      <c r="D108" s="121"/>
      <c r="E108" s="3306"/>
      <c r="F108" s="3274"/>
      <c r="G108" s="1687" t="s">
        <v>1434</v>
      </c>
      <c r="H108" s="2339">
        <f ca="1">IF(H107=H101,H102,ROUND(H107*10000/'数据-汇总表'!E3,0))</f>
        <v>0</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274"/>
      <c r="G109" s="1687" t="s">
        <v>1432</v>
      </c>
      <c r="H109" s="2382" t="str">
        <f>IF(E109="——","——",H101-H105-H106)</f>
        <v>——</v>
      </c>
      <c r="I109" s="121"/>
    </row>
    <row r="110" spans="1:35" ht="18.75" customHeight="1">
      <c r="A110" s="121"/>
      <c r="B110" s="121"/>
      <c r="C110" s="121"/>
      <c r="D110" s="121"/>
      <c r="E110" s="3306"/>
      <c r="F110" s="3274"/>
      <c r="G110" s="1687" t="s">
        <v>1434</v>
      </c>
      <c r="H110" s="2339" t="str">
        <f>IF(H109="——","——",ROUND(H109*10000/'数据-汇总表'!E3,0))</f>
        <v>——</v>
      </c>
      <c r="I110" s="121"/>
    </row>
    <row r="111" spans="1:35" ht="18.75" customHeight="1">
      <c r="A111" s="121"/>
      <c r="B111" s="121"/>
      <c r="C111" s="121"/>
      <c r="D111" s="121"/>
      <c r="E111" s="3307" t="str">
        <f>IF(项目基本情况!E9="抵押净值",IF(OR(项目基本情况!E8="已注销",项目基本情况!E8="房地产抵押价值"),"4.抵押净值","5.抵押净值"),"——")</f>
        <v>——</v>
      </c>
      <c r="F111" s="3293"/>
      <c r="G111" s="1687" t="s">
        <v>1432</v>
      </c>
      <c r="H111" s="2379" t="str">
        <f>IF(E111="——","——",N59)</f>
        <v>——</v>
      </c>
      <c r="I111" s="121"/>
    </row>
    <row r="112" spans="1:35" ht="18.75" customHeight="1" thickBot="1">
      <c r="A112" s="121"/>
      <c r="B112" s="121"/>
      <c r="C112" s="121"/>
      <c r="D112" s="121"/>
      <c r="E112" s="3308"/>
      <c r="F112" s="3309"/>
      <c r="G112" s="1690" t="s">
        <v>1434</v>
      </c>
      <c r="H112" s="2383"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1" t="s">
        <v>1443</v>
      </c>
      <c r="B116" s="3285" t="s">
        <v>1444</v>
      </c>
      <c r="C116" s="3285" t="s">
        <v>1445</v>
      </c>
      <c r="D116" s="3291" t="s">
        <v>1446</v>
      </c>
      <c r="E116" s="3292"/>
      <c r="F116" s="3323" t="s">
        <v>1447</v>
      </c>
      <c r="G116" s="3323"/>
      <c r="H116" s="3281" t="s">
        <v>1448</v>
      </c>
      <c r="I116" s="3281"/>
    </row>
    <row r="117" spans="1:27" ht="18.75" customHeight="1">
      <c r="A117" s="3281"/>
      <c r="B117" s="3286"/>
      <c r="C117" s="3286"/>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237.82</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81" t="s">
        <v>1452</v>
      </c>
      <c r="B119" s="3281"/>
      <c r="C119" s="3281"/>
      <c r="D119" s="3287" t="e">
        <f ca="1">NUMBERSTRING(INT(D118*10000),2)&amp;"元整"</f>
        <v>#REF!</v>
      </c>
      <c r="E119" s="3288"/>
      <c r="F119" s="3287" t="e">
        <f ca="1">NUMBERSTRING(INT(F118*10000),2)&amp;"元整"</f>
        <v>#REF!</v>
      </c>
      <c r="G119" s="3288"/>
      <c r="H119" s="3287" t="e">
        <f ca="1">NUMBERSTRING(INT(H118*10000),2)&amp;"元整"</f>
        <v>#REF!</v>
      </c>
      <c r="I119" s="3288"/>
    </row>
    <row r="120" spans="1:27" ht="18.75" customHeight="1">
      <c r="A120" s="3282" t="str">
        <f>IF(项目基本情况!B9="房地产市场价值","",MID(E103,3,LEN(E103)-2))</f>
        <v/>
      </c>
      <c r="B120" s="3283"/>
      <c r="C120" s="3284"/>
      <c r="D120" s="3282">
        <f>H103</f>
        <v>0</v>
      </c>
      <c r="E120" s="3283"/>
      <c r="F120" s="3283"/>
      <c r="G120" s="3283"/>
      <c r="H120" s="3283"/>
      <c r="I120" s="3284"/>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87" t="s">
        <v>1452</v>
      </c>
      <c r="B121" s="3289"/>
      <c r="C121" s="3288"/>
      <c r="D121" s="3287" t="str">
        <f>IF(D120=0,"零元整",NUMBERSTRING(INT(D120*10000),2)&amp;"元整")</f>
        <v>零元整</v>
      </c>
      <c r="E121" s="3289"/>
      <c r="F121" s="3289"/>
      <c r="G121" s="3289"/>
      <c r="H121" s="3289"/>
      <c r="I121" s="3288"/>
      <c r="AA121" s="684"/>
    </row>
    <row r="122" spans="1:27" ht="18.75" customHeight="1">
      <c r="A122" s="3293" t="str">
        <f>IF(项目基本情况!B9="房地产市场价值","",MID(E107,3,LEN(E107)-2))</f>
        <v/>
      </c>
      <c r="B122" s="3293"/>
      <c r="C122" s="3293"/>
      <c r="D122" s="3282" t="e">
        <f ca="1">H107</f>
        <v>#REF!</v>
      </c>
      <c r="E122" s="3283"/>
      <c r="F122" s="3283"/>
      <c r="G122" s="3283"/>
      <c r="H122" s="3283"/>
      <c r="I122" s="3284"/>
      <c r="AA122" s="684"/>
    </row>
    <row r="123" spans="1:27" ht="18.75" customHeight="1">
      <c r="A123" s="3281" t="s">
        <v>1452</v>
      </c>
      <c r="B123" s="3281"/>
      <c r="C123" s="3281"/>
      <c r="D123" s="3287" t="e">
        <f ca="1">NUMBERSTRING(INT(D122*10000),2)&amp;"元整"</f>
        <v>#REF!</v>
      </c>
      <c r="E123" s="3289"/>
      <c r="F123" s="3289"/>
      <c r="G123" s="3289"/>
      <c r="H123" s="3289"/>
      <c r="I123" s="3288"/>
      <c r="AA123" s="684"/>
    </row>
    <row r="124" spans="1:27" ht="18.75" customHeight="1">
      <c r="A124" s="3293" t="str">
        <f>IF(项目基本情况!B9="房地产市场价值","",MID(E109,3,LEN(E109)-2))</f>
        <v/>
      </c>
      <c r="B124" s="3293"/>
      <c r="C124" s="3293"/>
      <c r="D124" s="3282" t="str">
        <f>H109</f>
        <v>——</v>
      </c>
      <c r="E124" s="3283"/>
      <c r="F124" s="3283"/>
      <c r="G124" s="3283"/>
      <c r="H124" s="3283"/>
      <c r="I124" s="3284"/>
      <c r="AA124" s="684"/>
    </row>
    <row r="125" spans="1:27" ht="18.75" customHeight="1">
      <c r="A125" s="3281" t="s">
        <v>1452</v>
      </c>
      <c r="B125" s="3281"/>
      <c r="C125" s="3281"/>
      <c r="D125" s="3287" t="e">
        <f>NUMBERSTRING(INT(D124*10000),2)&amp;"元整"</f>
        <v>#VALUE!</v>
      </c>
      <c r="E125" s="3289"/>
      <c r="F125" s="3289"/>
      <c r="G125" s="3289"/>
      <c r="H125" s="3289"/>
      <c r="I125" s="3288"/>
      <c r="AA125" s="684"/>
    </row>
    <row r="126" spans="1:27" ht="18.75" customHeight="1">
      <c r="A126" s="3293" t="str">
        <f>IF(项目基本情况!B9="房地产市场价值","",MID(E111,3,LEN(E111)-2))</f>
        <v/>
      </c>
      <c r="B126" s="3293"/>
      <c r="C126" s="3293"/>
      <c r="D126" s="3282" t="str">
        <f>H111</f>
        <v>——</v>
      </c>
      <c r="E126" s="3283"/>
      <c r="F126" s="3283"/>
      <c r="G126" s="3283"/>
      <c r="H126" s="3283"/>
      <c r="I126" s="3284"/>
      <c r="AA126" s="684"/>
    </row>
    <row r="127" spans="1:27" ht="18.75" customHeight="1">
      <c r="A127" s="3281" t="s">
        <v>1452</v>
      </c>
      <c r="B127" s="3281"/>
      <c r="C127" s="3281"/>
      <c r="D127" s="3287" t="e">
        <f>NUMBERSTRING(INT(D126*10000),2)&amp;"元整"</f>
        <v>#VALUE!</v>
      </c>
      <c r="E127" s="3289"/>
      <c r="F127" s="3289"/>
      <c r="G127" s="3289"/>
      <c r="H127" s="3289"/>
      <c r="I127" s="3288"/>
      <c r="AA127" s="684"/>
    </row>
    <row r="128" spans="1:27" ht="21.75" customHeight="1">
      <c r="A128" s="3290" t="s">
        <v>1453</v>
      </c>
      <c r="B128" s="3290"/>
      <c r="C128" s="3290"/>
      <c r="D128" s="3290"/>
      <c r="E128" s="3290"/>
      <c r="F128" s="3290"/>
      <c r="G128" s="3290"/>
      <c r="H128" s="3290"/>
      <c r="I128" s="329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9</v>
      </c>
    </row>
    <row r="2" spans="1:9" s="192" customFormat="1" ht="18" customHeight="1">
      <c r="A2" s="193" t="s">
        <v>1462</v>
      </c>
      <c r="B2" s="194">
        <f ca="1">IF(D2="——",C52,C52-E2)</f>
        <v>159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6043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4</v>
      </c>
      <c r="D9" s="795">
        <f ca="1">IF(B1="",'数据-汇总表'!E5,IF(INDIRECT("'数据-取费表'!c"&amp;$G$1)="住宅",INDIRECT("'数据-取费表'!k"&amp;$G$1),0))</f>
        <v>237.82</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25.29000000000002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263.11</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v>
      </c>
      <c r="D27" s="227">
        <f ca="1">C29</f>
        <v>8.6999999999999994E-3</v>
      </c>
      <c r="E27" s="228" t="s">
        <v>1514</v>
      </c>
      <c r="F27" s="238">
        <f ca="1">IF(B1="",'数据-取费表'!Q16,INDIRECT("'数据-取费表'!q"&amp;$G$1))</f>
        <v>0.28999999999999998</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8.6999999999999994E-3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111</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5</v>
      </c>
      <c r="D36" s="212"/>
      <c r="E36" s="212"/>
      <c r="F36" s="251">
        <f>'数据-取费表'!B34</f>
        <v>0.05</v>
      </c>
      <c r="G36" s="252" t="s">
        <v>1530</v>
      </c>
    </row>
    <row r="37" spans="1:7" s="250" customFormat="1" ht="13.5" customHeight="1">
      <c r="A37" s="734" t="s">
        <v>353</v>
      </c>
      <c r="B37" s="207" t="s">
        <v>1531</v>
      </c>
      <c r="C37" s="241">
        <f ca="1">ROUND(E37*D37*F34/10000,0)</f>
        <v>5</v>
      </c>
      <c r="D37" s="209">
        <f ca="1">D19</f>
        <v>263.11</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60" t="s">
        <v>1544</v>
      </c>
    </row>
    <row r="43" spans="1:7" ht="13.5" customHeight="1">
      <c r="A43" s="734" t="s">
        <v>347</v>
      </c>
      <c r="B43" s="207" t="s">
        <v>1545</v>
      </c>
      <c r="C43" s="230">
        <f ca="1">ROUND(IF('数据-取费表'!B22&lt;=1,C39*F22*'数据-取费表'!B21/2,C39*(POWER((1+F22),'数据-取费表'!B21/2)-1)),0)</f>
        <v>0</v>
      </c>
      <c r="D43" s="230"/>
      <c r="E43" s="230"/>
      <c r="F43" s="231"/>
      <c r="G43" s="3361"/>
    </row>
    <row r="44" spans="1:7" ht="13.5" customHeight="1">
      <c r="A44" s="734" t="s">
        <v>348</v>
      </c>
      <c r="B44" s="207" t="s">
        <v>1546</v>
      </c>
      <c r="C44" s="230">
        <f ca="1">ROUND(IF('数据-取费表'!B22&lt;=1,C40*F22*'数据-取费表'!B21/2,C40*(POWER((1+F22),'数据-取费表'!B21/2)-1)),4)</f>
        <v>8.9999999999999998E-4</v>
      </c>
      <c r="D44" s="230"/>
      <c r="E44" s="230"/>
      <c r="F44" s="231"/>
      <c r="G44" s="3362"/>
    </row>
    <row r="45" spans="1:7" s="206" customFormat="1" ht="13.5" customHeight="1">
      <c r="A45" s="247" t="s">
        <v>1547</v>
      </c>
      <c r="B45" s="236" t="s">
        <v>1513</v>
      </c>
      <c r="C45" s="237">
        <f ca="1">C46</f>
        <v>38</v>
      </c>
      <c r="D45" s="227">
        <f ca="1">C47</f>
        <v>8.6999999999999994E-3</v>
      </c>
      <c r="E45" s="228" t="s">
        <v>1539</v>
      </c>
      <c r="F45" s="238">
        <f ca="1">F27</f>
        <v>0.28999999999999998</v>
      </c>
      <c r="G45" s="239" t="s">
        <v>1548</v>
      </c>
    </row>
    <row r="46" spans="1:7" s="206" customFormat="1" ht="13.5" customHeight="1">
      <c r="A46" s="734" t="s">
        <v>346</v>
      </c>
      <c r="B46" s="240" t="s">
        <v>1549</v>
      </c>
      <c r="C46" s="241">
        <f ca="1">ROUND((C33+C39)*F27,0)</f>
        <v>38</v>
      </c>
      <c r="D46" s="255"/>
      <c r="E46" s="228"/>
      <c r="F46" s="238"/>
      <c r="G46" s="239"/>
    </row>
    <row r="47" spans="1:7" s="206" customFormat="1" ht="13.5" customHeight="1">
      <c r="A47" s="734" t="s">
        <v>347</v>
      </c>
      <c r="B47" s="240" t="s">
        <v>1550</v>
      </c>
      <c r="C47" s="230">
        <f ca="1">ROUND(C40*F27,4)</f>
        <v>8.6999999999999994E-3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190</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152</v>
      </c>
      <c r="D51" s="224"/>
      <c r="E51" s="224"/>
      <c r="F51" s="256"/>
      <c r="G51" s="226" t="s">
        <v>1560</v>
      </c>
    </row>
    <row r="52" spans="1:7" s="200" customFormat="1" ht="16.5" thickBot="1">
      <c r="A52" s="257" t="s">
        <v>1561</v>
      </c>
      <c r="B52" s="258"/>
      <c r="C52" s="259">
        <f ca="1">C31+C51</f>
        <v>159</v>
      </c>
      <c r="D52" s="258"/>
      <c r="E52" s="258"/>
      <c r="F52" s="258"/>
      <c r="G52" s="260"/>
    </row>
    <row r="55" spans="1:7" ht="15">
      <c r="B55" s="262" t="s">
        <v>1562</v>
      </c>
      <c r="C55" s="263"/>
    </row>
    <row r="56" spans="1:7">
      <c r="B56" s="265" t="s">
        <v>802</v>
      </c>
      <c r="C56" s="267">
        <f ca="1">1-C57</f>
        <v>4.4000000000000039E-2</v>
      </c>
    </row>
    <row r="57" spans="1:7">
      <c r="B57" s="265" t="s">
        <v>803</v>
      </c>
      <c r="C57" s="266">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北京市房地产市场价值预评估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9</v>
      </c>
    </row>
    <row r="2" spans="1:33" ht="18" customHeight="1">
      <c r="A2" s="193" t="s">
        <v>1462</v>
      </c>
      <c r="B2" s="196">
        <f ca="1">C32</f>
        <v>-6</v>
      </c>
      <c r="C2" s="268" t="s">
        <v>1595</v>
      </c>
      <c r="D2" s="268"/>
      <c r="E2" s="2566"/>
      <c r="F2" s="2566"/>
      <c r="G2" s="2566"/>
      <c r="H2" s="2566"/>
      <c r="I2" s="2566"/>
      <c r="J2" s="2566"/>
      <c r="K2" s="2566"/>
    </row>
    <row r="3" spans="1:33" ht="18" customHeight="1" thickBot="1">
      <c r="A3" s="195" t="s">
        <v>1464</v>
      </c>
      <c r="B3" s="196">
        <f ca="1">ROUND(B2*10000/IF(C1="",'数据-汇总表'!E3,INDIRECT("'数据-取费表'!K"&amp;$K$1)),0)</f>
        <v>-228</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263.11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263.11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4</v>
      </c>
      <c r="D19" s="796">
        <f ca="1">IF(C1="",'数据-汇总表'!E5,IF(INDIRECT("'数据-取费表'!c"&amp;$K$1)="住宅",INDIRECT("'数据-取费表'!k"&amp;$K$1),0))</f>
        <v>237.82</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25.29000000000002</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0.28999999999999998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9</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63" t="s">
        <v>837</v>
      </c>
      <c r="L53" s="336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7">
      <formula>$J$51&gt;$L$48</formula>
    </cfRule>
  </conditionalFormatting>
  <conditionalFormatting sqref="J11">
    <cfRule type="expression" dxfId="139" priority="2">
      <formula>$M$10="自定义"</formula>
    </cfRule>
  </conditionalFormatting>
  <conditionalFormatting sqref="K55 K60">
    <cfRule type="expression" dxfId="13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J51" sqref="J5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3406</v>
      </c>
      <c r="D1" s="1271" t="s">
        <v>43</v>
      </c>
      <c r="E1" s="1272" t="s">
        <v>678</v>
      </c>
      <c r="F1" s="999">
        <f ca="1">J53</f>
        <v>45</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1281.7719999999999</v>
      </c>
      <c r="C2" s="1289" t="s">
        <v>879</v>
      </c>
      <c r="D2" s="1375">
        <f ca="1">C40+J29+L46</f>
        <v>12817720</v>
      </c>
      <c r="E2" s="1295" t="s">
        <v>880</v>
      </c>
      <c r="F2" s="1296"/>
      <c r="G2" s="2477"/>
      <c r="H2" s="2467"/>
      <c r="I2" s="2467"/>
      <c r="J2" s="2467"/>
      <c r="K2" s="2468"/>
      <c r="L2" s="2467"/>
      <c r="M2" s="2467"/>
    </row>
    <row r="3" spans="1:37" ht="18" customHeight="1" thickBot="1">
      <c r="A3" s="1297" t="s">
        <v>881</v>
      </c>
      <c r="B3" s="1298">
        <f ca="1">IF(ISERROR(D2/F43),0,ROUND(D2/F43,0))</f>
        <v>53897</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456570</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456000</v>
      </c>
      <c r="D6" s="147" t="s">
        <v>2106</v>
      </c>
      <c r="E6" s="294" t="s">
        <v>696</v>
      </c>
      <c r="F6" s="295">
        <f ca="1">INDIRECT("'数据-取费表'!u"&amp;$G$1)</f>
        <v>40000</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1</v>
      </c>
      <c r="G7" s="1292"/>
      <c r="H7" s="296"/>
      <c r="I7" s="3366"/>
      <c r="J7" s="298"/>
      <c r="K7" s="299"/>
      <c r="L7" s="294" t="s">
        <v>697</v>
      </c>
      <c r="M7" s="295">
        <f ca="1">F7</f>
        <v>1</v>
      </c>
    </row>
    <row r="8" spans="1:37" ht="18" customHeight="1">
      <c r="A8" s="296"/>
      <c r="B8" s="3366"/>
      <c r="C8" s="298"/>
      <c r="D8" s="299"/>
      <c r="E8" s="294" t="s">
        <v>698</v>
      </c>
      <c r="F8" s="295">
        <f ca="1">INDIRECT("'数据-取费表'!ai"&amp;$G$1)</f>
        <v>12</v>
      </c>
      <c r="G8" s="1292"/>
      <c r="H8" s="296"/>
      <c r="I8" s="3366"/>
      <c r="J8" s="298"/>
      <c r="K8" s="299"/>
      <c r="L8" s="294" t="s">
        <v>698</v>
      </c>
      <c r="M8" s="295">
        <f ca="1">INDIRECT("'数据-取费表'!ai"&amp;$G$1)</f>
        <v>12</v>
      </c>
    </row>
    <row r="9" spans="1:37" ht="18" customHeight="1">
      <c r="A9" s="296"/>
      <c r="B9" s="3367"/>
      <c r="C9" s="298"/>
      <c r="D9" s="299"/>
      <c r="E9" s="294" t="s">
        <v>699</v>
      </c>
      <c r="F9" s="304">
        <f ca="1">INDIRECT("'数据-取费表'!w"&amp;$G$1)</f>
        <v>0.05</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570</v>
      </c>
      <c r="D10" s="150" t="s">
        <v>2116</v>
      </c>
      <c r="E10" s="305" t="s">
        <v>701</v>
      </c>
      <c r="F10" s="1053" t="s">
        <v>3437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1476834</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1070190</v>
      </c>
      <c r="D14" s="1257" t="s">
        <v>708</v>
      </c>
      <c r="E14" s="1255"/>
      <c r="F14" s="311"/>
      <c r="G14" s="1292"/>
      <c r="H14" s="928" t="s">
        <v>398</v>
      </c>
      <c r="I14" s="294" t="s">
        <v>709</v>
      </c>
      <c r="J14" s="21">
        <f ca="1">C29</f>
        <v>1846042</v>
      </c>
      <c r="K14" s="12"/>
      <c r="L14" s="759"/>
      <c r="M14" s="760"/>
    </row>
    <row r="15" spans="1:37" s="1304" customFormat="1" ht="18" customHeight="1" thickBot="1">
      <c r="A15" s="928" t="s">
        <v>399</v>
      </c>
      <c r="B15" s="294" t="s">
        <v>710</v>
      </c>
      <c r="C15" s="21">
        <f ca="1">ROUND(C14*F15,0)</f>
        <v>53510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53510</v>
      </c>
      <c r="D16" s="294" t="s">
        <v>711</v>
      </c>
      <c r="E16" s="294" t="s">
        <v>712</v>
      </c>
      <c r="F16" s="314">
        <f ca="1">IF(INDIRECT("'数据-取费表'!c"&amp;$G$1)="住宅",'数据-取费表'!B34,0)</f>
        <v>0.05</v>
      </c>
      <c r="G16" s="1292"/>
      <c r="H16" s="1016" t="s">
        <v>393</v>
      </c>
      <c r="I16" s="1017" t="s">
        <v>714</v>
      </c>
      <c r="J16" s="302">
        <f ca="1">ROUND(J17+J22+J23+J24,0)</f>
        <v>3692</v>
      </c>
      <c r="K16" s="1024" t="s">
        <v>715</v>
      </c>
      <c r="L16" s="1025"/>
      <c r="M16" s="1009"/>
    </row>
    <row r="17" spans="1:37" s="1304" customFormat="1" ht="18" customHeight="1">
      <c r="A17" s="928" t="s">
        <v>681</v>
      </c>
      <c r="B17" s="294" t="s">
        <v>716</v>
      </c>
      <c r="C17" s="21">
        <f ca="1">ROUND(F17*(F43+INDIRECT("'数据-取费表'!S"&amp;$G$1)),0)</f>
        <v>47564</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21404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1246178</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12462</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3692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37759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-3692</v>
      </c>
      <c r="K25" s="1032" t="s">
        <v>753</v>
      </c>
      <c r="L25" s="1033"/>
      <c r="M25" s="1034"/>
    </row>
    <row r="26" spans="1:37" ht="18" customHeight="1">
      <c r="A26" s="928" t="s">
        <v>397</v>
      </c>
      <c r="B26" s="294" t="s">
        <v>754</v>
      </c>
      <c r="C26" s="21">
        <f ca="1">ROUND((C19+C20)*F26,0)</f>
        <v>377592</v>
      </c>
      <c r="D26" s="315" t="s">
        <v>755</v>
      </c>
      <c r="E26" s="305" t="s">
        <v>756</v>
      </c>
      <c r="F26" s="304">
        <f ca="1">INDIRECT("'数据-取费表'!q"&amp;$G$1)</f>
        <v>0.3</v>
      </c>
      <c r="G26" s="1292"/>
      <c r="H26" s="291" t="s">
        <v>395</v>
      </c>
      <c r="I26" s="292" t="s">
        <v>757</v>
      </c>
      <c r="J26" s="293">
        <f ca="1">IF(J5&lt;&gt;0,ROUND(J25*(1-((1+M28)/(1+M26))^M27)/(M26-M28),0),0)</f>
        <v>0</v>
      </c>
      <c r="K26" s="316" t="s">
        <v>758</v>
      </c>
      <c r="L26" s="294" t="s">
        <v>759</v>
      </c>
      <c r="M26" s="304">
        <f ca="1">INDIRECT("'数据-取费表'!I"&amp;$G$1)</f>
        <v>2.5000000000000001E-2</v>
      </c>
    </row>
    <row r="27" spans="1:37" ht="18" customHeight="1">
      <c r="A27" s="928" t="s">
        <v>399</v>
      </c>
      <c r="B27" s="294" t="s">
        <v>760</v>
      </c>
      <c r="C27" s="21">
        <f ca="1">ROUND(F21*F26,4)</f>
        <v>8.9999999999999993E-3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1846042</v>
      </c>
      <c r="D29" s="1029"/>
      <c r="E29" s="1027"/>
      <c r="F29" s="1030"/>
      <c r="G29" s="1303"/>
      <c r="H29" s="325" t="s">
        <v>396</v>
      </c>
      <c r="I29" s="326" t="s">
        <v>768</v>
      </c>
      <c r="J29" s="327">
        <f ca="1">ROUND(J26/(1+F40)^F41,0)</f>
        <v>0</v>
      </c>
      <c r="K29" s="328" t="s">
        <v>769</v>
      </c>
      <c r="L29" s="329"/>
      <c r="M29" s="330">
        <f ca="1">INDIRECT("'数据-取费表'!k"&amp;$G$1)</f>
        <v>237.82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20592</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ROUND(IF(AND(项目基本情况!B11="自然人",项目基本情况!B10="北京市"),C6*F31/(1+'数据-取费表'!C42),C32+C33+C34),0)</f>
        <v>10857</v>
      </c>
      <c r="D31" s="1257" t="s">
        <v>720</v>
      </c>
      <c r="E31" s="1256" t="s">
        <v>770</v>
      </c>
      <c r="F31" s="2137">
        <f ca="1">IF(项目基本情况!B11="企业","——",IF(M47="住宅",IF(F6*F7*F8/12/(1+'数据-取费表'!F30)&gt;100000,4%,2.5%),IF(F6*F7*F8/12/(1+'数据-取费表'!F30)&gt;100000,12%,7%)))</f>
        <v>2.5000000000000001E-2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3692</v>
      </c>
      <c r="D36" s="1256" t="s">
        <v>771</v>
      </c>
      <c r="E36" s="294" t="s">
        <v>712</v>
      </c>
      <c r="F36" s="320">
        <f ca="1">INDIRECT("'数据-取费表'!Ak"&amp;$G$1)</f>
        <v>2E-3</v>
      </c>
      <c r="G36" s="1292"/>
      <c r="H36" s="2472"/>
      <c r="I36" s="1305"/>
      <c r="J36" s="1306"/>
      <c r="K36" s="2329"/>
      <c r="L36" s="2472"/>
      <c r="M36" s="2472"/>
    </row>
    <row r="37" spans="1:18" ht="18" customHeight="1">
      <c r="A37" s="928" t="s">
        <v>437</v>
      </c>
      <c r="B37" s="294" t="s">
        <v>742</v>
      </c>
      <c r="C37" s="21">
        <f ca="1">ROUND(C13*F37,0)</f>
        <v>1477</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ROUND(C5*F38,0)</f>
        <v>4566</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435978</v>
      </c>
      <c r="D39" s="1032" t="s">
        <v>773</v>
      </c>
      <c r="E39" s="1033"/>
      <c r="F39" s="1034"/>
      <c r="G39" s="1292"/>
      <c r="H39" s="2472"/>
      <c r="I39" s="1305"/>
      <c r="J39" s="1306"/>
      <c r="K39" s="2470"/>
      <c r="L39" s="2472"/>
      <c r="M39" s="2472"/>
    </row>
    <row r="40" spans="1:18" ht="18" customHeight="1">
      <c r="A40" s="291" t="s">
        <v>395</v>
      </c>
      <c r="B40" s="292" t="s">
        <v>774</v>
      </c>
      <c r="C40" s="293">
        <f ca="1">ROUND(C39*(1-((1+F42)/(1+F40))^F41)/(F40-F42),0)</f>
        <v>12817720</v>
      </c>
      <c r="D40" s="316" t="s">
        <v>758</v>
      </c>
      <c r="E40" s="294" t="s">
        <v>759</v>
      </c>
      <c r="F40" s="304">
        <f ca="1">INDIRECT("'数据-取费表'!I"&amp;$G$1)</f>
        <v>2.5000000000000001E-2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45</v>
      </c>
      <c r="G41" s="1292"/>
      <c r="H41" s="121"/>
      <c r="I41" s="1305"/>
      <c r="J41" s="1306"/>
      <c r="K41" s="2329"/>
      <c r="L41" s="121"/>
      <c r="M41" s="121"/>
    </row>
    <row r="42" spans="1:18" ht="18" customHeight="1">
      <c r="A42" s="300"/>
      <c r="B42" s="301"/>
      <c r="C42" s="302"/>
      <c r="D42" s="319"/>
      <c r="E42" s="294" t="s">
        <v>766</v>
      </c>
      <c r="F42" s="304">
        <f ca="1">INDIRECT("'数据-取费表'!v"&amp;$G$1)</f>
        <v>5.0000000000000001E-3</v>
      </c>
      <c r="G42" s="1292"/>
      <c r="H42" s="121"/>
      <c r="I42" s="1305"/>
      <c r="J42" s="1306"/>
      <c r="K42" s="2329"/>
      <c r="L42" s="121"/>
      <c r="M42" s="121"/>
    </row>
    <row r="43" spans="1:18" ht="18" customHeight="1" thickBot="1">
      <c r="A43" s="325" t="s">
        <v>396</v>
      </c>
      <c r="B43" s="326" t="s">
        <v>776</v>
      </c>
      <c r="C43" s="327">
        <f ca="1">ROUND(C40/F43,0)</f>
        <v>53897</v>
      </c>
      <c r="D43" s="328" t="s">
        <v>777</v>
      </c>
      <c r="E43" s="329" t="s">
        <v>778</v>
      </c>
      <c r="F43" s="330">
        <f ca="1">INDIRECT("'数据-取费表'!k"&amp;$G$1)</f>
        <v>237.82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-1295.6420000000001</v>
      </c>
      <c r="D45" s="3129" t="s">
        <v>3353</v>
      </c>
      <c r="E45" s="1307"/>
      <c r="F45" s="1307"/>
      <c r="O45" s="1310" t="s">
        <v>808</v>
      </c>
      <c r="P45" s="1366"/>
      <c r="Q45" s="1366"/>
      <c r="R45" s="1366"/>
    </row>
    <row r="46" spans="1:18" s="1292" customFormat="1" ht="13.5" thickBot="1">
      <c r="A46" s="1311" t="s">
        <v>809</v>
      </c>
      <c r="C46" s="1312">
        <f ca="1">ROUND(C45,0)</f>
        <v>-1296</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3435</v>
      </c>
      <c r="K47" s="1323" t="s">
        <v>816</v>
      </c>
      <c r="L47" s="1324">
        <f ca="1">INDIRECT("'数据-取费表'!d"&amp;$G$1)</f>
        <v>70</v>
      </c>
      <c r="M47" s="1288" t="str">
        <f>IF(ISNUMBER(FIND("住宅",C1)),"住宅","非住宅")</f>
        <v>住宅</v>
      </c>
      <c r="O47" s="1325" t="s">
        <v>403</v>
      </c>
      <c r="P47" s="1326" t="s">
        <v>817</v>
      </c>
      <c r="Q47" s="1327">
        <f ca="1">C40+J29</f>
        <v>12817720</v>
      </c>
      <c r="R47" s="1327" t="s">
        <v>818</v>
      </c>
    </row>
    <row r="48" spans="1:18" s="1292" customFormat="1" ht="28.5" thickBot="1">
      <c r="A48" s="1047" t="s">
        <v>438</v>
      </c>
      <c r="B48" s="292" t="s">
        <v>692</v>
      </c>
      <c r="C48" s="1268">
        <f ca="1">C49+C53+C55</f>
        <v>0</v>
      </c>
      <c r="D48" s="1049"/>
      <c r="E48" s="1050"/>
      <c r="F48" s="908"/>
      <c r="G48" s="681"/>
      <c r="H48" s="682"/>
      <c r="I48" s="1328" t="s">
        <v>819</v>
      </c>
      <c r="J48" s="1329" t="s">
        <v>3436</v>
      </c>
      <c r="K48" s="1330" t="s">
        <v>820</v>
      </c>
      <c r="L48" s="1331">
        <f ca="1">INDIRECT("'数据-取费表'!f"&amp;$G$1)</f>
        <v>45</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2002</v>
      </c>
      <c r="K49" s="1330" t="s">
        <v>824</v>
      </c>
      <c r="L49" s="1333"/>
      <c r="O49" s="1334" t="s">
        <v>405</v>
      </c>
      <c r="P49" s="1326" t="s">
        <v>825</v>
      </c>
      <c r="Q49" s="1327">
        <f ca="1">C29</f>
        <v>1846042</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37</v>
      </c>
      <c r="K51" s="1339" t="s">
        <v>830</v>
      </c>
      <c r="L51" s="1340">
        <f ca="1">ROUND(-PV(INDIRECT("'数据-取费表'!h"&amp;$G$1),J51,(C39-C13*C76),0),0)</f>
        <v>5804966</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45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45</v>
      </c>
      <c r="K53" s="3363" t="s">
        <v>837</v>
      </c>
      <c r="L53" s="3364"/>
      <c r="O53" s="1325" t="s">
        <v>409</v>
      </c>
      <c r="P53" s="1326" t="s">
        <v>838</v>
      </c>
      <c r="Q53" s="1327">
        <f ca="1">Q47+Q48</f>
        <v>12817720</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1476834</v>
      </c>
      <c r="D56" s="1352"/>
      <c r="E56" s="1353"/>
      <c r="F56" s="1345"/>
      <c r="I56" s="1354" t="s">
        <v>842</v>
      </c>
      <c r="J56" s="1355" t="s">
        <v>3431</v>
      </c>
      <c r="K56" s="1328" t="s">
        <v>843</v>
      </c>
      <c r="L56" s="1331">
        <f ca="1">IF(L48&lt;J51,"——",L48-J51)</f>
        <v>8</v>
      </c>
      <c r="O56" s="1325" t="s">
        <v>403</v>
      </c>
      <c r="P56" s="1326" t="s">
        <v>817</v>
      </c>
      <c r="Q56" s="1327">
        <f ca="1">C40+J29</f>
        <v>12817720</v>
      </c>
      <c r="R56" s="1327" t="s">
        <v>818</v>
      </c>
    </row>
    <row r="57" spans="1:18" s="1292" customFormat="1" ht="24.75" thickBot="1">
      <c r="A57" s="1356"/>
      <c r="B57" s="896" t="s">
        <v>767</v>
      </c>
      <c r="C57" s="230">
        <f ca="1">C29</f>
        <v>1846042</v>
      </c>
      <c r="D57" s="1357"/>
      <c r="E57" s="1358"/>
      <c r="F57" s="1359"/>
      <c r="I57" s="1360" t="s">
        <v>844</v>
      </c>
      <c r="J57" s="1361" t="str">
        <f ca="1">IF(OR(M47="住宅",J51&lt;L48,J56="是"),"——",J51-L48)</f>
        <v>——</v>
      </c>
      <c r="K57" s="1328" t="s">
        <v>892</v>
      </c>
      <c r="L57" s="1331">
        <f ca="1">IF(L48&lt;J51,"——",IF(L55="比较法",L49,IF(L55="基准地价",L50,L51)))</f>
        <v>5804966</v>
      </c>
      <c r="O57" s="1325" t="s">
        <v>404</v>
      </c>
      <c r="P57" s="1326" t="s">
        <v>893</v>
      </c>
      <c r="Q57" s="1327">
        <f ca="1">L60</f>
        <v>0</v>
      </c>
      <c r="R57" s="1327" t="s">
        <v>894</v>
      </c>
    </row>
    <row r="58" spans="1:18" s="1292" customFormat="1" ht="24.75" thickBot="1">
      <c r="A58" s="307" t="s">
        <v>393</v>
      </c>
      <c r="B58" s="904" t="s">
        <v>714</v>
      </c>
      <c r="C58" s="308">
        <f ca="1">ROUND(C59+C64+C65+C66,0)</f>
        <v>5169</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12817720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3692</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1477</v>
      </c>
      <c r="D65" s="910" t="s">
        <v>743</v>
      </c>
      <c r="E65" s="896" t="s">
        <v>744</v>
      </c>
      <c r="F65" s="321">
        <f t="shared" ca="1" si="0"/>
        <v>1E-3</v>
      </c>
      <c r="I65" s="1367" t="s">
        <v>867</v>
      </c>
      <c r="J65" s="610">
        <v>40</v>
      </c>
      <c r="K65" s="610">
        <v>30</v>
      </c>
      <c r="L65" s="610">
        <v>50</v>
      </c>
      <c r="M65" s="1369">
        <v>0.02</v>
      </c>
      <c r="O65" s="1325" t="s">
        <v>403</v>
      </c>
      <c r="P65" s="1326" t="s">
        <v>868</v>
      </c>
      <c r="Q65" s="1327">
        <f ca="1">C40+J29</f>
        <v>12817720</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-5169</v>
      </c>
      <c r="D67" s="909" t="s">
        <v>753</v>
      </c>
      <c r="E67" s="914"/>
      <c r="F67" s="915"/>
      <c r="O67" s="1334" t="s">
        <v>405</v>
      </c>
      <c r="P67" s="1326" t="s">
        <v>850</v>
      </c>
      <c r="Q67" s="1370">
        <f ca="1">L51</f>
        <v>5804966</v>
      </c>
      <c r="R67" s="1327" t="s">
        <v>870</v>
      </c>
    </row>
    <row r="68" spans="1:18" s="1292" customFormat="1" ht="16.5" thickBot="1">
      <c r="A68" s="893" t="s">
        <v>395</v>
      </c>
      <c r="B68" s="894" t="s">
        <v>774</v>
      </c>
      <c r="C68" s="293">
        <f ca="1">ROUND(C67*(1-((1+F70)/(1+F68))^F69)/(F68-F70),0)</f>
        <v>-138700</v>
      </c>
      <c r="D68" s="911" t="s">
        <v>758</v>
      </c>
      <c r="E68" s="896" t="s">
        <v>759</v>
      </c>
      <c r="F68" s="304">
        <f ca="1">F40</f>
        <v>2.5000000000000001E-2</v>
      </c>
      <c r="O68" s="1334" t="s">
        <v>406</v>
      </c>
      <c r="P68" s="1371" t="s">
        <v>871</v>
      </c>
      <c r="Q68" s="1327">
        <f ca="1">ROUND(Q69-Q70*Q71,0)</f>
        <v>347368</v>
      </c>
      <c r="R68" s="1327" t="s">
        <v>414</v>
      </c>
    </row>
    <row r="69" spans="1:18" s="1292" customFormat="1" ht="13.5" thickBot="1">
      <c r="A69" s="897"/>
      <c r="B69" s="898"/>
      <c r="C69" s="298"/>
      <c r="D69" s="916" t="s">
        <v>762</v>
      </c>
      <c r="E69" s="896" t="s">
        <v>763</v>
      </c>
      <c r="F69" s="324">
        <f ca="1">F41</f>
        <v>45</v>
      </c>
      <c r="O69" s="1334" t="s">
        <v>411</v>
      </c>
      <c r="P69" s="1371" t="s">
        <v>872</v>
      </c>
      <c r="Q69" s="1327">
        <f ca="1">C39</f>
        <v>435978</v>
      </c>
      <c r="R69" s="1327" t="s">
        <v>818</v>
      </c>
    </row>
    <row r="70" spans="1:18" s="1292" customFormat="1" ht="13.5" thickBot="1">
      <c r="A70" s="900"/>
      <c r="B70" s="901"/>
      <c r="C70" s="302"/>
      <c r="D70" s="912"/>
      <c r="E70" s="896" t="s">
        <v>766</v>
      </c>
      <c r="F70" s="991"/>
      <c r="O70" s="1334" t="s">
        <v>412</v>
      </c>
      <c r="P70" s="1371" t="s">
        <v>873</v>
      </c>
      <c r="Q70" s="1327">
        <f ca="1">C13</f>
        <v>1476834</v>
      </c>
      <c r="R70" s="1327" t="s">
        <v>818</v>
      </c>
    </row>
    <row r="71" spans="1:18" s="1292" customFormat="1" ht="13.5" thickBot="1">
      <c r="A71" s="917" t="s">
        <v>396</v>
      </c>
      <c r="B71" s="918" t="s">
        <v>776</v>
      </c>
      <c r="C71" s="327">
        <f ca="1">ROUND(C68/F71,0)</f>
        <v>-583</v>
      </c>
      <c r="D71" s="919" t="s">
        <v>777</v>
      </c>
      <c r="E71" s="920" t="s">
        <v>778</v>
      </c>
      <c r="F71" s="330">
        <f ca="1">F43</f>
        <v>237.82</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88610</v>
      </c>
      <c r="D75" s="1292"/>
      <c r="E75" s="1292"/>
      <c r="F75" s="1292"/>
      <c r="K75" s="1309"/>
      <c r="L75" s="1292"/>
      <c r="O75" s="1325" t="s">
        <v>409</v>
      </c>
      <c r="P75" s="1326" t="s">
        <v>838</v>
      </c>
      <c r="Q75" s="1327">
        <f ca="1">Q65+Q66</f>
        <v>12817720</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0.79699999999999993</v>
      </c>
    </row>
    <row r="80" spans="1:18">
      <c r="B80" s="331" t="s">
        <v>800</v>
      </c>
      <c r="C80" s="266">
        <f ca="1">ROUND(C75/C39,3)</f>
        <v>0.20300000000000001</v>
      </c>
    </row>
    <row r="81" spans="2:3">
      <c r="B81" s="262" t="s">
        <v>801</v>
      </c>
      <c r="C81" s="230"/>
    </row>
    <row r="82" spans="2:3">
      <c r="B82" s="265" t="s">
        <v>802</v>
      </c>
      <c r="C82" s="267">
        <f ca="1">1-C83</f>
        <v>0.88500000000000001</v>
      </c>
    </row>
    <row r="83" spans="2:3">
      <c r="B83" s="265" t="s">
        <v>803</v>
      </c>
      <c r="C83" s="266">
        <f ca="1">ROUND(C13/C40,3)</f>
        <v>0.115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3359</v>
      </c>
      <c r="E2" s="3138"/>
      <c r="F2" s="2596"/>
      <c r="G2" s="2597"/>
      <c r="H2" s="2598"/>
      <c r="I2" s="2599"/>
      <c r="J2" s="3368" t="s">
        <v>2317</v>
      </c>
      <c r="K2" s="3369"/>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70" t="s">
        <v>2327</v>
      </c>
      <c r="K3" s="3371"/>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70" t="s">
        <v>2329</v>
      </c>
      <c r="K4" s="3371"/>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72" t="s">
        <v>2333</v>
      </c>
      <c r="B6" s="3373"/>
      <c r="C6" s="3374"/>
      <c r="D6" s="2620"/>
      <c r="E6" s="2621"/>
      <c r="F6" s="2622"/>
      <c r="G6" s="2623"/>
      <c r="H6" s="2598"/>
      <c r="I6" s="2599"/>
      <c r="J6" s="3375">
        <v>1</v>
      </c>
      <c r="K6" s="3376"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75"/>
      <c r="K7" s="3377"/>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79" t="s">
        <v>2347</v>
      </c>
      <c r="C8" s="3380"/>
      <c r="D8" s="2639" t="s">
        <v>2348</v>
      </c>
      <c r="E8" s="2640" t="s">
        <v>2349</v>
      </c>
      <c r="F8" s="2641" t="s">
        <v>2350</v>
      </c>
      <c r="G8" s="2642"/>
      <c r="H8" s="2598"/>
      <c r="I8" s="2599"/>
      <c r="J8" s="3375"/>
      <c r="K8" s="3377"/>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79" t="s">
        <v>2353</v>
      </c>
      <c r="C9" s="3380"/>
      <c r="D9" s="2639">
        <f>ROUND(D6*E9,0)</f>
        <v>0</v>
      </c>
      <c r="E9" s="2643"/>
      <c r="F9" s="2644" t="s">
        <v>2354</v>
      </c>
      <c r="G9" s="2623"/>
      <c r="H9" s="2598"/>
      <c r="I9" s="2599"/>
      <c r="J9" s="3375"/>
      <c r="K9" s="3377"/>
      <c r="L9" s="2633" t="s">
        <v>2355</v>
      </c>
      <c r="M9" s="2634"/>
      <c r="N9" s="2610"/>
      <c r="O9" s="2635"/>
      <c r="P9" s="2635"/>
      <c r="Q9" s="2636">
        <v>365</v>
      </c>
      <c r="R9" s="2637">
        <f t="shared" si="0"/>
        <v>0</v>
      </c>
      <c r="S9" s="2591"/>
      <c r="T9" s="2591"/>
      <c r="U9" s="2591"/>
      <c r="V9" s="2599"/>
    </row>
    <row r="10" spans="1:22" s="2603" customFormat="1" ht="13.15" customHeight="1">
      <c r="A10" s="2638">
        <v>2</v>
      </c>
      <c r="B10" s="3379" t="s">
        <v>2356</v>
      </c>
      <c r="C10" s="3380"/>
      <c r="D10" s="2639">
        <f>ROUND(D6*E10,0)</f>
        <v>0</v>
      </c>
      <c r="E10" s="2643"/>
      <c r="F10" s="2644" t="s">
        <v>2357</v>
      </c>
      <c r="G10" s="2623"/>
      <c r="H10" s="2598"/>
      <c r="I10" s="2599"/>
      <c r="J10" s="3375"/>
      <c r="K10" s="3377"/>
      <c r="L10" s="2633" t="s">
        <v>2358</v>
      </c>
      <c r="M10" s="2634"/>
      <c r="N10" s="2610"/>
      <c r="O10" s="2635"/>
      <c r="P10" s="2635"/>
      <c r="Q10" s="2636">
        <v>365</v>
      </c>
      <c r="R10" s="2637">
        <f t="shared" si="0"/>
        <v>0</v>
      </c>
      <c r="S10" s="2591"/>
      <c r="T10" s="2591"/>
      <c r="U10" s="2591"/>
      <c r="V10" s="2599"/>
    </row>
    <row r="11" spans="1:22" s="2603" customFormat="1" ht="13.15" customHeight="1">
      <c r="A11" s="2638">
        <v>3</v>
      </c>
      <c r="B11" s="3379" t="s">
        <v>2359</v>
      </c>
      <c r="C11" s="3380"/>
      <c r="D11" s="2639">
        <f>D12+D14+D15+D16</f>
        <v>0</v>
      </c>
      <c r="E11" s="2645" t="e">
        <f>D11/D6</f>
        <v>#DIV/0!</v>
      </c>
      <c r="F11" s="2641"/>
      <c r="G11" s="2642"/>
      <c r="H11" s="2598"/>
      <c r="I11" s="2599"/>
      <c r="J11" s="3375"/>
      <c r="K11" s="3377"/>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81" t="s">
        <v>2362</v>
      </c>
      <c r="C12" s="3382"/>
      <c r="D12" s="2647">
        <f>ROUND(D13*1.2%*(1-30%),0)</f>
        <v>0</v>
      </c>
      <c r="E12" s="2648">
        <v>1.2E-2</v>
      </c>
      <c r="F12" s="2641" t="s">
        <v>2363</v>
      </c>
      <c r="G12" s="2642"/>
      <c r="H12" s="2598"/>
      <c r="I12" s="2599"/>
      <c r="J12" s="3375"/>
      <c r="K12" s="3377"/>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75"/>
      <c r="K13" s="3377"/>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81" t="s">
        <v>2368</v>
      </c>
      <c r="C14" s="3382"/>
      <c r="D14" s="2647">
        <f>ROUND(E14*B5/10000,0)</f>
        <v>0</v>
      </c>
      <c r="E14" s="2636"/>
      <c r="F14" s="2641" t="s">
        <v>2369</v>
      </c>
      <c r="G14" s="2642"/>
      <c r="H14" s="2598"/>
      <c r="I14" s="2599"/>
      <c r="J14" s="3375"/>
      <c r="K14" s="3378"/>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81" t="s">
        <v>2372</v>
      </c>
      <c r="C15" s="3382"/>
      <c r="D15" s="2647">
        <f>ROUND(D6*E15,0)</f>
        <v>0</v>
      </c>
      <c r="E15" s="2648">
        <v>5.5E-2</v>
      </c>
      <c r="F15" s="2641" t="s">
        <v>2373</v>
      </c>
      <c r="G15" s="2623"/>
      <c r="H15" s="2598"/>
      <c r="I15" s="2599"/>
      <c r="J15" s="3375">
        <v>2</v>
      </c>
      <c r="K15" s="3376"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81" t="s">
        <v>2381</v>
      </c>
      <c r="C16" s="3382"/>
      <c r="D16" s="2658">
        <f>D6*E16</f>
        <v>0</v>
      </c>
      <c r="E16" s="2659"/>
      <c r="F16" s="2644" t="s">
        <v>2382</v>
      </c>
      <c r="G16" s="2623"/>
      <c r="H16" s="2598"/>
      <c r="I16" s="2599"/>
      <c r="J16" s="3375"/>
      <c r="K16" s="3377"/>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83" t="s">
        <v>2384</v>
      </c>
      <c r="C17" s="3384"/>
      <c r="D17" s="2661">
        <f>ROUND(D6*E17,0)</f>
        <v>0</v>
      </c>
      <c r="E17" s="2662"/>
      <c r="F17" s="2663" t="s">
        <v>2385</v>
      </c>
      <c r="G17" s="2623"/>
      <c r="H17" s="2598"/>
      <c r="I17" s="2599"/>
      <c r="J17" s="3375"/>
      <c r="K17" s="3377"/>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75"/>
      <c r="K18" s="3377"/>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75"/>
      <c r="K19" s="3378"/>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75">
        <v>3</v>
      </c>
      <c r="K20" s="3376"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75"/>
      <c r="K21" s="3377"/>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75"/>
      <c r="K22" s="3377"/>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75"/>
      <c r="K23" s="3377"/>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75"/>
      <c r="K24" s="3378"/>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85">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86"/>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68" t="s">
        <v>2317</v>
      </c>
      <c r="K32" s="3369"/>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70" t="s">
        <v>2327</v>
      </c>
      <c r="K33" s="3371"/>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70" t="s">
        <v>2329</v>
      </c>
      <c r="K34" s="3371"/>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75">
        <v>1</v>
      </c>
      <c r="K36" s="3376"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75"/>
      <c r="K37" s="3377"/>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75"/>
      <c r="K38" s="3377"/>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75"/>
      <c r="K39" s="3377"/>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75"/>
      <c r="K40" s="3378"/>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85">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86"/>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1304.3556999999998</v>
      </c>
      <c r="C2" s="1729" t="s">
        <v>1651</v>
      </c>
      <c r="D2" s="1730" t="s">
        <v>1652</v>
      </c>
      <c r="E2" s="2391">
        <f>SUM(E6:E13)</f>
        <v>250.26</v>
      </c>
      <c r="F2" s="2478"/>
      <c r="G2" s="459"/>
      <c r="H2" s="459"/>
      <c r="I2" s="459"/>
      <c r="J2" s="459"/>
      <c r="K2" s="459"/>
      <c r="L2" s="459"/>
      <c r="M2" s="459"/>
      <c r="N2" s="459"/>
      <c r="O2" s="459"/>
      <c r="P2" s="459"/>
      <c r="Q2" s="459"/>
      <c r="R2" s="459"/>
      <c r="S2" s="459"/>
    </row>
    <row r="3" spans="1:22" ht="15.75">
      <c r="A3" s="1728" t="s">
        <v>686</v>
      </c>
      <c r="B3" s="2385">
        <f ca="1">ROUND(B2*10000/E2,0)</f>
        <v>52120</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87" t="s">
        <v>1654</v>
      </c>
      <c r="C5" s="3388"/>
      <c r="D5" s="2479"/>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1281.7719999999999</v>
      </c>
      <c r="C6" s="1729" t="s">
        <v>1651</v>
      </c>
      <c r="D6" s="2478"/>
      <c r="E6" s="2390">
        <f>IF(OR(A6=0,F6="否"),0,'数据-取费表'!K6+'数据-取费表'!S6)</f>
        <v>237.82</v>
      </c>
      <c r="F6" s="1732" t="s">
        <v>1657</v>
      </c>
      <c r="G6" s="459"/>
      <c r="H6" s="459"/>
      <c r="I6" s="459"/>
      <c r="J6" s="459"/>
      <c r="K6" s="459"/>
      <c r="L6" s="459"/>
      <c r="M6" s="459"/>
      <c r="N6" s="459"/>
      <c r="O6" s="459"/>
      <c r="P6" s="459"/>
      <c r="Q6" s="459"/>
      <c r="R6" s="459"/>
      <c r="S6" s="459"/>
    </row>
    <row r="7" spans="1:22">
      <c r="A7" s="2388" t="str">
        <f>'数据-取费表'!AN7</f>
        <v>收益法 (元)-车位</v>
      </c>
      <c r="B7" s="2386">
        <f ca="1">IF(F7="是",'数据-取费表'!AO7,0)</f>
        <v>22.5837</v>
      </c>
      <c r="C7" s="1729" t="s">
        <v>1651</v>
      </c>
      <c r="D7" s="2478"/>
      <c r="E7" s="2390">
        <f>IF(OR(A7=0,F7="否"),0,'数据-取费表'!K7+'数据-取费表'!S7)</f>
        <v>12.44</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0" zoomScaleNormal="60" zoomScaleSheetLayoutView="100" workbookViewId="0">
      <selection activeCell="G31" sqref="G3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3406</v>
      </c>
      <c r="E1" s="3123" t="s">
        <v>3439</v>
      </c>
      <c r="F1" s="1735" t="s">
        <v>3440</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2335.8679999999999</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98220</v>
      </c>
      <c r="C3" s="344" t="s">
        <v>1665</v>
      </c>
      <c r="D3" s="343">
        <f>IF(D1="",'数据-汇总表'!E3,SUMIF('数据-汇总表'!$C19:$C33,D1,'数据-汇总表'!$E19:$E33))</f>
        <v>237.82</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07" t="s">
        <v>1667</v>
      </c>
      <c r="D4" s="3408"/>
      <c r="E4" s="3409" t="s">
        <v>1668</v>
      </c>
      <c r="F4" s="3410"/>
      <c r="G4" s="3407" t="s">
        <v>1669</v>
      </c>
      <c r="H4" s="3408"/>
      <c r="I4" s="3407" t="s">
        <v>1670</v>
      </c>
      <c r="J4" s="3408"/>
      <c r="K4" s="1744" t="s">
        <v>1671</v>
      </c>
      <c r="L4" s="2485"/>
      <c r="M4" s="2486"/>
      <c r="N4" s="2486"/>
      <c r="O4" s="2486"/>
      <c r="P4" s="3411" t="s">
        <v>1672</v>
      </c>
      <c r="Q4" s="3412"/>
      <c r="R4" s="3394" t="s">
        <v>1668</v>
      </c>
      <c r="S4" s="3395"/>
      <c r="T4" s="3394" t="s">
        <v>1669</v>
      </c>
      <c r="U4" s="3395"/>
      <c r="V4" s="3419" t="s">
        <v>1670</v>
      </c>
      <c r="W4" s="3419"/>
      <c r="X4" s="1265"/>
      <c r="Y4" s="3394" t="s">
        <v>1672</v>
      </c>
      <c r="Z4" s="3395"/>
      <c r="AA4" s="3389" t="s">
        <v>1668</v>
      </c>
      <c r="AB4" s="3389" t="s">
        <v>1669</v>
      </c>
      <c r="AC4" s="3389" t="s">
        <v>1670</v>
      </c>
    </row>
    <row r="5" spans="1:29" ht="15">
      <c r="A5" s="348"/>
      <c r="B5" s="349"/>
      <c r="C5" s="3400" t="s">
        <v>1673</v>
      </c>
      <c r="D5" s="3401"/>
      <c r="E5" s="3398" t="s">
        <v>1674</v>
      </c>
      <c r="F5" s="3399"/>
      <c r="G5" s="3400" t="s">
        <v>1675</v>
      </c>
      <c r="H5" s="3401"/>
      <c r="I5" s="3400" t="s">
        <v>1676</v>
      </c>
      <c r="J5" s="3401"/>
      <c r="K5" s="1745"/>
      <c r="L5" s="2485"/>
      <c r="M5" s="2486"/>
      <c r="N5" s="2486"/>
      <c r="O5" s="2486"/>
      <c r="P5" s="3413"/>
      <c r="Q5" s="3414"/>
      <c r="R5" s="3396"/>
      <c r="S5" s="3397"/>
      <c r="T5" s="3396"/>
      <c r="U5" s="3397"/>
      <c r="V5" s="3419"/>
      <c r="W5" s="3419"/>
      <c r="X5" s="1265"/>
      <c r="Y5" s="3396"/>
      <c r="Z5" s="3397"/>
      <c r="AA5" s="3390"/>
      <c r="AB5" s="3390"/>
      <c r="AC5" s="3390"/>
    </row>
    <row r="6" spans="1:29" ht="15.75" thickBot="1">
      <c r="A6" s="350"/>
      <c r="B6" s="351"/>
      <c r="C6" s="3402" t="s">
        <v>1677</v>
      </c>
      <c r="D6" s="3403"/>
      <c r="E6" s="3404" t="s">
        <v>1677</v>
      </c>
      <c r="F6" s="3405"/>
      <c r="G6" s="3402" t="s">
        <v>1677</v>
      </c>
      <c r="H6" s="3403"/>
      <c r="I6" s="3402" t="s">
        <v>1677</v>
      </c>
      <c r="J6" s="3403"/>
      <c r="K6" s="1745" t="s">
        <v>1678</v>
      </c>
      <c r="L6" s="2485"/>
      <c r="M6" s="2486"/>
      <c r="N6" s="2486"/>
      <c r="O6" s="2486"/>
      <c r="P6" s="3415"/>
      <c r="Q6" s="3416"/>
      <c r="R6" s="3396"/>
      <c r="S6" s="3397"/>
      <c r="T6" s="3417"/>
      <c r="U6" s="3418"/>
      <c r="V6" s="3419"/>
      <c r="W6" s="3419"/>
      <c r="X6" s="1265"/>
      <c r="Y6" s="3417"/>
      <c r="Z6" s="3418"/>
      <c r="AA6" s="3391"/>
      <c r="AB6" s="3391"/>
      <c r="AC6" s="3391"/>
    </row>
    <row r="7" spans="1:29" s="102" customFormat="1" ht="15.75" thickBot="1">
      <c r="A7" s="352" t="s">
        <v>1679</v>
      </c>
      <c r="B7" s="353"/>
      <c r="C7" s="354">
        <f>'数据-取费表'!B2</f>
        <v>45875</v>
      </c>
      <c r="D7" s="355">
        <v>100</v>
      </c>
      <c r="E7" s="356">
        <v>45870</v>
      </c>
      <c r="F7" s="357">
        <f>SUMIF(58:58,YEAR(E7)&amp;"-"&amp;MONTH(E7),59:59)</f>
        <v>100</v>
      </c>
      <c r="G7" s="356">
        <v>45870</v>
      </c>
      <c r="H7" s="355">
        <f>SUMIF(58:58,YEAR(G7)&amp;"-"&amp;MONTH(G7),59:59)</f>
        <v>100</v>
      </c>
      <c r="I7" s="356">
        <v>45870</v>
      </c>
      <c r="J7" s="355">
        <f>SUMIF(58:58,YEAR(I7)&amp;"-"&amp;MONTH(I7),59:59)</f>
        <v>100</v>
      </c>
      <c r="K7" s="1746"/>
      <c r="L7" s="2487"/>
      <c r="M7" s="2438"/>
      <c r="N7" s="2438"/>
      <c r="O7" s="2438"/>
      <c r="P7" s="3392" t="s">
        <v>1680</v>
      </c>
      <c r="Q7" s="3420"/>
      <c r="R7" s="664" t="s">
        <v>20</v>
      </c>
      <c r="S7" s="665">
        <f t="shared" ref="S7:S15" si="0">F7</f>
        <v>100</v>
      </c>
      <c r="T7" s="664" t="s">
        <v>20</v>
      </c>
      <c r="U7" s="665">
        <f t="shared" ref="U7:U15" si="1">H7</f>
        <v>100</v>
      </c>
      <c r="V7" s="664" t="s">
        <v>20</v>
      </c>
      <c r="W7" s="665">
        <f t="shared" ref="W7:W15" si="2">J7</f>
        <v>100</v>
      </c>
      <c r="X7" s="666"/>
      <c r="Y7" s="3392" t="s">
        <v>1680</v>
      </c>
      <c r="Z7" s="3393"/>
      <c r="AA7" s="50">
        <f>D7/F7</f>
        <v>1</v>
      </c>
      <c r="AB7" s="50">
        <f>D7/H7</f>
        <v>1</v>
      </c>
      <c r="AC7" s="50">
        <f>D7/J7</f>
        <v>1</v>
      </c>
    </row>
    <row r="8" spans="1:29" s="102" customFormat="1" ht="15.75" thickBot="1">
      <c r="A8" s="352" t="s">
        <v>1681</v>
      </c>
      <c r="B8" s="353"/>
      <c r="C8" s="358" t="s">
        <v>3443</v>
      </c>
      <c r="D8" s="355">
        <v>100</v>
      </c>
      <c r="E8" s="1747" t="s">
        <v>3444</v>
      </c>
      <c r="F8" s="357">
        <f>SUMIF(61:61,E8,62:62)-SUMIF(61:61,C8,62:62)+100</f>
        <v>102</v>
      </c>
      <c r="G8" s="358" t="s">
        <v>3444</v>
      </c>
      <c r="H8" s="355">
        <f>SUMIF(61:61,G8,62:62)-SUMIF(61:61,C8,62:62)+100</f>
        <v>102</v>
      </c>
      <c r="I8" s="1747" t="s">
        <v>3444</v>
      </c>
      <c r="J8" s="355">
        <f>SUMIF(61:61,I8,62:62)-SUMIF(61:61,C8,62:62)+100</f>
        <v>102</v>
      </c>
      <c r="K8" s="1746"/>
      <c r="L8" s="2487"/>
      <c r="M8" s="2438"/>
      <c r="N8" s="2438"/>
      <c r="O8" s="2438"/>
      <c r="P8" s="3392" t="s">
        <v>1683</v>
      </c>
      <c r="Q8" s="3393"/>
      <c r="R8" s="664" t="s">
        <v>20</v>
      </c>
      <c r="S8" s="665">
        <f t="shared" si="0"/>
        <v>102</v>
      </c>
      <c r="T8" s="664" t="s">
        <v>20</v>
      </c>
      <c r="U8" s="665">
        <f t="shared" si="1"/>
        <v>102</v>
      </c>
      <c r="V8" s="664" t="s">
        <v>20</v>
      </c>
      <c r="W8" s="665">
        <f t="shared" si="2"/>
        <v>102</v>
      </c>
      <c r="X8" s="666"/>
      <c r="Y8" s="3392" t="s">
        <v>1683</v>
      </c>
      <c r="Z8" s="3393"/>
      <c r="AA8" s="50">
        <f t="shared" ref="AA8:AA19" si="3">D8/F8</f>
        <v>0.98039215686274506</v>
      </c>
      <c r="AB8" s="50">
        <f t="shared" ref="AB8:AB19" si="4">D8/H8</f>
        <v>0.98039215686274506</v>
      </c>
      <c r="AC8" s="50">
        <f t="shared" ref="AC8:AC19" si="5">D8/J8</f>
        <v>0.98039215686274506</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406"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6"/>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406"/>
      <c r="Q11" s="530" t="str">
        <f t="shared" si="6"/>
        <v>容积率</v>
      </c>
      <c r="R11" s="664" t="s">
        <v>18</v>
      </c>
      <c r="S11" s="665">
        <f t="shared" si="0"/>
        <v>100</v>
      </c>
      <c r="T11" s="664" t="s">
        <v>18</v>
      </c>
      <c r="U11" s="665">
        <f t="shared" si="1"/>
        <v>100</v>
      </c>
      <c r="V11" s="664" t="s">
        <v>18</v>
      </c>
      <c r="W11" s="665">
        <f t="shared" si="2"/>
        <v>100</v>
      </c>
      <c r="X11" s="666"/>
      <c r="Y11" s="3336"/>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406"/>
      <c r="Q12" s="530">
        <f t="shared" si="6"/>
        <v>111</v>
      </c>
      <c r="R12" s="664" t="s">
        <v>18</v>
      </c>
      <c r="S12" s="665">
        <f t="shared" si="0"/>
        <v>100</v>
      </c>
      <c r="T12" s="664" t="s">
        <v>18</v>
      </c>
      <c r="U12" s="665">
        <f t="shared" si="1"/>
        <v>100</v>
      </c>
      <c r="V12" s="664" t="s">
        <v>18</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6"/>
      <c r="Q13" s="530">
        <f t="shared" si="6"/>
        <v>111</v>
      </c>
      <c r="R13" s="664" t="s">
        <v>18</v>
      </c>
      <c r="S13" s="665">
        <f t="shared" si="0"/>
        <v>100</v>
      </c>
      <c r="T13" s="664" t="s">
        <v>18</v>
      </c>
      <c r="U13" s="665">
        <f t="shared" si="1"/>
        <v>100</v>
      </c>
      <c r="V13" s="664" t="s">
        <v>18</v>
      </c>
      <c r="W13" s="665">
        <f t="shared" si="2"/>
        <v>100</v>
      </c>
      <c r="X13" s="666"/>
      <c r="Y13" s="333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6"/>
      <c r="Q14" s="530">
        <f t="shared" si="6"/>
        <v>111</v>
      </c>
      <c r="R14" s="664" t="s">
        <v>18</v>
      </c>
      <c r="S14" s="665">
        <f t="shared" si="0"/>
        <v>100</v>
      </c>
      <c r="T14" s="664" t="s">
        <v>18</v>
      </c>
      <c r="U14" s="665">
        <f t="shared" si="1"/>
        <v>100</v>
      </c>
      <c r="V14" s="664" t="s">
        <v>18</v>
      </c>
      <c r="W14" s="665">
        <f t="shared" si="2"/>
        <v>100</v>
      </c>
      <c r="X14" s="666"/>
      <c r="Y14" s="3336"/>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2" t="s">
        <v>1691</v>
      </c>
      <c r="Q15" s="1263" t="str">
        <f t="shared" si="6"/>
        <v>居住社区成熟度</v>
      </c>
      <c r="R15" s="667" t="s">
        <v>18</v>
      </c>
      <c r="S15" s="668">
        <f t="shared" si="0"/>
        <v>100</v>
      </c>
      <c r="T15" s="667" t="s">
        <v>18</v>
      </c>
      <c r="U15" s="668">
        <f t="shared" si="1"/>
        <v>100</v>
      </c>
      <c r="V15" s="667" t="s">
        <v>18</v>
      </c>
      <c r="W15" s="668">
        <f t="shared" si="2"/>
        <v>100</v>
      </c>
      <c r="X15" s="1265"/>
      <c r="Y15" s="3425" t="s">
        <v>1691</v>
      </c>
      <c r="Z15" s="1264" t="str">
        <f t="shared" si="7"/>
        <v>居住社区成熟度</v>
      </c>
      <c r="AA15" s="1264">
        <f t="shared" si="3"/>
        <v>1</v>
      </c>
      <c r="AB15" s="1264">
        <f t="shared" si="4"/>
        <v>1</v>
      </c>
      <c r="AC15" s="1264">
        <f t="shared" si="5"/>
        <v>1</v>
      </c>
    </row>
    <row r="16" spans="1:29" ht="15">
      <c r="A16" s="367"/>
      <c r="B16" s="385"/>
      <c r="C16" s="386" t="s">
        <v>3462</v>
      </c>
      <c r="D16" s="387"/>
      <c r="E16" s="3177" t="s">
        <v>3462</v>
      </c>
      <c r="F16" s="387"/>
      <c r="G16" s="3177" t="s">
        <v>3462</v>
      </c>
      <c r="H16" s="389"/>
      <c r="I16" s="3177" t="s">
        <v>3462</v>
      </c>
      <c r="J16" s="387"/>
      <c r="K16" s="1753"/>
      <c r="L16" s="2491"/>
      <c r="M16" s="2486"/>
      <c r="N16" s="2486"/>
      <c r="O16" s="2486"/>
      <c r="P16" s="3433"/>
      <c r="Q16" s="1263"/>
      <c r="R16" s="667"/>
      <c r="S16" s="668"/>
      <c r="T16" s="667"/>
      <c r="U16" s="668"/>
      <c r="V16" s="667"/>
      <c r="W16" s="668"/>
      <c r="X16" s="1265"/>
      <c r="Y16" s="3426"/>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3"/>
      <c r="Q17" s="1263" t="str">
        <f>B17</f>
        <v>交通便捷度</v>
      </c>
      <c r="R17" s="667" t="s">
        <v>18</v>
      </c>
      <c r="S17" s="668">
        <f>F17</f>
        <v>100</v>
      </c>
      <c r="T17" s="667" t="s">
        <v>18</v>
      </c>
      <c r="U17" s="668">
        <f>H17</f>
        <v>100</v>
      </c>
      <c r="V17" s="667" t="s">
        <v>18</v>
      </c>
      <c r="W17" s="668">
        <f>J17</f>
        <v>100</v>
      </c>
      <c r="X17" s="1265"/>
      <c r="Y17" s="3426"/>
      <c r="Z17" s="1264" t="str">
        <f>Q17</f>
        <v>交通便捷度</v>
      </c>
      <c r="AA17" s="1264">
        <f t="shared" si="3"/>
        <v>1</v>
      </c>
      <c r="AB17" s="1264">
        <f t="shared" si="4"/>
        <v>1</v>
      </c>
      <c r="AC17" s="1264">
        <f t="shared" si="5"/>
        <v>1</v>
      </c>
    </row>
    <row r="18" spans="1:29" ht="15">
      <c r="A18" s="367"/>
      <c r="B18" s="395"/>
      <c r="C18" s="3177" t="s">
        <v>3462</v>
      </c>
      <c r="D18" s="389"/>
      <c r="E18" s="3177" t="s">
        <v>3462</v>
      </c>
      <c r="F18" s="389"/>
      <c r="G18" s="3177" t="s">
        <v>3462</v>
      </c>
      <c r="H18" s="387"/>
      <c r="I18" s="3177" t="s">
        <v>3462</v>
      </c>
      <c r="J18" s="387"/>
      <c r="K18" s="1753"/>
      <c r="L18" s="2491"/>
      <c r="M18" s="2486"/>
      <c r="N18" s="2486"/>
      <c r="O18" s="2486"/>
      <c r="P18" s="3433"/>
      <c r="Q18" s="1263"/>
      <c r="R18" s="667"/>
      <c r="S18" s="668"/>
      <c r="T18" s="667"/>
      <c r="U18" s="668"/>
      <c r="V18" s="667"/>
      <c r="W18" s="668"/>
      <c r="X18" s="1265"/>
      <c r="Y18" s="3426"/>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3"/>
      <c r="Q19" s="1263" t="str">
        <f>B19</f>
        <v>公共配套设施</v>
      </c>
      <c r="R19" s="667" t="s">
        <v>18</v>
      </c>
      <c r="S19" s="668">
        <f>F19</f>
        <v>100</v>
      </c>
      <c r="T19" s="667" t="s">
        <v>18</v>
      </c>
      <c r="U19" s="668">
        <f>H19</f>
        <v>100</v>
      </c>
      <c r="V19" s="667" t="s">
        <v>18</v>
      </c>
      <c r="W19" s="668">
        <f>J19</f>
        <v>100</v>
      </c>
      <c r="X19" s="1265"/>
      <c r="Y19" s="3426"/>
      <c r="Z19" s="1264" t="str">
        <f>Q19</f>
        <v>公共配套设施</v>
      </c>
      <c r="AA19" s="1264">
        <f t="shared" si="3"/>
        <v>1</v>
      </c>
      <c r="AB19" s="1264">
        <f t="shared" si="4"/>
        <v>1</v>
      </c>
      <c r="AC19" s="1264">
        <f t="shared" si="5"/>
        <v>1</v>
      </c>
    </row>
    <row r="20" spans="1:29" ht="15">
      <c r="A20" s="367"/>
      <c r="B20" s="395"/>
      <c r="C20" s="3177" t="s">
        <v>3462</v>
      </c>
      <c r="D20" s="387"/>
      <c r="E20" s="3177" t="s">
        <v>3462</v>
      </c>
      <c r="F20" s="387"/>
      <c r="G20" s="3177" t="s">
        <v>3462</v>
      </c>
      <c r="H20" s="387"/>
      <c r="I20" s="3177" t="s">
        <v>3462</v>
      </c>
      <c r="J20" s="387"/>
      <c r="K20" s="1753"/>
      <c r="L20" s="2491"/>
      <c r="M20" s="2486"/>
      <c r="N20" s="2486"/>
      <c r="O20" s="2486"/>
      <c r="P20" s="3433"/>
      <c r="Q20" s="1263"/>
      <c r="R20" s="667"/>
      <c r="S20" s="668"/>
      <c r="T20" s="667"/>
      <c r="U20" s="668"/>
      <c r="V20" s="667"/>
      <c r="W20" s="668"/>
      <c r="X20" s="1265"/>
      <c r="Y20" s="3426"/>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
      <c r="A22" s="367"/>
      <c r="B22" s="586"/>
      <c r="C22" s="1755" t="s">
        <v>3475</v>
      </c>
      <c r="D22" s="387"/>
      <c r="E22" s="1755" t="s">
        <v>3475</v>
      </c>
      <c r="F22" s="387"/>
      <c r="G22" s="1755" t="s">
        <v>3475</v>
      </c>
      <c r="H22" s="387"/>
      <c r="I22" s="1755" t="s">
        <v>3475</v>
      </c>
      <c r="J22" s="387"/>
      <c r="K22" s="1759"/>
      <c r="L22" s="2491"/>
      <c r="M22" s="2486"/>
      <c r="N22" s="2486"/>
      <c r="O22" s="2486"/>
      <c r="P22" s="3433"/>
      <c r="Q22" s="1263"/>
      <c r="R22" s="667"/>
      <c r="S22" s="668"/>
      <c r="T22" s="667"/>
      <c r="U22" s="668"/>
      <c r="V22" s="667"/>
      <c r="W22" s="668"/>
      <c r="X22" s="1265"/>
      <c r="Y22" s="3426"/>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3"/>
      <c r="Q23" s="1263" t="str">
        <f>B23</f>
        <v>自然及人文环境</v>
      </c>
      <c r="R23" s="667" t="s">
        <v>18</v>
      </c>
      <c r="S23" s="668">
        <f>F23</f>
        <v>100</v>
      </c>
      <c r="T23" s="667" t="s">
        <v>18</v>
      </c>
      <c r="U23" s="668">
        <f>H23</f>
        <v>100</v>
      </c>
      <c r="V23" s="667" t="s">
        <v>18</v>
      </c>
      <c r="W23" s="668">
        <f>J23</f>
        <v>100</v>
      </c>
      <c r="X23" s="1265"/>
      <c r="Y23" s="3426"/>
      <c r="Z23" s="1264" t="str">
        <f>Q23</f>
        <v>自然及人文环境</v>
      </c>
      <c r="AA23" s="1264">
        <f>D23/F23</f>
        <v>1</v>
      </c>
      <c r="AB23" s="1264">
        <f>D23/H23</f>
        <v>1</v>
      </c>
      <c r="AC23" s="1264">
        <f>D23/J23</f>
        <v>1</v>
      </c>
    </row>
    <row r="24" spans="1:29" ht="15">
      <c r="A24" s="367"/>
      <c r="B24" s="395"/>
      <c r="C24" s="3177" t="s">
        <v>3462</v>
      </c>
      <c r="D24" s="387"/>
      <c r="E24" s="3177" t="s">
        <v>3462</v>
      </c>
      <c r="F24" s="387"/>
      <c r="G24" s="3177" t="s">
        <v>3462</v>
      </c>
      <c r="H24" s="387"/>
      <c r="I24" s="3177" t="s">
        <v>3462</v>
      </c>
      <c r="J24" s="387"/>
      <c r="K24" s="1753"/>
      <c r="L24" s="2491"/>
      <c r="M24" s="2486"/>
      <c r="N24" s="2486"/>
      <c r="O24" s="2486"/>
      <c r="P24" s="3433"/>
      <c r="Q24" s="1263"/>
      <c r="R24" s="667"/>
      <c r="S24" s="668"/>
      <c r="T24" s="667"/>
      <c r="U24" s="668"/>
      <c r="V24" s="667"/>
      <c r="W24" s="668"/>
      <c r="X24" s="1265"/>
      <c r="Y24" s="342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3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6"/>
      <c r="Z25" s="1264" t="str">
        <f>Q25</f>
        <v>楼层-1</v>
      </c>
      <c r="AA25" s="1264">
        <f t="shared" ref="AA25:AA46" si="15">D25/F25</f>
        <v>1</v>
      </c>
      <c r="AB25" s="1264">
        <f t="shared" ref="AB25:AB46" si="16">D25/H25</f>
        <v>1</v>
      </c>
      <c r="AC25" s="1264">
        <f t="shared" ref="AC25:AC46" si="17">D25/J25</f>
        <v>1</v>
      </c>
    </row>
    <row r="26" spans="1:29" ht="15">
      <c r="A26" s="367"/>
      <c r="B26" s="364" t="s">
        <v>1693</v>
      </c>
      <c r="C26" s="399" t="s">
        <v>3457</v>
      </c>
      <c r="D26" s="374">
        <v>100</v>
      </c>
      <c r="E26" s="1760" t="s">
        <v>3455</v>
      </c>
      <c r="F26" s="374">
        <f>SUMIF(88:88,E26,89:89)-SUMIF(88:88,C26,89:89)+100</f>
        <v>102</v>
      </c>
      <c r="G26" s="1761" t="s">
        <v>3455</v>
      </c>
      <c r="H26" s="374">
        <f>SUMIF(88:88,G26,89:89)-SUMIF(88:88,C26,89:89)+100</f>
        <v>102</v>
      </c>
      <c r="I26" s="1761" t="s">
        <v>3457</v>
      </c>
      <c r="J26" s="374">
        <f>SUMIF(88:88,I26,89:89)-SUMIF(88:88,C26,89:89)+100</f>
        <v>100</v>
      </c>
      <c r="K26" s="365">
        <v>2</v>
      </c>
      <c r="L26" s="2491"/>
      <c r="M26" s="2486"/>
      <c r="N26" s="2486"/>
      <c r="O26" s="2486"/>
      <c r="P26" s="3433"/>
      <c r="Q26" s="1263" t="str">
        <f t="shared" si="11"/>
        <v>朝向</v>
      </c>
      <c r="R26" s="667" t="s">
        <v>18</v>
      </c>
      <c r="S26" s="668">
        <f t="shared" si="12"/>
        <v>102</v>
      </c>
      <c r="T26" s="667" t="s">
        <v>18</v>
      </c>
      <c r="U26" s="668">
        <f t="shared" si="13"/>
        <v>102</v>
      </c>
      <c r="V26" s="667" t="s">
        <v>18</v>
      </c>
      <c r="W26" s="668">
        <f t="shared" si="14"/>
        <v>100</v>
      </c>
      <c r="X26" s="1265"/>
      <c r="Y26" s="3426"/>
      <c r="Z26" s="1264" t="str">
        <f>Q26</f>
        <v>朝向</v>
      </c>
      <c r="AA26" s="1264">
        <f t="shared" si="15"/>
        <v>0.98039215686274506</v>
      </c>
      <c r="AB26" s="1264">
        <f t="shared" si="16"/>
        <v>0.98039215686274506</v>
      </c>
      <c r="AC26" s="1264">
        <f t="shared" si="17"/>
        <v>1</v>
      </c>
    </row>
    <row r="27" spans="1:29" s="102" customFormat="1" ht="15">
      <c r="A27" s="370"/>
      <c r="B27" s="3170" t="s">
        <v>3451</v>
      </c>
      <c r="C27" s="3172" t="s">
        <v>3454</v>
      </c>
      <c r="D27" s="401">
        <v>100</v>
      </c>
      <c r="E27" s="3173" t="s">
        <v>3454</v>
      </c>
      <c r="F27" s="401">
        <f>SUMIF(90:90,E27,91:91)-SUMIF(90:90,C27,91:91)+100</f>
        <v>100</v>
      </c>
      <c r="G27" s="3174" t="s">
        <v>3452</v>
      </c>
      <c r="H27" s="401">
        <f>SUMIF(90:90,G27,91:91)-SUMIF(90:90,C27,91:91)+100</f>
        <v>104</v>
      </c>
      <c r="I27" s="3174" t="s">
        <v>3453</v>
      </c>
      <c r="J27" s="401">
        <f>SUMIF(90:90,I27,91:91)-SUMIF(90:90,C27,91:91)+100</f>
        <v>102</v>
      </c>
      <c r="K27" s="1748"/>
      <c r="L27" s="2487"/>
      <c r="M27" s="2438"/>
      <c r="N27" s="2438"/>
      <c r="O27" s="2438"/>
      <c r="P27" s="3433"/>
      <c r="Q27" s="530" t="str">
        <f t="shared" si="11"/>
        <v>楼层</v>
      </c>
      <c r="R27" s="664" t="s">
        <v>18</v>
      </c>
      <c r="S27" s="665">
        <f t="shared" si="12"/>
        <v>100</v>
      </c>
      <c r="T27" s="664" t="s">
        <v>18</v>
      </c>
      <c r="U27" s="665">
        <f t="shared" si="13"/>
        <v>104</v>
      </c>
      <c r="V27" s="664" t="s">
        <v>18</v>
      </c>
      <c r="W27" s="665">
        <f t="shared" si="14"/>
        <v>102</v>
      </c>
      <c r="X27" s="666"/>
      <c r="Y27" s="3426"/>
      <c r="Z27" s="50" t="str">
        <f>Q27</f>
        <v>楼层</v>
      </c>
      <c r="AA27" s="1264">
        <f t="shared" si="15"/>
        <v>1</v>
      </c>
      <c r="AB27" s="1264">
        <f t="shared" si="16"/>
        <v>0.96153846153846156</v>
      </c>
      <c r="AC27" s="1264">
        <f t="shared" si="17"/>
        <v>0.98039215686274506</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33"/>
      <c r="Q28" s="1263">
        <f t="shared" si="11"/>
        <v>111</v>
      </c>
      <c r="R28" s="667" t="s">
        <v>18</v>
      </c>
      <c r="S28" s="668">
        <f t="shared" si="12"/>
        <v>100</v>
      </c>
      <c r="T28" s="667" t="s">
        <v>18</v>
      </c>
      <c r="U28" s="668">
        <f t="shared" si="13"/>
        <v>100</v>
      </c>
      <c r="V28" s="667" t="s">
        <v>18</v>
      </c>
      <c r="W28" s="668">
        <f t="shared" si="14"/>
        <v>100</v>
      </c>
      <c r="X28" s="1265"/>
      <c r="Y28" s="342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33"/>
      <c r="Q29" s="1263">
        <f t="shared" si="11"/>
        <v>111</v>
      </c>
      <c r="R29" s="667" t="s">
        <v>18</v>
      </c>
      <c r="S29" s="668">
        <f t="shared" si="12"/>
        <v>100</v>
      </c>
      <c r="T29" s="667" t="s">
        <v>18</v>
      </c>
      <c r="U29" s="668">
        <f t="shared" si="13"/>
        <v>100</v>
      </c>
      <c r="V29" s="667" t="s">
        <v>18</v>
      </c>
      <c r="W29" s="668">
        <f t="shared" si="14"/>
        <v>100</v>
      </c>
      <c r="X29" s="1265"/>
      <c r="Y29" s="342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33"/>
      <c r="Q30" s="1263">
        <f t="shared" si="11"/>
        <v>111</v>
      </c>
      <c r="R30" s="667" t="s">
        <v>18</v>
      </c>
      <c r="S30" s="668">
        <f t="shared" si="12"/>
        <v>100</v>
      </c>
      <c r="T30" s="667" t="s">
        <v>18</v>
      </c>
      <c r="U30" s="668">
        <f t="shared" si="13"/>
        <v>100</v>
      </c>
      <c r="V30" s="667" t="s">
        <v>18</v>
      </c>
      <c r="W30" s="668">
        <f t="shared" si="14"/>
        <v>100</v>
      </c>
      <c r="X30" s="1265"/>
      <c r="Y30" s="342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33"/>
      <c r="Q31" s="1263">
        <f t="shared" si="11"/>
        <v>111</v>
      </c>
      <c r="R31" s="667" t="s">
        <v>18</v>
      </c>
      <c r="S31" s="668">
        <f t="shared" si="12"/>
        <v>100</v>
      </c>
      <c r="T31" s="667" t="s">
        <v>18</v>
      </c>
      <c r="U31" s="668">
        <f t="shared" si="13"/>
        <v>100</v>
      </c>
      <c r="V31" s="667" t="s">
        <v>18</v>
      </c>
      <c r="W31" s="668">
        <f t="shared" si="14"/>
        <v>100</v>
      </c>
      <c r="X31" s="1265"/>
      <c r="Y31" s="3426"/>
      <c r="Z31" s="1264">
        <f t="shared" si="18"/>
        <v>111</v>
      </c>
      <c r="AA31" s="1264">
        <f t="shared" si="15"/>
        <v>1</v>
      </c>
      <c r="AB31" s="1264">
        <f t="shared" si="16"/>
        <v>1</v>
      </c>
      <c r="AC31" s="1264">
        <f t="shared" si="17"/>
        <v>1</v>
      </c>
    </row>
    <row r="32" spans="1:29" ht="15">
      <c r="A32" s="379" t="s">
        <v>1694</v>
      </c>
      <c r="B32" s="60" t="s">
        <v>1695</v>
      </c>
      <c r="C32" s="1764" t="s">
        <v>3468</v>
      </c>
      <c r="D32" s="405">
        <v>100</v>
      </c>
      <c r="E32" s="1764" t="s">
        <v>3468</v>
      </c>
      <c r="F32" s="400">
        <f>SUMIF(100:100,E32,101:101)-SUMIF(100:100,C32,101:101)+100</f>
        <v>100</v>
      </c>
      <c r="G32" s="1764" t="s">
        <v>3468</v>
      </c>
      <c r="H32" s="405">
        <f>SUMIF(100:100,G32,101:101)-SUMIF(100:100,C32,101:101)+100</f>
        <v>100</v>
      </c>
      <c r="I32" s="1764" t="s">
        <v>3468</v>
      </c>
      <c r="J32" s="374">
        <f>SUMIF(100:100,I32,101:101)-SUMIF(100:100,C32,101:101)+100</f>
        <v>100</v>
      </c>
      <c r="K32" s="365"/>
      <c r="L32" s="2491"/>
      <c r="M32" s="2486"/>
      <c r="N32" s="2486"/>
      <c r="O32" s="2486"/>
      <c r="P32" s="3427" t="s">
        <v>1696</v>
      </c>
      <c r="Q32" s="1263" t="str">
        <f t="shared" si="11"/>
        <v>建筑类型</v>
      </c>
      <c r="R32" s="667" t="s">
        <v>18</v>
      </c>
      <c r="S32" s="668">
        <f t="shared" si="12"/>
        <v>100</v>
      </c>
      <c r="T32" s="667" t="s">
        <v>18</v>
      </c>
      <c r="U32" s="668">
        <f t="shared" si="13"/>
        <v>100</v>
      </c>
      <c r="V32" s="667" t="s">
        <v>18</v>
      </c>
      <c r="W32" s="668">
        <f t="shared" si="14"/>
        <v>100</v>
      </c>
      <c r="X32" s="1265"/>
      <c r="Y32" s="3430"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237.82</v>
      </c>
      <c r="D33" s="119">
        <v>100</v>
      </c>
      <c r="E33" s="369">
        <f>Sheet1!U8</f>
        <v>241.61</v>
      </c>
      <c r="F33" s="364">
        <f>LOOKUP(E33,103:103,104:104)-LOOKUP(C33,103:103,104:104)+100</f>
        <v>100</v>
      </c>
      <c r="G33" s="368">
        <f>Sheet1!U9</f>
        <v>240.98</v>
      </c>
      <c r="H33" s="119">
        <f>LOOKUP(G33,103:103,104:104)-LOOKUP(C33,103:103,104:104)+100</f>
        <v>100</v>
      </c>
      <c r="I33" s="369">
        <f>Sheet1!U10</f>
        <v>238.9</v>
      </c>
      <c r="J33" s="119">
        <f>LOOKUP(I33,103:103,104:104)-LOOKUP(C33,103:103,104:104)+100</f>
        <v>100</v>
      </c>
      <c r="K33" s="1748"/>
      <c r="L33" s="2490"/>
      <c r="M33" s="2492"/>
      <c r="N33" s="2492"/>
      <c r="O33" s="2492"/>
      <c r="P33" s="3428"/>
      <c r="Q33" s="531" t="str">
        <f t="shared" si="11"/>
        <v>项目建筑规模</v>
      </c>
      <c r="R33" s="669" t="s">
        <v>18</v>
      </c>
      <c r="S33" s="670">
        <f t="shared" si="12"/>
        <v>100</v>
      </c>
      <c r="T33" s="669" t="s">
        <v>18</v>
      </c>
      <c r="U33" s="670">
        <f t="shared" si="13"/>
        <v>100</v>
      </c>
      <c r="V33" s="669" t="s">
        <v>18</v>
      </c>
      <c r="W33" s="670">
        <f t="shared" si="14"/>
        <v>100</v>
      </c>
      <c r="X33" s="671"/>
      <c r="Y33" s="3430"/>
      <c r="Z33" s="672" t="str">
        <f t="shared" si="18"/>
        <v>项目建筑规模</v>
      </c>
      <c r="AA33" s="1264">
        <f t="shared" si="15"/>
        <v>1</v>
      </c>
      <c r="AB33" s="1264">
        <f t="shared" si="16"/>
        <v>1</v>
      </c>
      <c r="AC33" s="1264">
        <f t="shared" si="17"/>
        <v>1</v>
      </c>
    </row>
    <row r="34" spans="1:29" ht="15">
      <c r="A34" s="409"/>
      <c r="B34" s="364" t="s">
        <v>1698</v>
      </c>
      <c r="C34" s="399" t="s">
        <v>3435</v>
      </c>
      <c r="D34" s="374">
        <v>100</v>
      </c>
      <c r="E34" s="399" t="s">
        <v>3435</v>
      </c>
      <c r="F34" s="400">
        <f>SUMIF(105:105,E34,106:106)-SUMIF(105:105,C34,106:106)+100</f>
        <v>100</v>
      </c>
      <c r="G34" s="399" t="s">
        <v>3435</v>
      </c>
      <c r="H34" s="374">
        <f>SUMIF(105:105,G34,106:106)-SUMIF(105:105,C34,106:106)+100</f>
        <v>100</v>
      </c>
      <c r="I34" s="399" t="s">
        <v>3435</v>
      </c>
      <c r="J34" s="374">
        <f>SUMIF(105:105,I34,106:106)-SUMIF(105:105,C34,106:106)+100</f>
        <v>100</v>
      </c>
      <c r="K34" s="365"/>
      <c r="L34" s="2491"/>
      <c r="M34" s="2486"/>
      <c r="N34" s="2486"/>
      <c r="O34" s="2486"/>
      <c r="P34" s="3428"/>
      <c r="Q34" s="1263" t="str">
        <f t="shared" si="11"/>
        <v>建筑结构</v>
      </c>
      <c r="R34" s="667" t="s">
        <v>18</v>
      </c>
      <c r="S34" s="668">
        <f t="shared" si="12"/>
        <v>100</v>
      </c>
      <c r="T34" s="667" t="s">
        <v>18</v>
      </c>
      <c r="U34" s="668">
        <f t="shared" si="13"/>
        <v>100</v>
      </c>
      <c r="V34" s="667" t="s">
        <v>18</v>
      </c>
      <c r="W34" s="668">
        <f t="shared" si="14"/>
        <v>100</v>
      </c>
      <c r="X34" s="1265"/>
      <c r="Y34" s="3430"/>
      <c r="Z34" s="1264" t="str">
        <f t="shared" si="18"/>
        <v>建筑结构</v>
      </c>
      <c r="AA34" s="1264">
        <f t="shared" si="15"/>
        <v>1</v>
      </c>
      <c r="AB34" s="1264">
        <f t="shared" si="16"/>
        <v>1</v>
      </c>
      <c r="AC34" s="1264">
        <f t="shared" si="17"/>
        <v>1</v>
      </c>
    </row>
    <row r="35" spans="1:29" ht="15">
      <c r="A35" s="409"/>
      <c r="B35" s="364" t="s">
        <v>1699</v>
      </c>
      <c r="C35" s="1760" t="s">
        <v>3471</v>
      </c>
      <c r="D35" s="374">
        <v>100</v>
      </c>
      <c r="E35" s="1760" t="s">
        <v>3471</v>
      </c>
      <c r="F35" s="400">
        <f>SUMIF(107:107,E35,108:108)-SUMIF(107:107,C35,108:108)+100</f>
        <v>100</v>
      </c>
      <c r="G35" s="1760" t="s">
        <v>3471</v>
      </c>
      <c r="H35" s="374">
        <f>SUMIF(107:107,G35,108:108)-SUMIF(107:107,C35,108:108)+100</f>
        <v>100</v>
      </c>
      <c r="I35" s="1760" t="s">
        <v>3471</v>
      </c>
      <c r="J35" s="374">
        <f>SUMIF(107:107,I35,108:108)-SUMIF(107:107,C35,108:108)+100</f>
        <v>100</v>
      </c>
      <c r="K35" s="365"/>
      <c r="L35" s="2491"/>
      <c r="M35" s="2486"/>
      <c r="N35" s="2486"/>
      <c r="O35" s="2486"/>
      <c r="P35" s="3428"/>
      <c r="Q35" s="1263" t="str">
        <f t="shared" si="11"/>
        <v>建筑品质</v>
      </c>
      <c r="R35" s="667" t="s">
        <v>18</v>
      </c>
      <c r="S35" s="668">
        <f t="shared" si="12"/>
        <v>100</v>
      </c>
      <c r="T35" s="667" t="s">
        <v>18</v>
      </c>
      <c r="U35" s="668">
        <f t="shared" si="13"/>
        <v>100</v>
      </c>
      <c r="V35" s="667" t="s">
        <v>18</v>
      </c>
      <c r="W35" s="668">
        <f t="shared" si="14"/>
        <v>100</v>
      </c>
      <c r="X35" s="1265"/>
      <c r="Y35" s="3430"/>
      <c r="Z35" s="1264" t="str">
        <f t="shared" si="18"/>
        <v>建筑品质</v>
      </c>
      <c r="AA35" s="1264">
        <f t="shared" si="15"/>
        <v>1</v>
      </c>
      <c r="AB35" s="1264">
        <f t="shared" si="16"/>
        <v>1</v>
      </c>
      <c r="AC35" s="1264">
        <f t="shared" si="17"/>
        <v>1</v>
      </c>
    </row>
    <row r="36" spans="1:29" ht="15">
      <c r="A36" s="409"/>
      <c r="B36" s="364" t="s">
        <v>1700</v>
      </c>
      <c r="C36" s="1760" t="s">
        <v>3464</v>
      </c>
      <c r="D36" s="374">
        <v>100</v>
      </c>
      <c r="E36" s="1760" t="s">
        <v>3464</v>
      </c>
      <c r="F36" s="400">
        <f>SUMIF(109:109,E36,110:110)-SUMIF(109:109,C36,110:110)+100</f>
        <v>100</v>
      </c>
      <c r="G36" s="1760" t="s">
        <v>3464</v>
      </c>
      <c r="H36" s="374">
        <f>SUMIF(109:109,G36,110:110)-SUMIF(109:109,C36,110:110)+100</f>
        <v>100</v>
      </c>
      <c r="I36" s="1760" t="s">
        <v>3464</v>
      </c>
      <c r="J36" s="374">
        <f>SUMIF(109:109,I36,110:110)-SUMIF(109:109,C36,110:110)+100</f>
        <v>100</v>
      </c>
      <c r="K36" s="365"/>
      <c r="L36" s="2491"/>
      <c r="M36" s="2486"/>
      <c r="N36" s="2486"/>
      <c r="O36" s="2486"/>
      <c r="P36" s="3428"/>
      <c r="Q36" s="1263" t="str">
        <f t="shared" si="11"/>
        <v>公共部分装修</v>
      </c>
      <c r="R36" s="667" t="s">
        <v>18</v>
      </c>
      <c r="S36" s="668">
        <f t="shared" si="12"/>
        <v>100</v>
      </c>
      <c r="T36" s="667" t="s">
        <v>18</v>
      </c>
      <c r="U36" s="668">
        <f t="shared" si="13"/>
        <v>100</v>
      </c>
      <c r="V36" s="667" t="s">
        <v>18</v>
      </c>
      <c r="W36" s="668">
        <f t="shared" si="14"/>
        <v>100</v>
      </c>
      <c r="X36" s="1265"/>
      <c r="Y36" s="3430"/>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7"/>
      <c r="M37" s="2438"/>
      <c r="N37" s="2438"/>
      <c r="O37" s="2438"/>
      <c r="P37" s="3428"/>
      <c r="Q37" s="530" t="str">
        <f t="shared" si="11"/>
        <v>成新度</v>
      </c>
      <c r="R37" s="664" t="s">
        <v>18</v>
      </c>
      <c r="S37" s="665">
        <f t="shared" si="12"/>
        <v>100</v>
      </c>
      <c r="T37" s="664" t="s">
        <v>18</v>
      </c>
      <c r="U37" s="665">
        <f t="shared" si="13"/>
        <v>100</v>
      </c>
      <c r="V37" s="664" t="s">
        <v>18</v>
      </c>
      <c r="W37" s="665">
        <f t="shared" si="14"/>
        <v>100</v>
      </c>
      <c r="X37" s="666"/>
      <c r="Y37" s="3430"/>
      <c r="Z37" s="50" t="str">
        <f t="shared" si="18"/>
        <v>成新度</v>
      </c>
      <c r="AA37" s="50">
        <f t="shared" si="15"/>
        <v>1</v>
      </c>
      <c r="AB37" s="50">
        <f t="shared" si="16"/>
        <v>1</v>
      </c>
      <c r="AC37" s="50">
        <f t="shared" si="17"/>
        <v>1</v>
      </c>
    </row>
    <row r="38" spans="1:29" ht="15">
      <c r="A38" s="409"/>
      <c r="B38" s="364" t="s">
        <v>1702</v>
      </c>
      <c r="C38" s="1760" t="s">
        <v>3473</v>
      </c>
      <c r="D38" s="374">
        <v>100</v>
      </c>
      <c r="E38" s="1760" t="s">
        <v>3473</v>
      </c>
      <c r="F38" s="400">
        <f>SUMIF(114:114,E38,115:115)-SUMIF(114:114,C38,115:115)+100</f>
        <v>100</v>
      </c>
      <c r="G38" s="1760" t="s">
        <v>3473</v>
      </c>
      <c r="H38" s="374">
        <f>SUMIF(114:114,G38,115:115)-SUMIF(114:114,C38,115:115)+100</f>
        <v>100</v>
      </c>
      <c r="I38" s="1760" t="s">
        <v>3473</v>
      </c>
      <c r="J38" s="374">
        <f>SUMIF(114:114,I38,115:115)-SUMIF(114:114,C38,115:115)+100</f>
        <v>100</v>
      </c>
      <c r="K38" s="365"/>
      <c r="L38" s="2491"/>
      <c r="M38" s="2486"/>
      <c r="N38" s="2486"/>
      <c r="O38" s="2486"/>
      <c r="P38" s="3428" t="s">
        <v>1696</v>
      </c>
      <c r="Q38" s="1263" t="str">
        <f t="shared" si="11"/>
        <v>物业管理</v>
      </c>
      <c r="R38" s="667" t="s">
        <v>18</v>
      </c>
      <c r="S38" s="668">
        <f t="shared" si="12"/>
        <v>100</v>
      </c>
      <c r="T38" s="667" t="s">
        <v>18</v>
      </c>
      <c r="U38" s="668">
        <f t="shared" si="13"/>
        <v>100</v>
      </c>
      <c r="V38" s="667" t="s">
        <v>18</v>
      </c>
      <c r="W38" s="668">
        <f t="shared" si="14"/>
        <v>100</v>
      </c>
      <c r="X38" s="1265"/>
      <c r="Y38" s="3430" t="s">
        <v>1696</v>
      </c>
      <c r="Z38" s="1264" t="str">
        <f t="shared" si="18"/>
        <v>物业管理</v>
      </c>
      <c r="AA38" s="1264">
        <f t="shared" si="15"/>
        <v>1</v>
      </c>
      <c r="AB38" s="1264">
        <f t="shared" si="16"/>
        <v>1</v>
      </c>
      <c r="AC38" s="1264">
        <f t="shared" si="17"/>
        <v>1</v>
      </c>
    </row>
    <row r="39" spans="1:29" ht="15">
      <c r="A39" s="409"/>
      <c r="B39" s="364" t="s">
        <v>1703</v>
      </c>
      <c r="C39" s="1760" t="s">
        <v>3475</v>
      </c>
      <c r="D39" s="374">
        <v>100</v>
      </c>
      <c r="E39" s="1760" t="s">
        <v>3475</v>
      </c>
      <c r="F39" s="400">
        <f>SUMIF(116:116,E39,117:117)-SUMIF(116:116,C39,117:117)+100</f>
        <v>100</v>
      </c>
      <c r="G39" s="1760" t="s">
        <v>3475</v>
      </c>
      <c r="H39" s="374">
        <f>SUMIF(116:116,G39,117:117)-SUMIF(116:116,C39,117:117)+100</f>
        <v>100</v>
      </c>
      <c r="I39" s="1760" t="s">
        <v>3475</v>
      </c>
      <c r="J39" s="374">
        <f>SUMIF(116:116,I39,117:117)-SUMIF(116:116,C39,117:117)+100</f>
        <v>100</v>
      </c>
      <c r="K39" s="365"/>
      <c r="L39" s="2491"/>
      <c r="M39" s="2486"/>
      <c r="N39" s="2486"/>
      <c r="O39" s="2486"/>
      <c r="P39" s="3428"/>
      <c r="Q39" s="1263" t="str">
        <f t="shared" si="11"/>
        <v>市政基础设施</v>
      </c>
      <c r="R39" s="667" t="s">
        <v>18</v>
      </c>
      <c r="S39" s="668">
        <f t="shared" si="12"/>
        <v>100</v>
      </c>
      <c r="T39" s="667" t="s">
        <v>18</v>
      </c>
      <c r="U39" s="668">
        <f t="shared" si="13"/>
        <v>100</v>
      </c>
      <c r="V39" s="667" t="s">
        <v>18</v>
      </c>
      <c r="W39" s="668">
        <f t="shared" si="14"/>
        <v>100</v>
      </c>
      <c r="X39" s="1265"/>
      <c r="Y39" s="3430"/>
      <c r="Z39" s="1264" t="str">
        <f t="shared" si="18"/>
        <v>市政基础设施</v>
      </c>
      <c r="AA39" s="1264">
        <f t="shared" si="15"/>
        <v>1</v>
      </c>
      <c r="AB39" s="1264">
        <f t="shared" si="16"/>
        <v>1</v>
      </c>
      <c r="AC39" s="1264">
        <f t="shared" si="17"/>
        <v>1</v>
      </c>
    </row>
    <row r="40" spans="1:29" ht="15" hidden="1">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28"/>
      <c r="Q40" s="1263" t="str">
        <f t="shared" si="11"/>
        <v>房型</v>
      </c>
      <c r="R40" s="667" t="s">
        <v>18</v>
      </c>
      <c r="S40" s="668">
        <f t="shared" si="12"/>
        <v>100</v>
      </c>
      <c r="T40" s="667" t="s">
        <v>18</v>
      </c>
      <c r="U40" s="668">
        <f t="shared" si="13"/>
        <v>100</v>
      </c>
      <c r="V40" s="667" t="s">
        <v>18</v>
      </c>
      <c r="W40" s="668">
        <f t="shared" si="14"/>
        <v>100</v>
      </c>
      <c r="X40" s="1265"/>
      <c r="Y40" s="3430"/>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28"/>
      <c r="Q41" s="531" t="str">
        <f t="shared" si="11"/>
        <v>单套/主力户型建筑面积</v>
      </c>
      <c r="R41" s="669" t="s">
        <v>18</v>
      </c>
      <c r="S41" s="670">
        <f t="shared" si="12"/>
        <v>100</v>
      </c>
      <c r="T41" s="669" t="s">
        <v>18</v>
      </c>
      <c r="U41" s="670">
        <f t="shared" si="13"/>
        <v>100</v>
      </c>
      <c r="V41" s="669" t="s">
        <v>18</v>
      </c>
      <c r="W41" s="670">
        <f t="shared" si="14"/>
        <v>100</v>
      </c>
      <c r="X41" s="671"/>
      <c r="Y41" s="3430"/>
      <c r="Z41" s="672" t="str">
        <f t="shared" si="18"/>
        <v>单套/主力户型建筑面积</v>
      </c>
      <c r="AA41" s="1264">
        <f t="shared" si="15"/>
        <v>1</v>
      </c>
      <c r="AB41" s="1264">
        <f t="shared" si="16"/>
        <v>1</v>
      </c>
      <c r="AC41" s="1264">
        <f t="shared" si="17"/>
        <v>1</v>
      </c>
    </row>
    <row r="42" spans="1:29" ht="15">
      <c r="A42" s="409"/>
      <c r="B42" s="364" t="s">
        <v>1706</v>
      </c>
      <c r="C42" s="1760" t="s">
        <v>3466</v>
      </c>
      <c r="D42" s="374">
        <v>100</v>
      </c>
      <c r="E42" s="1761" t="s">
        <v>3464</v>
      </c>
      <c r="F42" s="400">
        <f>SUMIF(122:122,E42,123:123)-SUMIF(122:122,C42,123:123)+100</f>
        <v>102</v>
      </c>
      <c r="G42" s="1761" t="s">
        <v>3464</v>
      </c>
      <c r="H42" s="374">
        <f>SUMIF(122:122,G42,123:123)-SUMIF(122:122,C42,123:123)+100</f>
        <v>102</v>
      </c>
      <c r="I42" s="1761" t="s">
        <v>3464</v>
      </c>
      <c r="J42" s="374">
        <f>SUMIF(122:122,I42,123:123)-SUMIF(122:122,C42,123:123)+100</f>
        <v>102</v>
      </c>
      <c r="K42" s="365">
        <v>2</v>
      </c>
      <c r="L42" s="2491"/>
      <c r="M42" s="2486"/>
      <c r="N42" s="2486"/>
      <c r="O42" s="2486"/>
      <c r="P42" s="3428"/>
      <c r="Q42" s="1263" t="str">
        <f t="shared" si="11"/>
        <v>内部装修</v>
      </c>
      <c r="R42" s="667" t="s">
        <v>18</v>
      </c>
      <c r="S42" s="668">
        <f t="shared" si="12"/>
        <v>102</v>
      </c>
      <c r="T42" s="667" t="s">
        <v>18</v>
      </c>
      <c r="U42" s="668">
        <f t="shared" si="13"/>
        <v>102</v>
      </c>
      <c r="V42" s="667" t="s">
        <v>18</v>
      </c>
      <c r="W42" s="668">
        <f t="shared" si="14"/>
        <v>102</v>
      </c>
      <c r="X42" s="1265"/>
      <c r="Y42" s="3430"/>
      <c r="Z42" s="1264" t="str">
        <f t="shared" si="18"/>
        <v>内部装修</v>
      </c>
      <c r="AA42" s="1264">
        <f t="shared" si="15"/>
        <v>0.98039215686274506</v>
      </c>
      <c r="AB42" s="1264">
        <f t="shared" si="16"/>
        <v>0.98039215686274506</v>
      </c>
      <c r="AC42" s="1264">
        <f t="shared" si="17"/>
        <v>0.98039215686274506</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28"/>
      <c r="Q43" s="1263" t="str">
        <f t="shared" si="11"/>
        <v>内部装修维护情况</v>
      </c>
      <c r="R43" s="667" t="s">
        <v>18</v>
      </c>
      <c r="S43" s="668">
        <f t="shared" si="12"/>
        <v>100</v>
      </c>
      <c r="T43" s="667" t="s">
        <v>18</v>
      </c>
      <c r="U43" s="668">
        <f t="shared" si="13"/>
        <v>100</v>
      </c>
      <c r="V43" s="667" t="s">
        <v>18</v>
      </c>
      <c r="W43" s="668">
        <f t="shared" si="14"/>
        <v>100</v>
      </c>
      <c r="X43" s="1265"/>
      <c r="Y43" s="343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28"/>
      <c r="Q44" s="530">
        <f t="shared" si="11"/>
        <v>111</v>
      </c>
      <c r="R44" s="664" t="s">
        <v>18</v>
      </c>
      <c r="S44" s="665">
        <f t="shared" si="12"/>
        <v>100</v>
      </c>
      <c r="T44" s="664" t="s">
        <v>18</v>
      </c>
      <c r="U44" s="665">
        <f t="shared" si="13"/>
        <v>100</v>
      </c>
      <c r="V44" s="664" t="s">
        <v>18</v>
      </c>
      <c r="W44" s="665">
        <f t="shared" si="14"/>
        <v>100</v>
      </c>
      <c r="X44" s="666"/>
      <c r="Y44" s="343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28"/>
      <c r="Q45" s="1263">
        <f t="shared" si="11"/>
        <v>111</v>
      </c>
      <c r="R45" s="667" t="s">
        <v>18</v>
      </c>
      <c r="S45" s="668">
        <f t="shared" si="12"/>
        <v>100</v>
      </c>
      <c r="T45" s="667" t="s">
        <v>18</v>
      </c>
      <c r="U45" s="668">
        <f t="shared" si="13"/>
        <v>100</v>
      </c>
      <c r="V45" s="667" t="s">
        <v>18</v>
      </c>
      <c r="W45" s="668">
        <f t="shared" si="14"/>
        <v>100</v>
      </c>
      <c r="X45" s="1265"/>
      <c r="Y45" s="343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29"/>
      <c r="Q46" s="1263">
        <f t="shared" si="11"/>
        <v>111</v>
      </c>
      <c r="R46" s="667" t="s">
        <v>17</v>
      </c>
      <c r="S46" s="668">
        <f t="shared" si="12"/>
        <v>100</v>
      </c>
      <c r="T46" s="667" t="s">
        <v>17</v>
      </c>
      <c r="U46" s="668">
        <f t="shared" si="13"/>
        <v>100</v>
      </c>
      <c r="V46" s="667" t="s">
        <v>17</v>
      </c>
      <c r="W46" s="668">
        <f t="shared" si="14"/>
        <v>100</v>
      </c>
      <c r="X46" s="1265"/>
      <c r="Y46" s="3431"/>
      <c r="Z46" s="1264">
        <f t="shared" si="18"/>
        <v>111</v>
      </c>
      <c r="AA46" s="1264">
        <f t="shared" si="15"/>
        <v>1</v>
      </c>
      <c r="AB46" s="1264">
        <f t="shared" si="16"/>
        <v>1</v>
      </c>
      <c r="AC46" s="1264">
        <f t="shared" si="17"/>
        <v>1</v>
      </c>
    </row>
    <row r="47" spans="1:29" ht="15">
      <c r="A47" s="416" t="s">
        <v>1708</v>
      </c>
      <c r="B47" s="417"/>
      <c r="C47" s="1081" t="s">
        <v>16</v>
      </c>
      <c r="D47" s="418"/>
      <c r="E47" s="419">
        <f>Sheet1!V8</f>
        <v>110095</v>
      </c>
      <c r="F47" s="420"/>
      <c r="G47" s="421">
        <f>Sheet1!V9</f>
        <v>97519</v>
      </c>
      <c r="H47" s="422"/>
      <c r="I47" s="419">
        <f>Sheet1!V10</f>
        <v>108833</v>
      </c>
      <c r="J47" s="422"/>
      <c r="K47" s="1765"/>
      <c r="L47" s="2493"/>
      <c r="M47" s="2486"/>
      <c r="N47" s="2486"/>
      <c r="O47" s="2486"/>
      <c r="P47" s="3424" t="str">
        <f>A47</f>
        <v>成交单价（元/平方米）</v>
      </c>
      <c r="Q47" s="3424"/>
      <c r="R47" s="3419">
        <f>E47</f>
        <v>110095</v>
      </c>
      <c r="S47" s="3419"/>
      <c r="T47" s="3419">
        <f>G47</f>
        <v>97519</v>
      </c>
      <c r="U47" s="3419"/>
      <c r="V47" s="3419">
        <f>I47</f>
        <v>108833</v>
      </c>
      <c r="W47" s="3419"/>
      <c r="X47" s="385"/>
      <c r="Y47" s="673"/>
      <c r="Z47" s="385"/>
      <c r="AA47" s="385"/>
      <c r="AB47" s="385"/>
      <c r="AC47" s="385"/>
    </row>
    <row r="48" spans="1:29" ht="15.75" thickBot="1">
      <c r="A48" s="423" t="s">
        <v>1709</v>
      </c>
      <c r="B48" s="424"/>
      <c r="C48" s="1082">
        <f>R49</f>
        <v>98220</v>
      </c>
      <c r="D48" s="2139" t="s">
        <v>2138</v>
      </c>
      <c r="E48" s="1083">
        <f>R48</f>
        <v>103745</v>
      </c>
      <c r="F48" s="2140"/>
      <c r="G48" s="1082">
        <f>T48</f>
        <v>88360</v>
      </c>
      <c r="H48" s="2140"/>
      <c r="I48" s="1083">
        <f>V48</f>
        <v>102556</v>
      </c>
      <c r="J48" s="2140"/>
      <c r="K48" s="2141">
        <f>F48+H48+J48</f>
        <v>0</v>
      </c>
      <c r="L48" s="2493"/>
      <c r="M48" s="2486"/>
      <c r="N48" s="2486"/>
      <c r="O48" s="2486"/>
      <c r="P48" s="3424" t="str">
        <f>A48</f>
        <v>比较价值（元/平方米）</v>
      </c>
      <c r="Q48" s="3424"/>
      <c r="R48" s="3419">
        <f>IF(F1="售价",ROUND(PRODUCT(R47,AA7:AA46),0),ROUND(PRODUCT(R47,AA7:AA46),1))</f>
        <v>103745</v>
      </c>
      <c r="S48" s="3419"/>
      <c r="T48" s="3419">
        <f>IF(F1="售价",ROUND(PRODUCT(T47,AB7:AB46),0),ROUND(PRODUCT(T47,AB7:AB46),1))</f>
        <v>88360</v>
      </c>
      <c r="U48" s="3419"/>
      <c r="V48" s="3419">
        <f>IF(F1="售价",ROUND(PRODUCT(V47,AC7:AC46),0),ROUND(PRODUCT(V47,AC7:AC46),1))</f>
        <v>102556</v>
      </c>
      <c r="W48" s="3419"/>
      <c r="X48" s="385"/>
      <c r="Y48" s="385"/>
      <c r="Z48" s="385"/>
      <c r="AA48" s="385"/>
      <c r="AB48" s="385"/>
      <c r="AC48" s="385"/>
    </row>
    <row r="49" spans="1:29" ht="15.75" thickBot="1">
      <c r="A49" s="427" t="s">
        <v>1710</v>
      </c>
      <c r="B49" s="428"/>
      <c r="C49" s="1084">
        <f>R49</f>
        <v>98220</v>
      </c>
      <c r="D49" s="351"/>
      <c r="E49" s="351"/>
      <c r="F49" s="351"/>
      <c r="G49" s="351"/>
      <c r="H49" s="351"/>
      <c r="I49" s="351"/>
      <c r="J49" s="351"/>
      <c r="K49" s="1766"/>
      <c r="L49" s="2493"/>
      <c r="M49" s="2486"/>
      <c r="N49" s="2486"/>
      <c r="O49" s="2486"/>
      <c r="P49" s="3421" t="str">
        <f>A49</f>
        <v>估价对象XX用房的比较价值（楼面单价，元/平方米）</v>
      </c>
      <c r="Q49" s="3422"/>
      <c r="R49" s="3423">
        <f>IF(F1="售价",ROUND(IF(D48="简单平均",AVERAGE(R48:V48),R48*F48+T48*H48+V48*J48),0),ROUND(IF(D48="简单平均",AVERAGE(R48:V48),R48*F48+T48*H48+V48*J48),1))</f>
        <v>98220</v>
      </c>
      <c r="S49" s="3423"/>
      <c r="T49" s="3423"/>
      <c r="U49" s="3423"/>
      <c r="V49" s="3423"/>
      <c r="W49" s="342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6.1207769049110849E-2</v>
      </c>
      <c r="F52" s="435" t="str">
        <f>IF(OR(E52&gt;=0.3,E52&lt;=-0.3),"超过30%","")</f>
        <v/>
      </c>
      <c r="G52" s="434">
        <f>IF(G47&lt;G48,G48/G47-1,G47/G48-1)</f>
        <v>0.10365550022634684</v>
      </c>
      <c r="H52" s="435" t="str">
        <f>IF(OR(G52&gt;=0.3,G52&lt;=-0.3),"超过30%","")</f>
        <v/>
      </c>
      <c r="I52" s="434">
        <f>IF(I47&lt;I48,I48/I47-1,I47/I48-1)</f>
        <v>6.1205585241234095E-2</v>
      </c>
      <c r="J52" s="435" t="str">
        <f>IF(OR(I52&gt;=0.3,I52&lt;=-0.3),"超过30%","")</f>
        <v/>
      </c>
      <c r="K52" s="2498"/>
      <c r="L52" s="2494"/>
      <c r="M52" s="2486"/>
      <c r="N52" s="2486"/>
      <c r="O52" s="2486"/>
    </row>
    <row r="53" spans="1:29" ht="13.5" customHeight="1">
      <c r="A53" s="2486"/>
      <c r="B53" s="2486"/>
      <c r="C53" s="432" t="s">
        <v>1712</v>
      </c>
      <c r="D53" s="436"/>
      <c r="E53" s="434">
        <f>IF(E48&lt;G48,G48/E48-1,E48/G48-1)</f>
        <v>0.17411724762335901</v>
      </c>
      <c r="F53" s="435" t="str">
        <f>IF(OR(E53&gt;=0.2,E53&lt;=-0.2),"超过20%","")</f>
        <v/>
      </c>
      <c r="G53" s="434">
        <f>IF(G48&lt;I48,I48/G48-1,G48/I48-1)</f>
        <v>0.16066093254866454</v>
      </c>
      <c r="H53" s="435" t="str">
        <f>IF(OR(G53&gt;=0.2,G53&lt;=-0.2),"超过20%","")</f>
        <v/>
      </c>
      <c r="I53" s="434">
        <f>IF(I48&lt;E48,E48/I48-1,I48/E48-1)</f>
        <v>1.1593665899606087E-2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0.12895948481834307</v>
      </c>
      <c r="F54" s="435" t="str">
        <f>IF(OR(E54&gt;=0.3,E54&lt;=-0.3),"超过30%","")</f>
        <v/>
      </c>
      <c r="G54" s="434">
        <f>IF(G47&lt;I47,I47/G47-1,G47/I47-1)</f>
        <v>0.1160184169238816</v>
      </c>
      <c r="H54" s="435" t="str">
        <f>IF(OR(G54&gt;=0.3,G54&lt;=-0.3),"超过30%","")</f>
        <v/>
      </c>
      <c r="I54" s="434">
        <f>IF(I47&lt;E47,E47/I47-1,I47/E47-1)</f>
        <v>1.1595747613315721E-2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ht="15">
      <c r="A59" s="443"/>
      <c r="B59" s="1770"/>
      <c r="C59" s="1102">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68" t="s">
        <v>3445</v>
      </c>
      <c r="E61" s="31"/>
      <c r="F61" s="31"/>
      <c r="G61" s="31"/>
      <c r="H61" s="31"/>
      <c r="I61" s="31"/>
      <c r="J61" s="31"/>
      <c r="K61" s="31"/>
      <c r="L61" s="457"/>
      <c r="M61" s="458"/>
      <c r="N61" s="878"/>
      <c r="O61" s="878"/>
      <c r="P61" s="1772"/>
      <c r="Q61" s="439"/>
    </row>
    <row r="62" spans="1:29" s="102" customFormat="1" ht="15.75" thickBot="1">
      <c r="A62" s="455"/>
      <c r="B62" s="444"/>
      <c r="C62" s="445">
        <v>100</v>
      </c>
      <c r="D62" s="446">
        <v>102</v>
      </c>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71" t="s">
        <v>3456</v>
      </c>
      <c r="D88" s="3171" t="s">
        <v>3458</v>
      </c>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98</v>
      </c>
      <c r="E89" s="475">
        <f t="shared" si="24"/>
        <v>96</v>
      </c>
      <c r="F89" s="475">
        <f t="shared" si="24"/>
        <v>94</v>
      </c>
      <c r="G89" s="475">
        <f t="shared" si="24"/>
        <v>92</v>
      </c>
      <c r="H89" s="475">
        <f t="shared" si="24"/>
        <v>90</v>
      </c>
      <c r="I89" s="475">
        <f t="shared" si="24"/>
        <v>88</v>
      </c>
      <c r="J89" s="475">
        <f t="shared" si="24"/>
        <v>86</v>
      </c>
      <c r="K89" s="475">
        <f t="shared" si="24"/>
        <v>84</v>
      </c>
      <c r="L89" s="475">
        <f t="shared" si="24"/>
        <v>82</v>
      </c>
      <c r="M89" s="475">
        <f t="shared" si="24"/>
        <v>80</v>
      </c>
      <c r="N89" s="880"/>
      <c r="O89" s="880"/>
      <c r="P89" s="1773"/>
      <c r="Q89" s="439"/>
    </row>
    <row r="90" spans="1:17" s="408" customFormat="1" ht="15.75" thickTop="1">
      <c r="A90" s="484"/>
      <c r="B90" s="469" t="str">
        <f>B27</f>
        <v>楼层</v>
      </c>
      <c r="C90" s="3171" t="s">
        <v>3452</v>
      </c>
      <c r="D90" s="3171" t="s">
        <v>3453</v>
      </c>
      <c r="E90" s="3171" t="s">
        <v>3454</v>
      </c>
      <c r="F90" s="485"/>
      <c r="G90" s="485"/>
      <c r="H90" s="486"/>
      <c r="I90" s="486"/>
      <c r="J90" s="486"/>
      <c r="K90" s="486"/>
      <c r="L90" s="487"/>
      <c r="M90" s="488"/>
      <c r="N90" s="881"/>
      <c r="O90" s="881"/>
      <c r="P90" s="1774"/>
      <c r="Q90" s="490"/>
    </row>
    <row r="91" spans="1:17" s="408" customFormat="1" ht="15.75" thickBot="1">
      <c r="A91" s="484"/>
      <c r="B91" s="474"/>
      <c r="C91" s="491">
        <v>100</v>
      </c>
      <c r="D91" s="491">
        <v>98</v>
      </c>
      <c r="E91" s="491">
        <v>96</v>
      </c>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75" t="s">
        <v>3469</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0(含)-100</v>
      </c>
      <c r="D102" s="509" t="str">
        <f t="shared" ref="D102:L102" si="26">D103&amp;"(含)"&amp;"-"&amp;E103</f>
        <v>100(含)-200</v>
      </c>
      <c r="E102" s="509" t="str">
        <f t="shared" si="26"/>
        <v>200(含)-300</v>
      </c>
      <c r="F102" s="509" t="str">
        <f t="shared" si="26"/>
        <v>300(含)-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100</v>
      </c>
      <c r="E103" s="6">
        <v>200</v>
      </c>
      <c r="F103" s="6">
        <v>300</v>
      </c>
      <c r="G103" s="6"/>
      <c r="H103" s="6"/>
      <c r="I103" s="6"/>
      <c r="J103" s="524"/>
      <c r="K103" s="524"/>
      <c r="L103" s="525"/>
      <c r="M103" s="526"/>
      <c r="N103" s="881"/>
      <c r="O103" s="881"/>
      <c r="P103" s="1774"/>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4"/>
      <c r="Q104" s="490"/>
    </row>
    <row r="105" spans="1:17" ht="15" thickTop="1">
      <c r="A105" s="409"/>
      <c r="B105" s="469" t="s">
        <v>1738</v>
      </c>
      <c r="C105" s="3171" t="s">
        <v>3470</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3176" t="s">
        <v>3472</v>
      </c>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71" t="s">
        <v>3465</v>
      </c>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71" t="s">
        <v>3474</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3171" t="s">
        <v>3476</v>
      </c>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71" t="s">
        <v>3465</v>
      </c>
      <c r="D122" s="3171" t="s">
        <v>3467</v>
      </c>
      <c r="E122" s="485"/>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263.11</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407" t="s">
        <v>1770</v>
      </c>
      <c r="D4" s="3408"/>
      <c r="E4" s="3409" t="s">
        <v>1771</v>
      </c>
      <c r="F4" s="3410"/>
      <c r="G4" s="3407" t="s">
        <v>1772</v>
      </c>
      <c r="H4" s="3408"/>
      <c r="I4" s="3407" t="s">
        <v>1773</v>
      </c>
      <c r="J4" s="3408"/>
      <c r="K4" s="537" t="s">
        <v>1774</v>
      </c>
      <c r="L4" s="2485"/>
      <c r="M4" s="2486"/>
      <c r="N4" s="2486"/>
      <c r="O4" s="2486"/>
      <c r="P4" s="3411" t="s">
        <v>1775</v>
      </c>
      <c r="Q4" s="3412"/>
      <c r="R4" s="3394" t="s">
        <v>1771</v>
      </c>
      <c r="S4" s="3395"/>
      <c r="T4" s="3394" t="s">
        <v>1772</v>
      </c>
      <c r="U4" s="3395"/>
      <c r="V4" s="3419" t="s">
        <v>1773</v>
      </c>
      <c r="W4" s="3419"/>
      <c r="X4" s="1265"/>
      <c r="Y4" s="3394" t="s">
        <v>1775</v>
      </c>
      <c r="Z4" s="3395"/>
      <c r="AA4" s="3389" t="s">
        <v>1771</v>
      </c>
      <c r="AB4" s="3419" t="s">
        <v>1772</v>
      </c>
      <c r="AC4" s="3389" t="s">
        <v>1773</v>
      </c>
    </row>
    <row r="5" spans="1:29" ht="15">
      <c r="A5" s="348"/>
      <c r="B5" s="349"/>
      <c r="C5" s="3400" t="s">
        <v>1673</v>
      </c>
      <c r="D5" s="3401"/>
      <c r="E5" s="3398" t="s">
        <v>1674</v>
      </c>
      <c r="F5" s="3399"/>
      <c r="G5" s="3400" t="s">
        <v>1675</v>
      </c>
      <c r="H5" s="3401"/>
      <c r="I5" s="3400" t="s">
        <v>1676</v>
      </c>
      <c r="J5" s="3401"/>
      <c r="K5" s="537"/>
      <c r="L5" s="2485"/>
      <c r="M5" s="2486"/>
      <c r="N5" s="2486"/>
      <c r="O5" s="2486"/>
      <c r="P5" s="3413"/>
      <c r="Q5" s="3414"/>
      <c r="R5" s="3396"/>
      <c r="S5" s="3397"/>
      <c r="T5" s="3396"/>
      <c r="U5" s="3397"/>
      <c r="V5" s="3419"/>
      <c r="W5" s="3419"/>
      <c r="X5" s="1265"/>
      <c r="Y5" s="3396"/>
      <c r="Z5" s="3397"/>
      <c r="AA5" s="3390"/>
      <c r="AB5" s="3419"/>
      <c r="AC5" s="3390"/>
    </row>
    <row r="6" spans="1:29" ht="15.75" thickBot="1">
      <c r="A6" s="350"/>
      <c r="B6" s="351"/>
      <c r="C6" s="3402" t="s">
        <v>1677</v>
      </c>
      <c r="D6" s="3403"/>
      <c r="E6" s="3404" t="s">
        <v>1677</v>
      </c>
      <c r="F6" s="3405"/>
      <c r="G6" s="3402" t="s">
        <v>1677</v>
      </c>
      <c r="H6" s="3403"/>
      <c r="I6" s="3402" t="s">
        <v>1677</v>
      </c>
      <c r="J6" s="3403"/>
      <c r="K6" s="537" t="s">
        <v>1678</v>
      </c>
      <c r="L6" s="2485"/>
      <c r="M6" s="2486"/>
      <c r="N6" s="2486"/>
      <c r="O6" s="2486"/>
      <c r="P6" s="3415"/>
      <c r="Q6" s="3416"/>
      <c r="R6" s="3396"/>
      <c r="S6" s="3397"/>
      <c r="T6" s="3417"/>
      <c r="U6" s="3418"/>
      <c r="V6" s="3419"/>
      <c r="W6" s="3419"/>
      <c r="X6" s="1265"/>
      <c r="Y6" s="3417"/>
      <c r="Z6" s="3418"/>
      <c r="AA6" s="3391"/>
      <c r="AB6" s="3419"/>
      <c r="AC6" s="3391"/>
    </row>
    <row r="7" spans="1:29" s="102" customFormat="1" ht="15.75" thickBot="1">
      <c r="A7" s="352" t="s">
        <v>1679</v>
      </c>
      <c r="B7" s="353"/>
      <c r="C7" s="354">
        <f>'数据-取费表'!B2</f>
        <v>45875</v>
      </c>
      <c r="D7" s="355">
        <v>100</v>
      </c>
      <c r="E7" s="356"/>
      <c r="F7" s="357">
        <f>SUMIF(58:58,YEAR(E7)&amp;"-"&amp;MONTH(E7),59:59)</f>
        <v>0</v>
      </c>
      <c r="G7" s="356"/>
      <c r="H7" s="355">
        <f>SUMIF(58:58,YEAR(G7)&amp;"-"&amp;MONTH(G7),59:59)</f>
        <v>0</v>
      </c>
      <c r="I7" s="356"/>
      <c r="J7" s="355">
        <f>SUMIF(58:58,YEAR(I7)&amp;"-"&amp;MONTH(I7),59:59)</f>
        <v>0</v>
      </c>
      <c r="K7" s="38"/>
      <c r="L7" s="2487"/>
      <c r="M7" s="2438"/>
      <c r="N7" s="2438"/>
      <c r="O7" s="2438"/>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392" t="s">
        <v>1683</v>
      </c>
      <c r="Q8" s="3393"/>
      <c r="R8" s="664" t="s">
        <v>14</v>
      </c>
      <c r="S8" s="665">
        <f t="shared" si="0"/>
        <v>100</v>
      </c>
      <c r="T8" s="664" t="s">
        <v>14</v>
      </c>
      <c r="U8" s="665">
        <f t="shared" si="1"/>
        <v>100</v>
      </c>
      <c r="V8" s="664" t="s">
        <v>14</v>
      </c>
      <c r="W8" s="665">
        <f t="shared" si="2"/>
        <v>100</v>
      </c>
      <c r="X8" s="666"/>
      <c r="Y8" s="3392" t="s">
        <v>1683</v>
      </c>
      <c r="Z8" s="339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406"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6"/>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06"/>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406"/>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6"/>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6"/>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32" t="s">
        <v>1691</v>
      </c>
      <c r="Q15" s="1263" t="str">
        <f t="shared" si="6"/>
        <v>商业繁华度</v>
      </c>
      <c r="R15" s="667" t="s">
        <v>14</v>
      </c>
      <c r="S15" s="668">
        <f t="shared" si="0"/>
        <v>100</v>
      </c>
      <c r="T15" s="667" t="s">
        <v>14</v>
      </c>
      <c r="U15" s="668">
        <f t="shared" si="1"/>
        <v>100</v>
      </c>
      <c r="V15" s="667" t="s">
        <v>14</v>
      </c>
      <c r="W15" s="668">
        <f t="shared" si="2"/>
        <v>100</v>
      </c>
      <c r="X15" s="1265"/>
      <c r="Y15" s="342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33"/>
      <c r="Q16" s="1263"/>
      <c r="R16" s="667"/>
      <c r="S16" s="668"/>
      <c r="T16" s="667"/>
      <c r="U16" s="668"/>
      <c r="V16" s="667"/>
      <c r="W16" s="668"/>
      <c r="X16" s="1265"/>
      <c r="Y16" s="3426"/>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33"/>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33"/>
      <c r="Q18" s="1263"/>
      <c r="R18" s="667"/>
      <c r="S18" s="668"/>
      <c r="T18" s="667"/>
      <c r="U18" s="668"/>
      <c r="V18" s="667"/>
      <c r="W18" s="668"/>
      <c r="X18" s="1265"/>
      <c r="Y18" s="3426"/>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33"/>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33"/>
      <c r="Q20" s="1263"/>
      <c r="R20" s="667"/>
      <c r="S20" s="668"/>
      <c r="T20" s="667"/>
      <c r="U20" s="668"/>
      <c r="V20" s="667"/>
      <c r="W20" s="668"/>
      <c r="X20" s="1265"/>
      <c r="Y20" s="3426"/>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33"/>
      <c r="Q22" s="1263"/>
      <c r="R22" s="667"/>
      <c r="S22" s="668"/>
      <c r="T22" s="667"/>
      <c r="U22" s="668"/>
      <c r="V22" s="667"/>
      <c r="W22" s="668"/>
      <c r="X22" s="1265"/>
      <c r="Y22" s="3426"/>
      <c r="Z22" s="1264"/>
      <c r="AA22" s="1264">
        <v>1</v>
      </c>
      <c r="AB22" s="1264">
        <v>1</v>
      </c>
      <c r="AC22" s="1264">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33"/>
      <c r="Q23" s="1263" t="str">
        <f>B23</f>
        <v>自然及人文环境</v>
      </c>
      <c r="R23" s="667" t="s">
        <v>14</v>
      </c>
      <c r="S23" s="668">
        <f>F23</f>
        <v>100</v>
      </c>
      <c r="T23" s="667" t="s">
        <v>14</v>
      </c>
      <c r="U23" s="668">
        <f>H23</f>
        <v>100</v>
      </c>
      <c r="V23" s="667" t="s">
        <v>14</v>
      </c>
      <c r="W23" s="668">
        <f>J23</f>
        <v>100</v>
      </c>
      <c r="X23" s="1265"/>
      <c r="Y23" s="342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33"/>
      <c r="Q24" s="1263"/>
      <c r="R24" s="667"/>
      <c r="S24" s="668"/>
      <c r="T24" s="667"/>
      <c r="U24" s="668"/>
      <c r="V24" s="667"/>
      <c r="W24" s="668"/>
      <c r="X24" s="1265"/>
      <c r="Y24" s="342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33"/>
      <c r="Q25" s="1263" t="str">
        <f t="shared" ref="Q25:Q46" si="11">B25</f>
        <v>临街状况</v>
      </c>
      <c r="R25" s="667" t="s">
        <v>14</v>
      </c>
      <c r="S25" s="668">
        <f>F25</f>
        <v>100</v>
      </c>
      <c r="T25" s="667" t="s">
        <v>14</v>
      </c>
      <c r="U25" s="668">
        <f>H25</f>
        <v>100</v>
      </c>
      <c r="V25" s="667" t="s">
        <v>14</v>
      </c>
      <c r="W25" s="668">
        <f>J25</f>
        <v>100</v>
      </c>
      <c r="X25" s="1265"/>
      <c r="Y25" s="342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33"/>
      <c r="Q26" s="1263" t="str">
        <f t="shared" si="11"/>
        <v>平面位置/可视性</v>
      </c>
      <c r="R26" s="667" t="s">
        <v>14</v>
      </c>
      <c r="S26" s="668">
        <f>F26</f>
        <v>100</v>
      </c>
      <c r="T26" s="667" t="s">
        <v>14</v>
      </c>
      <c r="U26" s="668">
        <f>H26</f>
        <v>100</v>
      </c>
      <c r="V26" s="667" t="s">
        <v>14</v>
      </c>
      <c r="W26" s="668">
        <f>J26</f>
        <v>100</v>
      </c>
      <c r="X26" s="1265"/>
      <c r="Y26" s="3426"/>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433"/>
      <c r="Q27" s="530" t="str">
        <f t="shared" si="11"/>
        <v>人流量</v>
      </c>
      <c r="R27" s="664" t="s">
        <v>14</v>
      </c>
      <c r="S27" s="665">
        <f>F27</f>
        <v>100</v>
      </c>
      <c r="T27" s="664" t="s">
        <v>14</v>
      </c>
      <c r="U27" s="665">
        <f>H27</f>
        <v>100</v>
      </c>
      <c r="V27" s="664" t="s">
        <v>14</v>
      </c>
      <c r="W27" s="665">
        <f>J27</f>
        <v>100</v>
      </c>
      <c r="X27" s="666"/>
      <c r="Y27" s="342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3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33"/>
      <c r="Q29" s="1263">
        <f t="shared" si="11"/>
        <v>111</v>
      </c>
      <c r="R29" s="667" t="s">
        <v>14</v>
      </c>
      <c r="S29" s="668">
        <f t="shared" si="12"/>
        <v>100</v>
      </c>
      <c r="T29" s="667" t="s">
        <v>14</v>
      </c>
      <c r="U29" s="668">
        <f t="shared" si="13"/>
        <v>100</v>
      </c>
      <c r="V29" s="667" t="s">
        <v>14</v>
      </c>
      <c r="W29" s="668">
        <f t="shared" si="14"/>
        <v>100</v>
      </c>
      <c r="X29" s="1265"/>
      <c r="Y29" s="342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33"/>
      <c r="Q30" s="1263">
        <f t="shared" si="11"/>
        <v>111</v>
      </c>
      <c r="R30" s="667" t="s">
        <v>14</v>
      </c>
      <c r="S30" s="668">
        <f t="shared" si="12"/>
        <v>100</v>
      </c>
      <c r="T30" s="667" t="s">
        <v>14</v>
      </c>
      <c r="U30" s="668">
        <f t="shared" si="13"/>
        <v>100</v>
      </c>
      <c r="V30" s="667" t="s">
        <v>14</v>
      </c>
      <c r="W30" s="668">
        <f t="shared" si="14"/>
        <v>100</v>
      </c>
      <c r="X30" s="1265"/>
      <c r="Y30" s="342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33"/>
      <c r="Q31" s="1263">
        <f t="shared" si="11"/>
        <v>111</v>
      </c>
      <c r="R31" s="667" t="s">
        <v>14</v>
      </c>
      <c r="S31" s="668">
        <f t="shared" si="12"/>
        <v>100</v>
      </c>
      <c r="T31" s="667" t="s">
        <v>14</v>
      </c>
      <c r="U31" s="668">
        <f t="shared" si="13"/>
        <v>100</v>
      </c>
      <c r="V31" s="667" t="s">
        <v>14</v>
      </c>
      <c r="W31" s="668">
        <f t="shared" si="14"/>
        <v>100</v>
      </c>
      <c r="X31" s="1265"/>
      <c r="Y31" s="342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27" t="s">
        <v>1696</v>
      </c>
      <c r="Q32" s="1263" t="str">
        <f t="shared" si="11"/>
        <v>商业类型</v>
      </c>
      <c r="R32" s="667" t="s">
        <v>14</v>
      </c>
      <c r="S32" s="668">
        <f t="shared" si="12"/>
        <v>100</v>
      </c>
      <c r="T32" s="667" t="s">
        <v>14</v>
      </c>
      <c r="U32" s="668">
        <f t="shared" si="13"/>
        <v>100</v>
      </c>
      <c r="V32" s="667" t="s">
        <v>14</v>
      </c>
      <c r="W32" s="668">
        <f t="shared" si="14"/>
        <v>100</v>
      </c>
      <c r="X32" s="1265"/>
      <c r="Y32" s="343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28"/>
      <c r="Q33" s="531" t="str">
        <f t="shared" si="11"/>
        <v>项目建筑规模</v>
      </c>
      <c r="R33" s="669" t="s">
        <v>14</v>
      </c>
      <c r="S33" s="670" t="e">
        <f t="shared" si="12"/>
        <v>#N/A</v>
      </c>
      <c r="T33" s="669" t="s">
        <v>14</v>
      </c>
      <c r="U33" s="670" t="e">
        <f t="shared" si="13"/>
        <v>#N/A</v>
      </c>
      <c r="V33" s="669" t="s">
        <v>14</v>
      </c>
      <c r="W33" s="670" t="e">
        <f t="shared" si="14"/>
        <v>#N/A</v>
      </c>
      <c r="X33" s="671"/>
      <c r="Y33" s="343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28"/>
      <c r="Q34" s="1263" t="str">
        <f t="shared" si="11"/>
        <v>建筑结构</v>
      </c>
      <c r="R34" s="667" t="s">
        <v>14</v>
      </c>
      <c r="S34" s="668">
        <f t="shared" si="12"/>
        <v>100</v>
      </c>
      <c r="T34" s="667" t="s">
        <v>14</v>
      </c>
      <c r="U34" s="668">
        <f t="shared" si="13"/>
        <v>100</v>
      </c>
      <c r="V34" s="667" t="s">
        <v>14</v>
      </c>
      <c r="W34" s="668">
        <f t="shared" si="14"/>
        <v>100</v>
      </c>
      <c r="X34" s="1265"/>
      <c r="Y34" s="343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28"/>
      <c r="Q35" s="1263" t="str">
        <f t="shared" si="11"/>
        <v>公共部分装修</v>
      </c>
      <c r="R35" s="667" t="s">
        <v>14</v>
      </c>
      <c r="S35" s="668">
        <f t="shared" si="12"/>
        <v>100</v>
      </c>
      <c r="T35" s="667" t="s">
        <v>14</v>
      </c>
      <c r="U35" s="668">
        <f t="shared" si="13"/>
        <v>100</v>
      </c>
      <c r="V35" s="667" t="s">
        <v>14</v>
      </c>
      <c r="W35" s="668">
        <f t="shared" si="14"/>
        <v>100</v>
      </c>
      <c r="X35" s="1265"/>
      <c r="Y35" s="343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28"/>
      <c r="Q36" s="1263" t="str">
        <f t="shared" si="11"/>
        <v>成新度</v>
      </c>
      <c r="R36" s="667" t="s">
        <v>14</v>
      </c>
      <c r="S36" s="668" t="e">
        <f t="shared" si="12"/>
        <v>#N/A</v>
      </c>
      <c r="T36" s="667" t="s">
        <v>14</v>
      </c>
      <c r="U36" s="668" t="e">
        <f t="shared" si="13"/>
        <v>#N/A</v>
      </c>
      <c r="V36" s="667" t="s">
        <v>14</v>
      </c>
      <c r="W36" s="668" t="e">
        <f t="shared" si="14"/>
        <v>#N/A</v>
      </c>
      <c r="X36" s="1265"/>
      <c r="Y36" s="343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428"/>
      <c r="Q37" s="530" t="str">
        <f t="shared" si="11"/>
        <v>市政基础设施</v>
      </c>
      <c r="R37" s="664" t="s">
        <v>14</v>
      </c>
      <c r="S37" s="665">
        <f t="shared" si="12"/>
        <v>100</v>
      </c>
      <c r="T37" s="664" t="s">
        <v>14</v>
      </c>
      <c r="U37" s="665">
        <f t="shared" si="13"/>
        <v>100</v>
      </c>
      <c r="V37" s="664" t="s">
        <v>14</v>
      </c>
      <c r="W37" s="665">
        <f t="shared" si="14"/>
        <v>100</v>
      </c>
      <c r="X37" s="666"/>
      <c r="Y37" s="343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28" t="s">
        <v>1696</v>
      </c>
      <c r="Q38" s="1263" t="str">
        <f t="shared" si="11"/>
        <v>业态</v>
      </c>
      <c r="R38" s="667" t="s">
        <v>14</v>
      </c>
      <c r="S38" s="668">
        <f t="shared" si="12"/>
        <v>100</v>
      </c>
      <c r="T38" s="667" t="s">
        <v>14</v>
      </c>
      <c r="U38" s="668">
        <f t="shared" si="13"/>
        <v>100</v>
      </c>
      <c r="V38" s="667" t="s">
        <v>14</v>
      </c>
      <c r="W38" s="668">
        <f t="shared" si="14"/>
        <v>100</v>
      </c>
      <c r="X38" s="1265"/>
      <c r="Y38" s="343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28"/>
      <c r="Q39" s="1263" t="str">
        <f t="shared" si="11"/>
        <v>层高</v>
      </c>
      <c r="R39" s="667" t="s">
        <v>14</v>
      </c>
      <c r="S39" s="668">
        <f t="shared" si="12"/>
        <v>100</v>
      </c>
      <c r="T39" s="667" t="s">
        <v>14</v>
      </c>
      <c r="U39" s="668">
        <f t="shared" si="13"/>
        <v>100</v>
      </c>
      <c r="V39" s="667" t="s">
        <v>14</v>
      </c>
      <c r="W39" s="668">
        <f t="shared" si="14"/>
        <v>100</v>
      </c>
      <c r="X39" s="1265"/>
      <c r="Y39" s="343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28"/>
      <c r="Q40" s="1263" t="str">
        <f t="shared" si="11"/>
        <v>单套建筑面积</v>
      </c>
      <c r="R40" s="667" t="s">
        <v>14</v>
      </c>
      <c r="S40" s="668">
        <f t="shared" si="12"/>
        <v>100</v>
      </c>
      <c r="T40" s="667" t="s">
        <v>14</v>
      </c>
      <c r="U40" s="668">
        <f t="shared" si="13"/>
        <v>100</v>
      </c>
      <c r="V40" s="667" t="s">
        <v>14</v>
      </c>
      <c r="W40" s="668">
        <f t="shared" si="14"/>
        <v>100</v>
      </c>
      <c r="X40" s="1265"/>
      <c r="Y40" s="343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28"/>
      <c r="Q41" s="531" t="str">
        <f t="shared" si="11"/>
        <v>进深比</v>
      </c>
      <c r="R41" s="669" t="s">
        <v>14</v>
      </c>
      <c r="S41" s="670">
        <f t="shared" si="12"/>
        <v>100</v>
      </c>
      <c r="T41" s="669" t="s">
        <v>14</v>
      </c>
      <c r="U41" s="670">
        <f t="shared" si="13"/>
        <v>100</v>
      </c>
      <c r="V41" s="669" t="s">
        <v>14</v>
      </c>
      <c r="W41" s="670">
        <f t="shared" si="14"/>
        <v>100</v>
      </c>
      <c r="X41" s="671"/>
      <c r="Y41" s="343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28"/>
      <c r="Q42" s="1263" t="str">
        <f t="shared" si="11"/>
        <v>内部装修</v>
      </c>
      <c r="R42" s="667" t="s">
        <v>14</v>
      </c>
      <c r="S42" s="668">
        <f t="shared" si="12"/>
        <v>100</v>
      </c>
      <c r="T42" s="667" t="s">
        <v>14</v>
      </c>
      <c r="U42" s="668">
        <f t="shared" si="13"/>
        <v>100</v>
      </c>
      <c r="V42" s="667" t="s">
        <v>14</v>
      </c>
      <c r="W42" s="668">
        <f t="shared" si="14"/>
        <v>100</v>
      </c>
      <c r="X42" s="1265"/>
      <c r="Y42" s="3430"/>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28"/>
      <c r="Q43" s="1263" t="str">
        <f t="shared" si="11"/>
        <v>内部装修维护情况</v>
      </c>
      <c r="R43" s="667" t="s">
        <v>14</v>
      </c>
      <c r="S43" s="668">
        <f t="shared" si="12"/>
        <v>100</v>
      </c>
      <c r="T43" s="667" t="s">
        <v>14</v>
      </c>
      <c r="U43" s="668">
        <f t="shared" si="13"/>
        <v>100</v>
      </c>
      <c r="V43" s="667" t="s">
        <v>14</v>
      </c>
      <c r="W43" s="668">
        <f t="shared" si="14"/>
        <v>100</v>
      </c>
      <c r="X43" s="1265"/>
      <c r="Y43" s="343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28"/>
      <c r="Q44" s="530">
        <f t="shared" si="11"/>
        <v>111</v>
      </c>
      <c r="R44" s="664" t="s">
        <v>14</v>
      </c>
      <c r="S44" s="665">
        <f t="shared" si="12"/>
        <v>100</v>
      </c>
      <c r="T44" s="664" t="s">
        <v>14</v>
      </c>
      <c r="U44" s="665">
        <f t="shared" si="13"/>
        <v>100</v>
      </c>
      <c r="V44" s="664" t="s">
        <v>14</v>
      </c>
      <c r="W44" s="665">
        <f t="shared" si="14"/>
        <v>100</v>
      </c>
      <c r="X44" s="666"/>
      <c r="Y44" s="343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28"/>
      <c r="Q45" s="1263">
        <f t="shared" si="11"/>
        <v>111</v>
      </c>
      <c r="R45" s="667" t="s">
        <v>14</v>
      </c>
      <c r="S45" s="668">
        <f t="shared" si="12"/>
        <v>100</v>
      </c>
      <c r="T45" s="667" t="s">
        <v>14</v>
      </c>
      <c r="U45" s="668">
        <f t="shared" si="13"/>
        <v>100</v>
      </c>
      <c r="V45" s="667" t="s">
        <v>14</v>
      </c>
      <c r="W45" s="668">
        <f t="shared" si="14"/>
        <v>100</v>
      </c>
      <c r="X45" s="1265"/>
      <c r="Y45" s="343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9"/>
      <c r="Q46" s="1263">
        <f t="shared" si="11"/>
        <v>111</v>
      </c>
      <c r="R46" s="667" t="s">
        <v>14</v>
      </c>
      <c r="S46" s="668">
        <f t="shared" si="12"/>
        <v>100</v>
      </c>
      <c r="T46" s="667" t="s">
        <v>14</v>
      </c>
      <c r="U46" s="668">
        <f t="shared" si="13"/>
        <v>100</v>
      </c>
      <c r="V46" s="667" t="s">
        <v>14</v>
      </c>
      <c r="W46" s="668">
        <f t="shared" si="14"/>
        <v>100</v>
      </c>
      <c r="X46" s="1265"/>
      <c r="Y46" s="3431"/>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424" t="str">
        <f>A47</f>
        <v>成交单价（元/平方米）</v>
      </c>
      <c r="Q47" s="3424"/>
      <c r="R47" s="3419">
        <f>E47</f>
        <v>0</v>
      </c>
      <c r="S47" s="3419"/>
      <c r="T47" s="3419">
        <f>G47</f>
        <v>0</v>
      </c>
      <c r="U47" s="3419"/>
      <c r="V47" s="3419">
        <f>I47</f>
        <v>0</v>
      </c>
      <c r="W47" s="3419"/>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424" t="str">
        <f>A48</f>
        <v>比较价值（元/平方米）</v>
      </c>
      <c r="Q48" s="3424"/>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8" priority="16" stopIfTrue="1">
      <formula>$F$52="超过30%"</formula>
    </cfRule>
  </conditionalFormatting>
  <conditionalFormatting sqref="E53">
    <cfRule type="expression" dxfId="117" priority="15" stopIfTrue="1">
      <formula>$F$53="超过20%"</formula>
    </cfRule>
  </conditionalFormatting>
  <conditionalFormatting sqref="E54">
    <cfRule type="expression" dxfId="116" priority="14" stopIfTrue="1">
      <formula>$F$54="超过30%"</formula>
    </cfRule>
  </conditionalFormatting>
  <conditionalFormatting sqref="F7:F46 H7:H46 J7:J46">
    <cfRule type="cellIs" dxfId="115" priority="1" operator="notEqual">
      <formula>100</formula>
    </cfRule>
  </conditionalFormatting>
  <conditionalFormatting sqref="F48">
    <cfRule type="expression" dxfId="114" priority="4">
      <formula>$D$48="简单平均"</formula>
    </cfRule>
  </conditionalFormatting>
  <conditionalFormatting sqref="F52:F54 H52:H54">
    <cfRule type="containsText" dxfId="113" priority="17" stopIfTrue="1" operator="containsText" text="超过">
      <formula>NOT(ISERROR(SEARCH("超过",F52)))</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G54">
    <cfRule type="expression" dxfId="110" priority="13" stopIfTrue="1">
      <formula>$H$54="超过30%"</formula>
    </cfRule>
  </conditionalFormatting>
  <conditionalFormatting sqref="H48">
    <cfRule type="expression" dxfId="109" priority="3">
      <formula>$D$48="简单平均"</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J48">
    <cfRule type="expression" dxfId="105" priority="2">
      <formula>$D$48="简单平均"</formula>
    </cfRule>
  </conditionalFormatting>
  <conditionalFormatting sqref="J52:J54">
    <cfRule type="containsText" dxfId="10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263.11</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07" t="s">
        <v>1770</v>
      </c>
      <c r="D4" s="3408"/>
      <c r="E4" s="3409" t="s">
        <v>1771</v>
      </c>
      <c r="F4" s="3410"/>
      <c r="G4" s="3407" t="s">
        <v>1772</v>
      </c>
      <c r="H4" s="3408"/>
      <c r="I4" s="3407" t="s">
        <v>1773</v>
      </c>
      <c r="J4" s="3408"/>
      <c r="K4" s="537" t="s">
        <v>1774</v>
      </c>
      <c r="L4" s="2485"/>
      <c r="M4" s="2486"/>
      <c r="N4" s="2486"/>
      <c r="O4" s="2486"/>
      <c r="P4" s="3440" t="s">
        <v>1775</v>
      </c>
      <c r="Q4" s="3441"/>
      <c r="R4" s="3435" t="s">
        <v>1771</v>
      </c>
      <c r="S4" s="3436"/>
      <c r="T4" s="3435" t="s">
        <v>1772</v>
      </c>
      <c r="U4" s="3436"/>
      <c r="V4" s="3444" t="s">
        <v>1773</v>
      </c>
      <c r="W4" s="3444"/>
      <c r="X4" s="1807"/>
      <c r="Y4" s="3435" t="s">
        <v>1775</v>
      </c>
      <c r="Z4" s="3436"/>
      <c r="AA4" s="3434" t="s">
        <v>1771</v>
      </c>
      <c r="AB4" s="3434" t="s">
        <v>1772</v>
      </c>
      <c r="AC4" s="3437" t="s">
        <v>1773</v>
      </c>
    </row>
    <row r="5" spans="1:29" ht="15">
      <c r="A5" s="348"/>
      <c r="B5" s="349"/>
      <c r="C5" s="3400" t="s">
        <v>1673</v>
      </c>
      <c r="D5" s="3401"/>
      <c r="E5" s="3398" t="s">
        <v>1674</v>
      </c>
      <c r="F5" s="3399"/>
      <c r="G5" s="3400" t="s">
        <v>1675</v>
      </c>
      <c r="H5" s="3401"/>
      <c r="I5" s="3400" t="s">
        <v>1676</v>
      </c>
      <c r="J5" s="3401"/>
      <c r="K5" s="537"/>
      <c r="L5" s="2485"/>
      <c r="M5" s="2486"/>
      <c r="N5" s="2486"/>
      <c r="O5" s="2486"/>
      <c r="P5" s="3442"/>
      <c r="Q5" s="3414"/>
      <c r="R5" s="3396"/>
      <c r="S5" s="3397"/>
      <c r="T5" s="3396"/>
      <c r="U5" s="3397"/>
      <c r="V5" s="3419"/>
      <c r="W5" s="3419"/>
      <c r="X5" s="1265"/>
      <c r="Y5" s="3396"/>
      <c r="Z5" s="3397"/>
      <c r="AA5" s="3390"/>
      <c r="AB5" s="3390"/>
      <c r="AC5" s="3438"/>
    </row>
    <row r="6" spans="1:29" ht="15.75" thickBot="1">
      <c r="A6" s="350"/>
      <c r="B6" s="351"/>
      <c r="C6" s="3402" t="s">
        <v>1677</v>
      </c>
      <c r="D6" s="3403"/>
      <c r="E6" s="3404" t="s">
        <v>1677</v>
      </c>
      <c r="F6" s="3405"/>
      <c r="G6" s="3402" t="s">
        <v>1677</v>
      </c>
      <c r="H6" s="3403"/>
      <c r="I6" s="3402" t="s">
        <v>1677</v>
      </c>
      <c r="J6" s="3403"/>
      <c r="K6" s="537" t="s">
        <v>1678</v>
      </c>
      <c r="L6" s="2485"/>
      <c r="M6" s="2486"/>
      <c r="N6" s="2486"/>
      <c r="O6" s="2486"/>
      <c r="P6" s="3443"/>
      <c r="Q6" s="3416"/>
      <c r="R6" s="3396"/>
      <c r="S6" s="3397"/>
      <c r="T6" s="3417"/>
      <c r="U6" s="3418"/>
      <c r="V6" s="3419"/>
      <c r="W6" s="3419"/>
      <c r="X6" s="1265"/>
      <c r="Y6" s="3417"/>
      <c r="Z6" s="3418"/>
      <c r="AA6" s="3391"/>
      <c r="AB6" s="3391"/>
      <c r="AC6" s="3439"/>
    </row>
    <row r="7" spans="1:29" s="102" customFormat="1" ht="15.75" thickBot="1">
      <c r="A7" s="352" t="s">
        <v>1679</v>
      </c>
      <c r="B7" s="353"/>
      <c r="C7" s="354">
        <f>'数据-取费表'!B2</f>
        <v>45875</v>
      </c>
      <c r="D7" s="355">
        <v>100</v>
      </c>
      <c r="E7" s="356"/>
      <c r="F7" s="357">
        <f>SUMIF(59:59,YEAR(E7)&amp;"-"&amp;MONTH(E7),60:60)</f>
        <v>0</v>
      </c>
      <c r="G7" s="356"/>
      <c r="H7" s="355">
        <f>SUMIF(59:59,YEAR(G7)&amp;"-"&amp;MONTH(G7),60:60)</f>
        <v>0</v>
      </c>
      <c r="I7" s="356"/>
      <c r="J7" s="355">
        <f>SUMIF(59:59,YEAR(I7)&amp;"-"&amp;MONTH(I7),60:60)</f>
        <v>0</v>
      </c>
      <c r="K7" s="38"/>
      <c r="L7" s="2487"/>
      <c r="M7" s="2438"/>
      <c r="N7" s="2438"/>
      <c r="O7" s="2438"/>
      <c r="P7" s="3445"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45" t="s">
        <v>1683</v>
      </c>
      <c r="Q8" s="3393"/>
      <c r="R8" s="664" t="s">
        <v>14</v>
      </c>
      <c r="S8" s="665">
        <f t="shared" si="0"/>
        <v>100</v>
      </c>
      <c r="T8" s="664" t="s">
        <v>14</v>
      </c>
      <c r="U8" s="665">
        <f t="shared" si="1"/>
        <v>100</v>
      </c>
      <c r="V8" s="664" t="s">
        <v>14</v>
      </c>
      <c r="W8" s="665">
        <f t="shared" si="2"/>
        <v>100</v>
      </c>
      <c r="X8" s="666"/>
      <c r="Y8" s="3392" t="s">
        <v>1683</v>
      </c>
      <c r="Z8" s="339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406"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06"/>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6"/>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406"/>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406"/>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406"/>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32" t="s">
        <v>1691</v>
      </c>
      <c r="Q15" s="1263" t="str">
        <f t="shared" si="6"/>
        <v>办公集聚程度</v>
      </c>
      <c r="R15" s="667" t="s">
        <v>14</v>
      </c>
      <c r="S15" s="668">
        <f t="shared" si="0"/>
        <v>100</v>
      </c>
      <c r="T15" s="667" t="s">
        <v>14</v>
      </c>
      <c r="U15" s="668">
        <f t="shared" si="1"/>
        <v>100</v>
      </c>
      <c r="V15" s="667" t="s">
        <v>14</v>
      </c>
      <c r="W15" s="668">
        <f t="shared" si="2"/>
        <v>100</v>
      </c>
      <c r="X15" s="1265"/>
      <c r="Y15" s="3425"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1"/>
      <c r="M16" s="2486"/>
      <c r="N16" s="2486"/>
      <c r="O16" s="2486"/>
      <c r="P16" s="3433"/>
      <c r="Q16" s="1263"/>
      <c r="R16" s="667"/>
      <c r="S16" s="668"/>
      <c r="T16" s="667"/>
      <c r="U16" s="668"/>
      <c r="V16" s="667"/>
      <c r="W16" s="668"/>
      <c r="X16" s="1265"/>
      <c r="Y16" s="3426"/>
      <c r="Z16" s="1264"/>
      <c r="AA16" s="1264">
        <v>1</v>
      </c>
      <c r="AB16" s="1264">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33"/>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1"/>
      <c r="M18" s="2486"/>
      <c r="N18" s="2486"/>
      <c r="O18" s="2486"/>
      <c r="P18" s="3433"/>
      <c r="Q18" s="1263"/>
      <c r="R18" s="667"/>
      <c r="S18" s="668"/>
      <c r="T18" s="667"/>
      <c r="U18" s="668"/>
      <c r="V18" s="667"/>
      <c r="W18" s="668"/>
      <c r="X18" s="1265"/>
      <c r="Y18" s="3426"/>
      <c r="Z18" s="1264"/>
      <c r="AA18" s="1264">
        <v>1</v>
      </c>
      <c r="AB18" s="1264">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33"/>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1"/>
      <c r="M20" s="2486"/>
      <c r="N20" s="2486"/>
      <c r="O20" s="2486"/>
      <c r="P20" s="3433"/>
      <c r="Q20" s="1263"/>
      <c r="R20" s="667"/>
      <c r="S20" s="668"/>
      <c r="T20" s="667"/>
      <c r="U20" s="668"/>
      <c r="V20" s="667"/>
      <c r="W20" s="668"/>
      <c r="X20" s="1265"/>
      <c r="Y20" s="3426"/>
      <c r="Z20" s="1264"/>
      <c r="AA20" s="1264">
        <v>1</v>
      </c>
      <c r="AB20" s="1264">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1"/>
      <c r="M22" s="2486"/>
      <c r="N22" s="2486"/>
      <c r="O22" s="2486"/>
      <c r="P22" s="3433"/>
      <c r="Q22" s="1263"/>
      <c r="R22" s="667"/>
      <c r="S22" s="668"/>
      <c r="T22" s="667"/>
      <c r="U22" s="668"/>
      <c r="V22" s="667"/>
      <c r="W22" s="668"/>
      <c r="X22" s="1265"/>
      <c r="Y22" s="3426"/>
      <c r="Z22" s="1264"/>
      <c r="AA22" s="1264">
        <v>1</v>
      </c>
      <c r="AB22" s="1264">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33"/>
      <c r="Q23" s="1263" t="str">
        <f>B23</f>
        <v>环境质量</v>
      </c>
      <c r="R23" s="667" t="s">
        <v>14</v>
      </c>
      <c r="S23" s="668">
        <f>F23</f>
        <v>100</v>
      </c>
      <c r="T23" s="667" t="s">
        <v>14</v>
      </c>
      <c r="U23" s="668">
        <f>H23</f>
        <v>100</v>
      </c>
      <c r="V23" s="667" t="s">
        <v>14</v>
      </c>
      <c r="W23" s="668">
        <f>J23</f>
        <v>100</v>
      </c>
      <c r="X23" s="1265"/>
      <c r="Y23" s="3426"/>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1"/>
      <c r="M24" s="2486"/>
      <c r="N24" s="2486"/>
      <c r="O24" s="2486"/>
      <c r="P24" s="3433"/>
      <c r="Q24" s="1263"/>
      <c r="R24" s="667"/>
      <c r="S24" s="668"/>
      <c r="T24" s="667"/>
      <c r="U24" s="668"/>
      <c r="V24" s="667"/>
      <c r="W24" s="668"/>
      <c r="X24" s="1265"/>
      <c r="Y24" s="3426"/>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33"/>
      <c r="Q25" s="1263" t="str">
        <f>B25</f>
        <v>毗邻道路的类型与等级</v>
      </c>
      <c r="R25" s="667" t="s">
        <v>14</v>
      </c>
      <c r="S25" s="668">
        <f>F25</f>
        <v>100</v>
      </c>
      <c r="T25" s="667" t="s">
        <v>14</v>
      </c>
      <c r="U25" s="668">
        <f>H25</f>
        <v>100</v>
      </c>
      <c r="V25" s="667" t="s">
        <v>14</v>
      </c>
      <c r="W25" s="668">
        <f>J25</f>
        <v>100</v>
      </c>
      <c r="X25" s="1265"/>
      <c r="Y25" s="3426"/>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1"/>
      <c r="M26" s="2486"/>
      <c r="N26" s="2486"/>
      <c r="O26" s="2486"/>
      <c r="P26" s="3433"/>
      <c r="Q26" s="1263"/>
      <c r="R26" s="667"/>
      <c r="S26" s="668"/>
      <c r="T26" s="667"/>
      <c r="U26" s="668"/>
      <c r="V26" s="667"/>
      <c r="W26" s="668"/>
      <c r="X26" s="1265"/>
      <c r="Y26" s="3426"/>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33"/>
      <c r="Q27" s="1263" t="str">
        <f t="shared" ref="Q27:Q47" si="11">B27</f>
        <v>楼层</v>
      </c>
      <c r="R27" s="667" t="s">
        <v>14</v>
      </c>
      <c r="S27" s="668">
        <f>F27</f>
        <v>100</v>
      </c>
      <c r="T27" s="667" t="s">
        <v>14</v>
      </c>
      <c r="U27" s="668">
        <f>H27</f>
        <v>100</v>
      </c>
      <c r="V27" s="667" t="s">
        <v>14</v>
      </c>
      <c r="W27" s="668">
        <f>J27</f>
        <v>100</v>
      </c>
      <c r="X27" s="1265"/>
      <c r="Y27" s="3426"/>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433"/>
      <c r="Q28" s="530" t="str">
        <f t="shared" si="11"/>
        <v>朝向</v>
      </c>
      <c r="R28" s="664" t="s">
        <v>14</v>
      </c>
      <c r="S28" s="665">
        <f>F28</f>
        <v>100</v>
      </c>
      <c r="T28" s="664" t="s">
        <v>14</v>
      </c>
      <c r="U28" s="665">
        <f>H28</f>
        <v>100</v>
      </c>
      <c r="V28" s="664" t="s">
        <v>14</v>
      </c>
      <c r="W28" s="665">
        <f>J28</f>
        <v>100</v>
      </c>
      <c r="X28" s="666"/>
      <c r="Y28" s="3426"/>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433"/>
      <c r="Q29" s="1263">
        <f t="shared" si="11"/>
        <v>111</v>
      </c>
      <c r="R29" s="667" t="s">
        <v>14</v>
      </c>
      <c r="S29" s="668">
        <f t="shared" ref="S29:S47" si="12">F29</f>
        <v>100</v>
      </c>
      <c r="T29" s="667" t="s">
        <v>14</v>
      </c>
      <c r="U29" s="668">
        <f t="shared" ref="U29:U47" si="13">H29</f>
        <v>100</v>
      </c>
      <c r="V29" s="667" t="s">
        <v>14</v>
      </c>
      <c r="W29" s="668">
        <f t="shared" ref="W29:W47" si="14">J29</f>
        <v>100</v>
      </c>
      <c r="X29" s="1265"/>
      <c r="Y29" s="3426"/>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433"/>
      <c r="Q30" s="1263">
        <f t="shared" si="11"/>
        <v>111</v>
      </c>
      <c r="R30" s="667" t="s">
        <v>14</v>
      </c>
      <c r="S30" s="668">
        <f t="shared" si="12"/>
        <v>100</v>
      </c>
      <c r="T30" s="667" t="s">
        <v>14</v>
      </c>
      <c r="U30" s="668">
        <f t="shared" si="13"/>
        <v>100</v>
      </c>
      <c r="V30" s="667" t="s">
        <v>14</v>
      </c>
      <c r="W30" s="668">
        <f t="shared" si="14"/>
        <v>100</v>
      </c>
      <c r="X30" s="1265"/>
      <c r="Y30" s="3426"/>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433"/>
      <c r="Q31" s="1263">
        <f t="shared" si="11"/>
        <v>111</v>
      </c>
      <c r="R31" s="667" t="s">
        <v>14</v>
      </c>
      <c r="S31" s="668">
        <f t="shared" si="12"/>
        <v>100</v>
      </c>
      <c r="T31" s="667" t="s">
        <v>14</v>
      </c>
      <c r="U31" s="668">
        <f t="shared" si="13"/>
        <v>100</v>
      </c>
      <c r="V31" s="667" t="s">
        <v>14</v>
      </c>
      <c r="W31" s="668">
        <f t="shared" si="14"/>
        <v>100</v>
      </c>
      <c r="X31" s="1265"/>
      <c r="Y31" s="3426"/>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433"/>
      <c r="Q32" s="1263">
        <f t="shared" si="11"/>
        <v>111</v>
      </c>
      <c r="R32" s="667" t="s">
        <v>14</v>
      </c>
      <c r="S32" s="668">
        <f t="shared" si="12"/>
        <v>100</v>
      </c>
      <c r="T32" s="667" t="s">
        <v>14</v>
      </c>
      <c r="U32" s="668">
        <f t="shared" si="13"/>
        <v>100</v>
      </c>
      <c r="V32" s="667" t="s">
        <v>14</v>
      </c>
      <c r="W32" s="668">
        <f t="shared" si="14"/>
        <v>100</v>
      </c>
      <c r="X32" s="1265"/>
      <c r="Y32" s="3426"/>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27" t="s">
        <v>1696</v>
      </c>
      <c r="Q33" s="1263" t="str">
        <f t="shared" si="11"/>
        <v>建筑类型</v>
      </c>
      <c r="R33" s="667" t="s">
        <v>14</v>
      </c>
      <c r="S33" s="668">
        <f t="shared" si="12"/>
        <v>100</v>
      </c>
      <c r="T33" s="667" t="s">
        <v>14</v>
      </c>
      <c r="U33" s="668">
        <f t="shared" si="13"/>
        <v>100</v>
      </c>
      <c r="V33" s="667" t="s">
        <v>14</v>
      </c>
      <c r="W33" s="668">
        <f t="shared" si="14"/>
        <v>100</v>
      </c>
      <c r="X33" s="1265"/>
      <c r="Y33" s="3430"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28"/>
      <c r="Q34" s="531" t="str">
        <f t="shared" si="11"/>
        <v>项目建筑规模</v>
      </c>
      <c r="R34" s="669" t="s">
        <v>14</v>
      </c>
      <c r="S34" s="670" t="e">
        <f t="shared" si="12"/>
        <v>#N/A</v>
      </c>
      <c r="T34" s="669" t="s">
        <v>14</v>
      </c>
      <c r="U34" s="670" t="e">
        <f t="shared" si="13"/>
        <v>#N/A</v>
      </c>
      <c r="V34" s="669" t="s">
        <v>14</v>
      </c>
      <c r="W34" s="670" t="e">
        <f t="shared" si="14"/>
        <v>#N/A</v>
      </c>
      <c r="X34" s="671"/>
      <c r="Y34" s="3430"/>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28"/>
      <c r="Q35" s="1263" t="str">
        <f t="shared" si="11"/>
        <v>建筑结构</v>
      </c>
      <c r="R35" s="667" t="s">
        <v>14</v>
      </c>
      <c r="S35" s="668">
        <f t="shared" si="12"/>
        <v>100</v>
      </c>
      <c r="T35" s="667" t="s">
        <v>14</v>
      </c>
      <c r="U35" s="668">
        <f t="shared" si="13"/>
        <v>100</v>
      </c>
      <c r="V35" s="667" t="s">
        <v>14</v>
      </c>
      <c r="W35" s="668">
        <f t="shared" si="14"/>
        <v>100</v>
      </c>
      <c r="X35" s="1265"/>
      <c r="Y35" s="3430"/>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28"/>
      <c r="Q36" s="1263" t="str">
        <f t="shared" si="11"/>
        <v>公共部分装修</v>
      </c>
      <c r="R36" s="667" t="s">
        <v>14</v>
      </c>
      <c r="S36" s="668">
        <f t="shared" si="12"/>
        <v>100</v>
      </c>
      <c r="T36" s="667" t="s">
        <v>14</v>
      </c>
      <c r="U36" s="668">
        <f t="shared" si="13"/>
        <v>100</v>
      </c>
      <c r="V36" s="667" t="s">
        <v>14</v>
      </c>
      <c r="W36" s="668">
        <f t="shared" si="14"/>
        <v>100</v>
      </c>
      <c r="X36" s="1265"/>
      <c r="Y36" s="3430"/>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28"/>
      <c r="Q37" s="1263" t="str">
        <f t="shared" si="11"/>
        <v>成新度</v>
      </c>
      <c r="R37" s="667" t="s">
        <v>14</v>
      </c>
      <c r="S37" s="668" t="e">
        <f t="shared" si="12"/>
        <v>#N/A</v>
      </c>
      <c r="T37" s="667" t="s">
        <v>14</v>
      </c>
      <c r="U37" s="668" t="e">
        <f t="shared" si="13"/>
        <v>#N/A</v>
      </c>
      <c r="V37" s="667" t="s">
        <v>14</v>
      </c>
      <c r="W37" s="668" t="e">
        <f t="shared" si="14"/>
        <v>#N/A</v>
      </c>
      <c r="X37" s="1265"/>
      <c r="Y37" s="3430"/>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28"/>
      <c r="Q38" s="530" t="str">
        <f t="shared" si="11"/>
        <v>写字楼等级</v>
      </c>
      <c r="R38" s="664" t="s">
        <v>14</v>
      </c>
      <c r="S38" s="665">
        <f t="shared" si="12"/>
        <v>100</v>
      </c>
      <c r="T38" s="664" t="s">
        <v>14</v>
      </c>
      <c r="U38" s="665">
        <f t="shared" si="13"/>
        <v>100</v>
      </c>
      <c r="V38" s="664" t="s">
        <v>14</v>
      </c>
      <c r="W38" s="665">
        <f t="shared" si="14"/>
        <v>100</v>
      </c>
      <c r="X38" s="666"/>
      <c r="Y38" s="343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28" t="s">
        <v>1696</v>
      </c>
      <c r="Q39" s="1263" t="str">
        <f t="shared" si="11"/>
        <v>物业管理</v>
      </c>
      <c r="R39" s="667" t="s">
        <v>14</v>
      </c>
      <c r="S39" s="668">
        <f t="shared" si="12"/>
        <v>100</v>
      </c>
      <c r="T39" s="667" t="s">
        <v>14</v>
      </c>
      <c r="U39" s="668">
        <f t="shared" si="13"/>
        <v>100</v>
      </c>
      <c r="V39" s="667" t="s">
        <v>14</v>
      </c>
      <c r="W39" s="668">
        <f t="shared" si="14"/>
        <v>100</v>
      </c>
      <c r="X39" s="1265"/>
      <c r="Y39" s="3430"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28"/>
      <c r="Q40" s="1263" t="str">
        <f t="shared" si="11"/>
        <v>市政基础设施</v>
      </c>
      <c r="R40" s="667" t="s">
        <v>14</v>
      </c>
      <c r="S40" s="668">
        <f t="shared" si="12"/>
        <v>100</v>
      </c>
      <c r="T40" s="667" t="s">
        <v>14</v>
      </c>
      <c r="U40" s="668">
        <f t="shared" si="13"/>
        <v>100</v>
      </c>
      <c r="V40" s="667" t="s">
        <v>14</v>
      </c>
      <c r="W40" s="668">
        <f t="shared" si="14"/>
        <v>100</v>
      </c>
      <c r="X40" s="1265"/>
      <c r="Y40" s="3430"/>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28"/>
      <c r="Q41" s="1263" t="str">
        <f t="shared" si="11"/>
        <v>层高</v>
      </c>
      <c r="R41" s="667" t="s">
        <v>14</v>
      </c>
      <c r="S41" s="668">
        <f t="shared" si="12"/>
        <v>100</v>
      </c>
      <c r="T41" s="667" t="s">
        <v>14</v>
      </c>
      <c r="U41" s="668">
        <f t="shared" si="13"/>
        <v>100</v>
      </c>
      <c r="V41" s="667" t="s">
        <v>14</v>
      </c>
      <c r="W41" s="668">
        <f t="shared" si="14"/>
        <v>100</v>
      </c>
      <c r="X41" s="1265"/>
      <c r="Y41" s="3430"/>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28"/>
      <c r="Q42" s="531" t="str">
        <f t="shared" si="11"/>
        <v>单套建筑面积</v>
      </c>
      <c r="R42" s="669" t="s">
        <v>14</v>
      </c>
      <c r="S42" s="670">
        <f t="shared" si="12"/>
        <v>100</v>
      </c>
      <c r="T42" s="669" t="s">
        <v>14</v>
      </c>
      <c r="U42" s="670">
        <f t="shared" si="13"/>
        <v>100</v>
      </c>
      <c r="V42" s="669" t="s">
        <v>14</v>
      </c>
      <c r="W42" s="670">
        <f t="shared" si="14"/>
        <v>100</v>
      </c>
      <c r="X42" s="671"/>
      <c r="Y42" s="3430"/>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28"/>
      <c r="Q43" s="1263" t="str">
        <f t="shared" si="11"/>
        <v>内部装修</v>
      </c>
      <c r="R43" s="667" t="s">
        <v>14</v>
      </c>
      <c r="S43" s="668">
        <f t="shared" si="12"/>
        <v>100</v>
      </c>
      <c r="T43" s="667" t="s">
        <v>14</v>
      </c>
      <c r="U43" s="668">
        <f t="shared" si="13"/>
        <v>100</v>
      </c>
      <c r="V43" s="667" t="s">
        <v>14</v>
      </c>
      <c r="W43" s="668">
        <f t="shared" si="14"/>
        <v>100</v>
      </c>
      <c r="X43" s="1265"/>
      <c r="Y43" s="3430"/>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28"/>
      <c r="Q44" s="1263" t="str">
        <f t="shared" si="11"/>
        <v>内部装修维护情况</v>
      </c>
      <c r="R44" s="667" t="s">
        <v>14</v>
      </c>
      <c r="S44" s="668">
        <f t="shared" si="12"/>
        <v>100</v>
      </c>
      <c r="T44" s="667" t="s">
        <v>14</v>
      </c>
      <c r="U44" s="668">
        <f t="shared" si="13"/>
        <v>100</v>
      </c>
      <c r="V44" s="667" t="s">
        <v>14</v>
      </c>
      <c r="W44" s="668">
        <f t="shared" si="14"/>
        <v>100</v>
      </c>
      <c r="X44" s="1265"/>
      <c r="Y44" s="3430"/>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28"/>
      <c r="Q45" s="530">
        <f t="shared" si="11"/>
        <v>111</v>
      </c>
      <c r="R45" s="664" t="s">
        <v>14</v>
      </c>
      <c r="S45" s="665">
        <f t="shared" si="12"/>
        <v>100</v>
      </c>
      <c r="T45" s="664" t="s">
        <v>14</v>
      </c>
      <c r="U45" s="665">
        <f t="shared" si="13"/>
        <v>100</v>
      </c>
      <c r="V45" s="664" t="s">
        <v>14</v>
      </c>
      <c r="W45" s="665">
        <f t="shared" si="14"/>
        <v>100</v>
      </c>
      <c r="X45" s="666"/>
      <c r="Y45" s="343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28"/>
      <c r="Q46" s="1263">
        <f t="shared" si="11"/>
        <v>111</v>
      </c>
      <c r="R46" s="667" t="s">
        <v>14</v>
      </c>
      <c r="S46" s="668">
        <f t="shared" si="12"/>
        <v>100</v>
      </c>
      <c r="T46" s="667" t="s">
        <v>14</v>
      </c>
      <c r="U46" s="668">
        <f t="shared" si="13"/>
        <v>100</v>
      </c>
      <c r="V46" s="667" t="s">
        <v>14</v>
      </c>
      <c r="W46" s="668">
        <f t="shared" si="14"/>
        <v>100</v>
      </c>
      <c r="X46" s="1265"/>
      <c r="Y46" s="3430"/>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29"/>
      <c r="Q47" s="1263">
        <f t="shared" si="11"/>
        <v>111</v>
      </c>
      <c r="R47" s="667" t="s">
        <v>14</v>
      </c>
      <c r="S47" s="668">
        <f t="shared" si="12"/>
        <v>100</v>
      </c>
      <c r="T47" s="667" t="s">
        <v>14</v>
      </c>
      <c r="U47" s="668">
        <f t="shared" si="13"/>
        <v>100</v>
      </c>
      <c r="V47" s="667" t="s">
        <v>14</v>
      </c>
      <c r="W47" s="668">
        <f t="shared" si="14"/>
        <v>100</v>
      </c>
      <c r="X47" s="1265"/>
      <c r="Y47" s="3431"/>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3"/>
      <c r="M48" s="2486"/>
      <c r="N48" s="2486"/>
      <c r="O48" s="2486"/>
      <c r="P48" s="3406" t="str">
        <f>A48</f>
        <v>成交单价（元/平方米）</v>
      </c>
      <c r="Q48" s="3424"/>
      <c r="R48" s="3419">
        <f>E48</f>
        <v>0</v>
      </c>
      <c r="S48" s="3419"/>
      <c r="T48" s="3419">
        <f>G48</f>
        <v>0</v>
      </c>
      <c r="U48" s="3419"/>
      <c r="V48" s="3419">
        <f>I48</f>
        <v>0</v>
      </c>
      <c r="W48" s="3419"/>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406" t="str">
        <f>A49</f>
        <v>比较价值（元/平方米）</v>
      </c>
      <c r="Q49" s="3424"/>
      <c r="R49" s="3419" t="e">
        <f>IF(F1="售价",ROUND(PRODUCT(R48,AA7:AA47),0),ROUND(PRODUCT(R48,AA7:AA47),1))</f>
        <v>#DIV/0!</v>
      </c>
      <c r="S49" s="3419"/>
      <c r="T49" s="3419" t="e">
        <f>IF(F1="售价",ROUND(PRODUCT(T48,AB7:AB47),0),ROUND(PRODUCT(T48,AB7:AB47),1))</f>
        <v>#DIV/0!</v>
      </c>
      <c r="U49" s="3419"/>
      <c r="V49" s="3419" t="e">
        <f>IF(F1="售价",ROUND(PRODUCT(V48,AC7:AC47),0),ROUND(PRODUCT(V48,AC7:AC47),1))</f>
        <v>#DIV/0!</v>
      </c>
      <c r="W49" s="341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3" priority="16" stopIfTrue="1">
      <formula>$F$53="超过30%"</formula>
    </cfRule>
  </conditionalFormatting>
  <conditionalFormatting sqref="E54">
    <cfRule type="expression" dxfId="102" priority="15" stopIfTrue="1">
      <formula>$F$54="超过20%"</formula>
    </cfRule>
  </conditionalFormatting>
  <conditionalFormatting sqref="E55">
    <cfRule type="expression" dxfId="101" priority="14" stopIfTrue="1">
      <formula>$F$55="超过30%"</formula>
    </cfRule>
  </conditionalFormatting>
  <conditionalFormatting sqref="F7:F47 H7:H47 J7:J47">
    <cfRule type="cellIs" dxfId="100" priority="1" operator="notEqual">
      <formula>100</formula>
    </cfRule>
  </conditionalFormatting>
  <conditionalFormatting sqref="F49">
    <cfRule type="expression" dxfId="99" priority="4">
      <formula>$D$49="简单平均"</formula>
    </cfRule>
  </conditionalFormatting>
  <conditionalFormatting sqref="F53:F55 H53:H55">
    <cfRule type="containsText" dxfId="98" priority="17" stopIfTrue="1" operator="containsText" text="超过">
      <formula>NOT(ISERROR(SEARCH("超过",F53)))</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G55">
    <cfRule type="expression" dxfId="95" priority="13" stopIfTrue="1">
      <formula>$H$55="超过30%"</formula>
    </cfRule>
  </conditionalFormatting>
  <conditionalFormatting sqref="H49">
    <cfRule type="expression" dxfId="94" priority="3">
      <formula>$D$49="简单平均"</formula>
    </cfRule>
  </conditionalFormatting>
  <conditionalFormatting sqref="I53">
    <cfRule type="expression" dxfId="93" priority="7" stopIfTrue="1">
      <formula>$J$53="超过30%"</formula>
    </cfRule>
  </conditionalFormatting>
  <conditionalFormatting sqref="I54">
    <cfRule type="expression" dxfId="92" priority="6" stopIfTrue="1">
      <formula>$J$53+$J$54="超过20%"</formula>
    </cfRule>
  </conditionalFormatting>
  <conditionalFormatting sqref="I55">
    <cfRule type="expression" dxfId="91" priority="5" stopIfTrue="1">
      <formula>$J$55="超过30%"</formula>
    </cfRule>
  </conditionalFormatting>
  <conditionalFormatting sqref="J49">
    <cfRule type="expression" dxfId="90" priority="2">
      <formula>$D$49="简单平均"</formula>
    </cfRule>
  </conditionalFormatting>
  <conditionalFormatting sqref="J53:J55">
    <cfRule type="containsText" dxfId="8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263.11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7" t="s">
        <v>1770</v>
      </c>
      <c r="D4" s="3408"/>
      <c r="E4" s="3409" t="s">
        <v>1771</v>
      </c>
      <c r="F4" s="3410"/>
      <c r="G4" s="3407" t="s">
        <v>1772</v>
      </c>
      <c r="H4" s="3408"/>
      <c r="I4" s="3407" t="s">
        <v>1773</v>
      </c>
      <c r="J4" s="3408"/>
      <c r="K4" s="537" t="s">
        <v>1774</v>
      </c>
      <c r="L4" s="860"/>
      <c r="M4" s="861"/>
      <c r="N4" s="861"/>
      <c r="O4" s="861"/>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ht="15">
      <c r="A5" s="348"/>
      <c r="B5" s="349"/>
      <c r="C5" s="3400" t="s">
        <v>1673</v>
      </c>
      <c r="D5" s="3401"/>
      <c r="E5" s="3398" t="s">
        <v>1674</v>
      </c>
      <c r="F5" s="3399"/>
      <c r="G5" s="3400" t="s">
        <v>1675</v>
      </c>
      <c r="H5" s="3401"/>
      <c r="I5" s="3400" t="s">
        <v>1676</v>
      </c>
      <c r="J5" s="3401"/>
      <c r="K5" s="537"/>
      <c r="L5" s="860"/>
      <c r="M5" s="861"/>
      <c r="N5" s="861"/>
      <c r="O5" s="861"/>
      <c r="P5" s="3413"/>
      <c r="Q5" s="3414"/>
      <c r="R5" s="3396"/>
      <c r="S5" s="3397"/>
      <c r="T5" s="3396"/>
      <c r="U5" s="3397"/>
      <c r="V5" s="3419"/>
      <c r="W5" s="3419"/>
      <c r="X5" s="1265"/>
      <c r="Y5" s="3396"/>
      <c r="Z5" s="3397"/>
      <c r="AA5" s="3390"/>
      <c r="AB5" s="3390"/>
      <c r="AC5" s="3390"/>
    </row>
    <row r="6" spans="1:29" ht="15.75" thickBot="1">
      <c r="A6" s="350"/>
      <c r="B6" s="351"/>
      <c r="C6" s="3402" t="s">
        <v>1677</v>
      </c>
      <c r="D6" s="3403"/>
      <c r="E6" s="3404" t="s">
        <v>1677</v>
      </c>
      <c r="F6" s="3405"/>
      <c r="G6" s="3402" t="s">
        <v>1677</v>
      </c>
      <c r="H6" s="3403"/>
      <c r="I6" s="3402" t="s">
        <v>1677</v>
      </c>
      <c r="J6" s="3403"/>
      <c r="K6" s="537" t="s">
        <v>1678</v>
      </c>
      <c r="L6" s="860"/>
      <c r="M6" s="861"/>
      <c r="N6" s="861"/>
      <c r="O6" s="861"/>
      <c r="P6" s="3415"/>
      <c r="Q6" s="3416"/>
      <c r="R6" s="3396"/>
      <c r="S6" s="3397"/>
      <c r="T6" s="3417"/>
      <c r="U6" s="3418"/>
      <c r="V6" s="3419"/>
      <c r="W6" s="3419"/>
      <c r="X6" s="1265"/>
      <c r="Y6" s="3417"/>
      <c r="Z6" s="3418"/>
      <c r="AA6" s="3391"/>
      <c r="AB6" s="3391"/>
      <c r="AC6" s="3391"/>
    </row>
    <row r="7" spans="1:29" s="102" customFormat="1" ht="15.75" thickBot="1">
      <c r="A7" s="352" t="s">
        <v>1679</v>
      </c>
      <c r="B7" s="353"/>
      <c r="C7" s="354">
        <f>'数据-取费表'!B2</f>
        <v>45875</v>
      </c>
      <c r="D7" s="355">
        <v>100</v>
      </c>
      <c r="E7" s="356"/>
      <c r="F7" s="357">
        <f>SUMIF(52:52,YEAR(E7)&amp;"-"&amp;MONTH(E7),53:53)</f>
        <v>0</v>
      </c>
      <c r="G7" s="356"/>
      <c r="H7" s="355">
        <f>SUMIF(52:52,YEAR(G7)&amp;"-"&amp;MONTH(G7),53:53)</f>
        <v>0</v>
      </c>
      <c r="I7" s="356"/>
      <c r="J7" s="355">
        <f>SUMIF(52:52,YEAR(I7)&amp;"-"&amp;MONTH(I7),53:53)</f>
        <v>0</v>
      </c>
      <c r="K7" s="38"/>
      <c r="L7" s="862"/>
      <c r="M7" s="863"/>
      <c r="N7" s="863"/>
      <c r="O7" s="863"/>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2" t="s">
        <v>1683</v>
      </c>
      <c r="Q8" s="3393"/>
      <c r="R8" s="664" t="s">
        <v>14</v>
      </c>
      <c r="S8" s="665">
        <f t="shared" si="0"/>
        <v>100</v>
      </c>
      <c r="T8" s="664" t="s">
        <v>14</v>
      </c>
      <c r="U8" s="665">
        <f t="shared" si="1"/>
        <v>100</v>
      </c>
      <c r="V8" s="664" t="s">
        <v>14</v>
      </c>
      <c r="W8" s="665">
        <f t="shared" si="2"/>
        <v>100</v>
      </c>
      <c r="X8" s="666"/>
      <c r="Y8" s="3392" t="s">
        <v>1683</v>
      </c>
      <c r="Z8" s="339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4"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24"/>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4"/>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24"/>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5" t="s">
        <v>1691</v>
      </c>
      <c r="Q15" s="1263" t="str">
        <f t="shared" si="6"/>
        <v>产业集聚程度</v>
      </c>
      <c r="R15" s="667" t="s">
        <v>14</v>
      </c>
      <c r="S15" s="668">
        <f t="shared" si="0"/>
        <v>100</v>
      </c>
      <c r="T15" s="667" t="s">
        <v>14</v>
      </c>
      <c r="U15" s="668">
        <f t="shared" si="1"/>
        <v>100</v>
      </c>
      <c r="V15" s="667" t="s">
        <v>14</v>
      </c>
      <c r="W15" s="668">
        <f t="shared" si="2"/>
        <v>100</v>
      </c>
      <c r="X15" s="1265"/>
      <c r="Y15" s="342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6"/>
      <c r="Q16" s="1263"/>
      <c r="R16" s="667"/>
      <c r="S16" s="668"/>
      <c r="T16" s="667"/>
      <c r="U16" s="668"/>
      <c r="V16" s="667"/>
      <c r="W16" s="668"/>
      <c r="X16" s="1265"/>
      <c r="Y16" s="342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6"/>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6"/>
      <c r="Q18" s="1263"/>
      <c r="R18" s="667"/>
      <c r="S18" s="668"/>
      <c r="T18" s="667"/>
      <c r="U18" s="668"/>
      <c r="V18" s="667"/>
      <c r="W18" s="668"/>
      <c r="X18" s="1265"/>
      <c r="Y18" s="342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6"/>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6"/>
      <c r="Q20" s="1263"/>
      <c r="R20" s="667"/>
      <c r="S20" s="668"/>
      <c r="T20" s="667"/>
      <c r="U20" s="668"/>
      <c r="V20" s="667"/>
      <c r="W20" s="668"/>
      <c r="X20" s="1265"/>
      <c r="Y20" s="342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6"/>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6"/>
      <c r="Q22" s="1263"/>
      <c r="R22" s="667"/>
      <c r="S22" s="668"/>
      <c r="T22" s="667"/>
      <c r="U22" s="668"/>
      <c r="V22" s="667"/>
      <c r="W22" s="668"/>
      <c r="X22" s="1265"/>
      <c r="Y22" s="342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6"/>
      <c r="Q23" s="1263" t="str">
        <f>B23</f>
        <v>环境质量</v>
      </c>
      <c r="R23" s="667" t="s">
        <v>14</v>
      </c>
      <c r="S23" s="668">
        <f>F23</f>
        <v>100</v>
      </c>
      <c r="T23" s="667" t="s">
        <v>14</v>
      </c>
      <c r="U23" s="668">
        <f>H23</f>
        <v>100</v>
      </c>
      <c r="V23" s="667" t="s">
        <v>14</v>
      </c>
      <c r="W23" s="668">
        <f>J23</f>
        <v>100</v>
      </c>
      <c r="X23" s="1265"/>
      <c r="Y23" s="342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6"/>
      <c r="Q24" s="1263"/>
      <c r="R24" s="667"/>
      <c r="S24" s="668"/>
      <c r="T24" s="667"/>
      <c r="U24" s="668"/>
      <c r="V24" s="667"/>
      <c r="W24" s="668"/>
      <c r="X24" s="1265"/>
      <c r="Y24" s="342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6"/>
      <c r="Q25" s="1263">
        <f>B25</f>
        <v>111</v>
      </c>
      <c r="R25" s="667" t="s">
        <v>14</v>
      </c>
      <c r="S25" s="668">
        <f>F25</f>
        <v>100</v>
      </c>
      <c r="T25" s="667" t="s">
        <v>14</v>
      </c>
      <c r="U25" s="668">
        <f>H25</f>
        <v>100</v>
      </c>
      <c r="V25" s="667" t="s">
        <v>14</v>
      </c>
      <c r="W25" s="668">
        <f>J25</f>
        <v>100</v>
      </c>
      <c r="X25" s="1265"/>
      <c r="Y25" s="342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6"/>
      <c r="Q26" s="1263">
        <f t="shared" ref="Q26:Q40" si="11">B26</f>
        <v>111</v>
      </c>
      <c r="R26" s="667" t="s">
        <v>14</v>
      </c>
      <c r="S26" s="668">
        <f>F26</f>
        <v>100</v>
      </c>
      <c r="T26" s="667" t="s">
        <v>14</v>
      </c>
      <c r="U26" s="668">
        <f>H26</f>
        <v>100</v>
      </c>
      <c r="V26" s="667" t="s">
        <v>14</v>
      </c>
      <c r="W26" s="668">
        <f>J26</f>
        <v>100</v>
      </c>
      <c r="X26" s="1265"/>
      <c r="Y26" s="342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6"/>
      <c r="Q27" s="530">
        <f t="shared" si="11"/>
        <v>111</v>
      </c>
      <c r="R27" s="664" t="s">
        <v>14</v>
      </c>
      <c r="S27" s="665">
        <f>F27</f>
        <v>100</v>
      </c>
      <c r="T27" s="664" t="s">
        <v>14</v>
      </c>
      <c r="U27" s="665">
        <f>H27</f>
        <v>100</v>
      </c>
      <c r="V27" s="664" t="s">
        <v>14</v>
      </c>
      <c r="W27" s="665">
        <f>J27</f>
        <v>100</v>
      </c>
      <c r="X27" s="666"/>
      <c r="Y27" s="342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6"/>
      <c r="Q28" s="1263">
        <f t="shared" si="11"/>
        <v>111</v>
      </c>
      <c r="R28" s="667" t="s">
        <v>14</v>
      </c>
      <c r="S28" s="668">
        <f t="shared" ref="S28:S40" si="12">F28</f>
        <v>100</v>
      </c>
      <c r="T28" s="667" t="s">
        <v>14</v>
      </c>
      <c r="U28" s="668">
        <f t="shared" ref="U28:U40" si="13">H28</f>
        <v>100</v>
      </c>
      <c r="V28" s="667" t="s">
        <v>14</v>
      </c>
      <c r="W28" s="668">
        <f t="shared" ref="W28:W40" si="14">J28</f>
        <v>100</v>
      </c>
      <c r="X28" s="1265"/>
      <c r="Y28" s="342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9" t="s">
        <v>1696</v>
      </c>
      <c r="Q29" s="1263" t="str">
        <f t="shared" si="11"/>
        <v>建筑类型</v>
      </c>
      <c r="R29" s="667" t="s">
        <v>14</v>
      </c>
      <c r="S29" s="668">
        <f t="shared" si="12"/>
        <v>100</v>
      </c>
      <c r="T29" s="667" t="s">
        <v>14</v>
      </c>
      <c r="U29" s="668">
        <f t="shared" si="13"/>
        <v>100</v>
      </c>
      <c r="V29" s="667" t="s">
        <v>14</v>
      </c>
      <c r="W29" s="668">
        <f t="shared" si="14"/>
        <v>100</v>
      </c>
      <c r="X29" s="1265"/>
      <c r="Y29" s="343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0"/>
      <c r="Q30" s="531" t="str">
        <f t="shared" si="11"/>
        <v>项目建筑规模</v>
      </c>
      <c r="R30" s="669" t="s">
        <v>14</v>
      </c>
      <c r="S30" s="670" t="e">
        <f t="shared" si="12"/>
        <v>#N/A</v>
      </c>
      <c r="T30" s="669" t="s">
        <v>14</v>
      </c>
      <c r="U30" s="670" t="e">
        <f t="shared" si="13"/>
        <v>#N/A</v>
      </c>
      <c r="V30" s="669" t="s">
        <v>14</v>
      </c>
      <c r="W30" s="670" t="e">
        <f t="shared" si="14"/>
        <v>#N/A</v>
      </c>
      <c r="X30" s="671"/>
      <c r="Y30" s="343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0"/>
      <c r="Q31" s="1263" t="str">
        <f t="shared" si="11"/>
        <v>建筑结构</v>
      </c>
      <c r="R31" s="667" t="s">
        <v>14</v>
      </c>
      <c r="S31" s="668">
        <f t="shared" si="12"/>
        <v>100</v>
      </c>
      <c r="T31" s="667" t="s">
        <v>14</v>
      </c>
      <c r="U31" s="668">
        <f t="shared" si="13"/>
        <v>100</v>
      </c>
      <c r="V31" s="667" t="s">
        <v>14</v>
      </c>
      <c r="W31" s="668">
        <f t="shared" si="14"/>
        <v>100</v>
      </c>
      <c r="X31" s="1265"/>
      <c r="Y31" s="343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0"/>
      <c r="Q32" s="1263" t="str">
        <f t="shared" si="11"/>
        <v>公共部分装修</v>
      </c>
      <c r="R32" s="667" t="s">
        <v>14</v>
      </c>
      <c r="S32" s="668">
        <f t="shared" si="12"/>
        <v>100</v>
      </c>
      <c r="T32" s="667" t="s">
        <v>14</v>
      </c>
      <c r="U32" s="668">
        <f t="shared" si="13"/>
        <v>100</v>
      </c>
      <c r="V32" s="667" t="s">
        <v>14</v>
      </c>
      <c r="W32" s="668">
        <f t="shared" si="14"/>
        <v>100</v>
      </c>
      <c r="X32" s="1265"/>
      <c r="Y32" s="343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0"/>
      <c r="Q33" s="1263" t="str">
        <f t="shared" si="11"/>
        <v>成新度</v>
      </c>
      <c r="R33" s="667" t="s">
        <v>14</v>
      </c>
      <c r="S33" s="668" t="e">
        <f t="shared" si="12"/>
        <v>#N/A</v>
      </c>
      <c r="T33" s="667" t="s">
        <v>14</v>
      </c>
      <c r="U33" s="668" t="e">
        <f t="shared" si="13"/>
        <v>#N/A</v>
      </c>
      <c r="V33" s="667" t="s">
        <v>14</v>
      </c>
      <c r="W33" s="668" t="e">
        <f t="shared" si="14"/>
        <v>#N/A</v>
      </c>
      <c r="X33" s="1265"/>
      <c r="Y33" s="343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0"/>
      <c r="Q34" s="530" t="str">
        <f t="shared" si="11"/>
        <v>物业管理</v>
      </c>
      <c r="R34" s="664" t="s">
        <v>14</v>
      </c>
      <c r="S34" s="665">
        <f t="shared" si="12"/>
        <v>100</v>
      </c>
      <c r="T34" s="664" t="s">
        <v>14</v>
      </c>
      <c r="U34" s="665">
        <f t="shared" si="13"/>
        <v>100</v>
      </c>
      <c r="V34" s="664" t="s">
        <v>14</v>
      </c>
      <c r="W34" s="665">
        <f t="shared" si="14"/>
        <v>100</v>
      </c>
      <c r="X34" s="666"/>
      <c r="Y34" s="343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0" t="s">
        <v>1696</v>
      </c>
      <c r="Q35" s="1263" t="str">
        <f t="shared" si="11"/>
        <v>市政基础设施</v>
      </c>
      <c r="R35" s="667" t="s">
        <v>14</v>
      </c>
      <c r="S35" s="668">
        <f t="shared" si="12"/>
        <v>100</v>
      </c>
      <c r="T35" s="667" t="s">
        <v>14</v>
      </c>
      <c r="U35" s="668">
        <f t="shared" si="13"/>
        <v>100</v>
      </c>
      <c r="V35" s="667" t="s">
        <v>14</v>
      </c>
      <c r="W35" s="668">
        <f t="shared" si="14"/>
        <v>100</v>
      </c>
      <c r="X35" s="1265"/>
      <c r="Y35" s="343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0"/>
      <c r="Q36" s="1263" t="str">
        <f t="shared" si="11"/>
        <v>内部装修</v>
      </c>
      <c r="R36" s="667" t="s">
        <v>14</v>
      </c>
      <c r="S36" s="668">
        <f t="shared" si="12"/>
        <v>100</v>
      </c>
      <c r="T36" s="667" t="s">
        <v>14</v>
      </c>
      <c r="U36" s="668">
        <f t="shared" si="13"/>
        <v>100</v>
      </c>
      <c r="V36" s="667" t="s">
        <v>14</v>
      </c>
      <c r="W36" s="668">
        <f t="shared" si="14"/>
        <v>100</v>
      </c>
      <c r="X36" s="1265"/>
      <c r="Y36" s="343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0"/>
      <c r="Q37" s="1263" t="str">
        <f t="shared" si="11"/>
        <v>内部装修状况</v>
      </c>
      <c r="R37" s="667" t="s">
        <v>14</v>
      </c>
      <c r="S37" s="668">
        <f t="shared" si="12"/>
        <v>100</v>
      </c>
      <c r="T37" s="667" t="s">
        <v>14</v>
      </c>
      <c r="U37" s="668">
        <f t="shared" si="13"/>
        <v>100</v>
      </c>
      <c r="V37" s="667" t="s">
        <v>14</v>
      </c>
      <c r="W37" s="668">
        <f t="shared" si="14"/>
        <v>100</v>
      </c>
      <c r="X37" s="1265"/>
      <c r="Y37" s="343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0"/>
      <c r="Q38" s="531">
        <f t="shared" si="11"/>
        <v>111</v>
      </c>
      <c r="R38" s="669" t="s">
        <v>14</v>
      </c>
      <c r="S38" s="670">
        <f t="shared" si="12"/>
        <v>100</v>
      </c>
      <c r="T38" s="669" t="s">
        <v>14</v>
      </c>
      <c r="U38" s="670">
        <f t="shared" si="13"/>
        <v>100</v>
      </c>
      <c r="V38" s="669" t="s">
        <v>14</v>
      </c>
      <c r="W38" s="670">
        <f t="shared" si="14"/>
        <v>100</v>
      </c>
      <c r="X38" s="671"/>
      <c r="Y38" s="343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0"/>
      <c r="Q39" s="1263">
        <f t="shared" si="11"/>
        <v>111</v>
      </c>
      <c r="R39" s="667" t="s">
        <v>14</v>
      </c>
      <c r="S39" s="668">
        <f t="shared" si="12"/>
        <v>100</v>
      </c>
      <c r="T39" s="667" t="s">
        <v>14</v>
      </c>
      <c r="U39" s="668">
        <f t="shared" si="13"/>
        <v>100</v>
      </c>
      <c r="V39" s="667" t="s">
        <v>14</v>
      </c>
      <c r="W39" s="668">
        <f t="shared" si="14"/>
        <v>100</v>
      </c>
      <c r="X39" s="1265"/>
      <c r="Y39" s="343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1"/>
      <c r="Q40" s="1263">
        <f t="shared" si="11"/>
        <v>111</v>
      </c>
      <c r="R40" s="667" t="s">
        <v>14</v>
      </c>
      <c r="S40" s="668">
        <f t="shared" si="12"/>
        <v>100</v>
      </c>
      <c r="T40" s="667" t="s">
        <v>14</v>
      </c>
      <c r="U40" s="668">
        <f t="shared" si="13"/>
        <v>100</v>
      </c>
      <c r="V40" s="667" t="s">
        <v>14</v>
      </c>
      <c r="W40" s="668">
        <f t="shared" si="14"/>
        <v>100</v>
      </c>
      <c r="X40" s="1265"/>
      <c r="Y40" s="343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4" t="str">
        <f>A41</f>
        <v>成交单价（元/平方米）</v>
      </c>
      <c r="Q41" s="3424"/>
      <c r="R41" s="3419">
        <f>E41</f>
        <v>0</v>
      </c>
      <c r="S41" s="3419"/>
      <c r="T41" s="3419">
        <f>G41</f>
        <v>0</v>
      </c>
      <c r="U41" s="3419"/>
      <c r="V41" s="3419">
        <f>I41</f>
        <v>0</v>
      </c>
      <c r="W41" s="3419"/>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24" t="str">
        <f>A42</f>
        <v>比较价值（元/平方米）</v>
      </c>
      <c r="Q42" s="3424"/>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1" t="str">
        <f>A43</f>
        <v>估价对象XX用房的比较价值（楼面单价，元/平方米）</v>
      </c>
      <c r="Q43" s="3422"/>
      <c r="R43" s="3423" t="e">
        <f>IF(F1="售价",ROUND(IF(D42="简单平均",AVERAGE(R42:V42),R42*F42+T42*H42+V42*J42),0),ROUND(IF(D42="简单平均",AVERAGE(R42:V42),R42*F42+T42*H42+V42*J42),1))</f>
        <v>#DIV/0!</v>
      </c>
      <c r="S43" s="3423"/>
      <c r="T43" s="3423"/>
      <c r="U43" s="3423"/>
      <c r="V43" s="3423"/>
      <c r="W43" s="3423"/>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7" t="s">
        <v>1770</v>
      </c>
      <c r="D4" s="3408"/>
      <c r="E4" s="3409" t="s">
        <v>1771</v>
      </c>
      <c r="F4" s="3410"/>
      <c r="G4" s="3407" t="s">
        <v>1772</v>
      </c>
      <c r="H4" s="3408"/>
      <c r="I4" s="3407" t="s">
        <v>1773</v>
      </c>
      <c r="J4" s="3408"/>
      <c r="K4" s="537" t="s">
        <v>1774</v>
      </c>
      <c r="L4" s="2485"/>
      <c r="M4" s="2486"/>
      <c r="N4" s="2486"/>
      <c r="O4" s="2486"/>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ht="15">
      <c r="A5" s="348"/>
      <c r="B5" s="349"/>
      <c r="C5" s="3400" t="s">
        <v>1673</v>
      </c>
      <c r="D5" s="3401"/>
      <c r="E5" s="3398" t="s">
        <v>1674</v>
      </c>
      <c r="F5" s="3399"/>
      <c r="G5" s="3400" t="s">
        <v>1675</v>
      </c>
      <c r="H5" s="3401"/>
      <c r="I5" s="3400" t="s">
        <v>1676</v>
      </c>
      <c r="J5" s="3401"/>
      <c r="K5" s="537"/>
      <c r="L5" s="2485"/>
      <c r="M5" s="2486"/>
      <c r="N5" s="2486"/>
      <c r="O5" s="2486"/>
      <c r="P5" s="3413"/>
      <c r="Q5" s="3414"/>
      <c r="R5" s="3396"/>
      <c r="S5" s="3397"/>
      <c r="T5" s="3396"/>
      <c r="U5" s="3397"/>
      <c r="V5" s="3419"/>
      <c r="W5" s="3419"/>
      <c r="X5" s="1265"/>
      <c r="Y5" s="3396"/>
      <c r="Z5" s="3397"/>
      <c r="AA5" s="3390"/>
      <c r="AB5" s="3390"/>
      <c r="AC5" s="3390"/>
    </row>
    <row r="6" spans="1:29" ht="15.75" thickBot="1">
      <c r="A6" s="350"/>
      <c r="B6" s="351"/>
      <c r="C6" s="3402" t="s">
        <v>1677</v>
      </c>
      <c r="D6" s="3403"/>
      <c r="E6" s="3404" t="s">
        <v>1677</v>
      </c>
      <c r="F6" s="3405"/>
      <c r="G6" s="3402" t="s">
        <v>1677</v>
      </c>
      <c r="H6" s="3403"/>
      <c r="I6" s="3402" t="s">
        <v>1677</v>
      </c>
      <c r="J6" s="3403"/>
      <c r="K6" s="537" t="s">
        <v>1678</v>
      </c>
      <c r="L6" s="2485"/>
      <c r="M6" s="2486"/>
      <c r="N6" s="2486"/>
      <c r="O6" s="2486"/>
      <c r="P6" s="3415"/>
      <c r="Q6" s="3416"/>
      <c r="R6" s="3396"/>
      <c r="S6" s="3397"/>
      <c r="T6" s="3417"/>
      <c r="U6" s="3418"/>
      <c r="V6" s="3419"/>
      <c r="W6" s="3419"/>
      <c r="X6" s="1265"/>
      <c r="Y6" s="3417"/>
      <c r="Z6" s="3418"/>
      <c r="AA6" s="3391"/>
      <c r="AB6" s="3391"/>
      <c r="AC6" s="3391"/>
    </row>
    <row r="7" spans="1:29" s="102" customFormat="1" ht="15.75" thickBot="1">
      <c r="A7" s="352" t="s">
        <v>1679</v>
      </c>
      <c r="B7" s="353"/>
      <c r="C7" s="354">
        <f>'数据-取费表'!B2</f>
        <v>45875</v>
      </c>
      <c r="D7" s="355">
        <v>100</v>
      </c>
      <c r="E7" s="356"/>
      <c r="F7" s="357">
        <f>SUMIF(46:46,YEAR(E7)&amp;"-"&amp;MONTH(E7),47:47)</f>
        <v>0</v>
      </c>
      <c r="G7" s="1820"/>
      <c r="H7" s="355">
        <f>SUMIF(46:46,YEAR(G7)&amp;"-"&amp;MONTH(G7),47:47)</f>
        <v>0</v>
      </c>
      <c r="I7" s="356"/>
      <c r="J7" s="355">
        <f>SUMIF(46:46,YEAR(I7)&amp;"-"&amp;MONTH(I7),47:47)</f>
        <v>0</v>
      </c>
      <c r="K7" s="38"/>
      <c r="L7" s="2487"/>
      <c r="M7" s="2438"/>
      <c r="N7" s="2438"/>
      <c r="O7" s="2438"/>
      <c r="P7" s="3392" t="s">
        <v>1680</v>
      </c>
      <c r="Q7" s="3420"/>
      <c r="R7" s="664" t="s">
        <v>14</v>
      </c>
      <c r="S7" s="665">
        <f t="shared" ref="S7:S14" si="0">F7</f>
        <v>0</v>
      </c>
      <c r="T7" s="664" t="s">
        <v>14</v>
      </c>
      <c r="U7" s="665">
        <f t="shared" ref="U7:U14" si="1">H7</f>
        <v>0</v>
      </c>
      <c r="V7" s="664" t="s">
        <v>14</v>
      </c>
      <c r="W7" s="665">
        <f t="shared" ref="W7:W14" si="2">J7</f>
        <v>0</v>
      </c>
      <c r="X7" s="666"/>
      <c r="Y7" s="3392" t="s">
        <v>1680</v>
      </c>
      <c r="Z7" s="339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92" t="s">
        <v>1683</v>
      </c>
      <c r="Q8" s="3393"/>
      <c r="R8" s="664" t="s">
        <v>14</v>
      </c>
      <c r="S8" s="665">
        <f t="shared" si="0"/>
        <v>100</v>
      </c>
      <c r="T8" s="664" t="s">
        <v>14</v>
      </c>
      <c r="U8" s="665">
        <f t="shared" si="1"/>
        <v>100</v>
      </c>
      <c r="V8" s="664" t="s">
        <v>14</v>
      </c>
      <c r="W8" s="665">
        <f t="shared" si="2"/>
        <v>100</v>
      </c>
      <c r="X8" s="666"/>
      <c r="Y8" s="3392" t="s">
        <v>1683</v>
      </c>
      <c r="Z8" s="339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24"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24"/>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24"/>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25" t="s">
        <v>1691</v>
      </c>
      <c r="Q14" s="1263" t="str">
        <f t="shared" si="6"/>
        <v>交通便捷度</v>
      </c>
      <c r="R14" s="667" t="s">
        <v>14</v>
      </c>
      <c r="S14" s="668">
        <f t="shared" si="0"/>
        <v>100</v>
      </c>
      <c r="T14" s="667" t="s">
        <v>14</v>
      </c>
      <c r="U14" s="668">
        <f t="shared" si="1"/>
        <v>100</v>
      </c>
      <c r="V14" s="667" t="s">
        <v>14</v>
      </c>
      <c r="W14" s="668">
        <f t="shared" si="2"/>
        <v>100</v>
      </c>
      <c r="X14" s="1265"/>
      <c r="Y14" s="342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26"/>
      <c r="Q15" s="1263"/>
      <c r="R15" s="667"/>
      <c r="S15" s="668"/>
      <c r="T15" s="667"/>
      <c r="U15" s="668"/>
      <c r="V15" s="667"/>
      <c r="W15" s="668"/>
      <c r="X15" s="1265"/>
      <c r="Y15" s="3426"/>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26"/>
      <c r="Q16" s="1263" t="str">
        <f>B16</f>
        <v>公共配套设施</v>
      </c>
      <c r="R16" s="667" t="s">
        <v>14</v>
      </c>
      <c r="S16" s="668">
        <f>F16</f>
        <v>100</v>
      </c>
      <c r="T16" s="667" t="s">
        <v>14</v>
      </c>
      <c r="U16" s="668">
        <f>H16</f>
        <v>100</v>
      </c>
      <c r="V16" s="667" t="s">
        <v>14</v>
      </c>
      <c r="W16" s="668">
        <f>J16</f>
        <v>100</v>
      </c>
      <c r="X16" s="1265"/>
      <c r="Y16" s="342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26"/>
      <c r="Q17" s="1263"/>
      <c r="R17" s="667"/>
      <c r="S17" s="668"/>
      <c r="T17" s="667"/>
      <c r="U17" s="668"/>
      <c r="V17" s="667"/>
      <c r="W17" s="668"/>
      <c r="X17" s="1265"/>
      <c r="Y17" s="3426"/>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26"/>
      <c r="Q18" s="1263" t="str">
        <f>B18</f>
        <v>基础设施水平</v>
      </c>
      <c r="R18" s="667" t="s">
        <v>14</v>
      </c>
      <c r="S18" s="668">
        <f>F18</f>
        <v>100</v>
      </c>
      <c r="T18" s="667" t="s">
        <v>14</v>
      </c>
      <c r="U18" s="668">
        <f>H18</f>
        <v>100</v>
      </c>
      <c r="V18" s="667" t="s">
        <v>14</v>
      </c>
      <c r="W18" s="668">
        <f>J18</f>
        <v>100</v>
      </c>
      <c r="X18" s="1265"/>
      <c r="Y18" s="342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26"/>
      <c r="Q19" s="1263"/>
      <c r="R19" s="667"/>
      <c r="S19" s="668"/>
      <c r="T19" s="667"/>
      <c r="U19" s="668"/>
      <c r="V19" s="667"/>
      <c r="W19" s="668"/>
      <c r="X19" s="1265"/>
      <c r="Y19" s="3426"/>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26"/>
      <c r="Q20" s="1263" t="str">
        <f>B20</f>
        <v>自然及人文环境</v>
      </c>
      <c r="R20" s="667" t="s">
        <v>14</v>
      </c>
      <c r="S20" s="668">
        <f>F20</f>
        <v>100</v>
      </c>
      <c r="T20" s="667" t="s">
        <v>14</v>
      </c>
      <c r="U20" s="668">
        <f>H20</f>
        <v>100</v>
      </c>
      <c r="V20" s="667" t="s">
        <v>14</v>
      </c>
      <c r="W20" s="668">
        <f>J20</f>
        <v>100</v>
      </c>
      <c r="X20" s="1265"/>
      <c r="Y20" s="342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26"/>
      <c r="Q21" s="1263"/>
      <c r="R21" s="667"/>
      <c r="S21" s="668"/>
      <c r="T21" s="667"/>
      <c r="U21" s="668"/>
      <c r="V21" s="667"/>
      <c r="W21" s="668"/>
      <c r="X21" s="1265"/>
      <c r="Y21" s="342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26"/>
      <c r="Q22" s="1263" t="str">
        <f>B22</f>
        <v>楼层</v>
      </c>
      <c r="R22" s="667" t="s">
        <v>14</v>
      </c>
      <c r="S22" s="668">
        <f>F22</f>
        <v>100</v>
      </c>
      <c r="T22" s="667" t="s">
        <v>14</v>
      </c>
      <c r="U22" s="668">
        <f>H22</f>
        <v>100</v>
      </c>
      <c r="V22" s="667" t="s">
        <v>14</v>
      </c>
      <c r="W22" s="668">
        <f>J22</f>
        <v>100</v>
      </c>
      <c r="X22" s="1265"/>
      <c r="Y22" s="342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26"/>
      <c r="Q23" s="1263">
        <f>B23</f>
        <v>111</v>
      </c>
      <c r="R23" s="667" t="s">
        <v>14</v>
      </c>
      <c r="S23" s="668">
        <f>F23</f>
        <v>100</v>
      </c>
      <c r="T23" s="667" t="s">
        <v>14</v>
      </c>
      <c r="U23" s="668">
        <f>H23</f>
        <v>100</v>
      </c>
      <c r="V23" s="667" t="s">
        <v>14</v>
      </c>
      <c r="W23" s="668">
        <f>J23</f>
        <v>100</v>
      </c>
      <c r="X23" s="1265"/>
      <c r="Y23" s="342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26"/>
      <c r="Q24" s="1263">
        <f t="shared" ref="Q24:Q34" si="11">B24</f>
        <v>111</v>
      </c>
      <c r="R24" s="667" t="s">
        <v>14</v>
      </c>
      <c r="S24" s="668">
        <f>F24</f>
        <v>100</v>
      </c>
      <c r="T24" s="667" t="s">
        <v>14</v>
      </c>
      <c r="U24" s="668">
        <f>H24</f>
        <v>100</v>
      </c>
      <c r="V24" s="667" t="s">
        <v>14</v>
      </c>
      <c r="W24" s="668">
        <f>J24</f>
        <v>100</v>
      </c>
      <c r="X24" s="1265"/>
      <c r="Y24" s="3426"/>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426"/>
      <c r="Q25" s="530">
        <f t="shared" si="11"/>
        <v>111</v>
      </c>
      <c r="R25" s="664" t="s">
        <v>14</v>
      </c>
      <c r="S25" s="665">
        <f>F25</f>
        <v>100</v>
      </c>
      <c r="T25" s="664" t="s">
        <v>14</v>
      </c>
      <c r="U25" s="665">
        <f>H25</f>
        <v>100</v>
      </c>
      <c r="V25" s="664" t="s">
        <v>14</v>
      </c>
      <c r="W25" s="665">
        <f>J25</f>
        <v>100</v>
      </c>
      <c r="X25" s="666"/>
      <c r="Y25" s="342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30"/>
      <c r="Q27" s="531" t="str">
        <f t="shared" si="11"/>
        <v>成新率</v>
      </c>
      <c r="R27" s="669" t="s">
        <v>14</v>
      </c>
      <c r="S27" s="670" t="e">
        <f t="shared" si="12"/>
        <v>#N/A</v>
      </c>
      <c r="T27" s="669" t="s">
        <v>14</v>
      </c>
      <c r="U27" s="670" t="e">
        <f t="shared" si="13"/>
        <v>#N/A</v>
      </c>
      <c r="V27" s="669" t="s">
        <v>14</v>
      </c>
      <c r="W27" s="670" t="e">
        <f t="shared" si="14"/>
        <v>#N/A</v>
      </c>
      <c r="X27" s="671"/>
      <c r="Y27" s="343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30"/>
      <c r="Q28" s="1263" t="str">
        <f t="shared" si="11"/>
        <v>物业等级</v>
      </c>
      <c r="R28" s="667" t="s">
        <v>14</v>
      </c>
      <c r="S28" s="668">
        <f t="shared" si="12"/>
        <v>100</v>
      </c>
      <c r="T28" s="667" t="s">
        <v>14</v>
      </c>
      <c r="U28" s="668">
        <f t="shared" si="13"/>
        <v>100</v>
      </c>
      <c r="V28" s="667" t="s">
        <v>14</v>
      </c>
      <c r="W28" s="668">
        <f t="shared" si="14"/>
        <v>100</v>
      </c>
      <c r="X28" s="1265"/>
      <c r="Y28" s="343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30"/>
      <c r="Q29" s="1263" t="str">
        <f t="shared" si="11"/>
        <v>有无电梯</v>
      </c>
      <c r="R29" s="667" t="s">
        <v>14</v>
      </c>
      <c r="S29" s="668">
        <f t="shared" si="12"/>
        <v>100</v>
      </c>
      <c r="T29" s="667" t="s">
        <v>14</v>
      </c>
      <c r="U29" s="668">
        <f t="shared" si="13"/>
        <v>100</v>
      </c>
      <c r="V29" s="667" t="s">
        <v>14</v>
      </c>
      <c r="W29" s="668">
        <f t="shared" si="14"/>
        <v>100</v>
      </c>
      <c r="X29" s="1265"/>
      <c r="Y29" s="343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30"/>
      <c r="Q30" s="1263" t="str">
        <f t="shared" si="11"/>
        <v>建筑面积</v>
      </c>
      <c r="R30" s="667" t="s">
        <v>14</v>
      </c>
      <c r="S30" s="668" t="e">
        <f t="shared" si="12"/>
        <v>#N/A</v>
      </c>
      <c r="T30" s="667" t="s">
        <v>14</v>
      </c>
      <c r="U30" s="668" t="e">
        <f t="shared" si="13"/>
        <v>#N/A</v>
      </c>
      <c r="V30" s="667" t="s">
        <v>14</v>
      </c>
      <c r="W30" s="668" t="e">
        <f t="shared" si="14"/>
        <v>#N/A</v>
      </c>
      <c r="X30" s="1265"/>
      <c r="Y30" s="343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30"/>
      <c r="Q31" s="530" t="str">
        <f t="shared" si="11"/>
        <v>是否封闭</v>
      </c>
      <c r="R31" s="664" t="s">
        <v>14</v>
      </c>
      <c r="S31" s="665">
        <f t="shared" si="12"/>
        <v>100</v>
      </c>
      <c r="T31" s="664" t="s">
        <v>14</v>
      </c>
      <c r="U31" s="665">
        <f t="shared" si="13"/>
        <v>100</v>
      </c>
      <c r="V31" s="664" t="s">
        <v>14</v>
      </c>
      <c r="W31" s="665">
        <f t="shared" si="14"/>
        <v>100</v>
      </c>
      <c r="X31" s="666"/>
      <c r="Y31" s="343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30" t="s">
        <v>1696</v>
      </c>
      <c r="Q32" s="1263">
        <f t="shared" si="11"/>
        <v>111</v>
      </c>
      <c r="R32" s="667" t="s">
        <v>14</v>
      </c>
      <c r="S32" s="668">
        <f t="shared" si="12"/>
        <v>100</v>
      </c>
      <c r="T32" s="667" t="s">
        <v>14</v>
      </c>
      <c r="U32" s="668">
        <f t="shared" si="13"/>
        <v>100</v>
      </c>
      <c r="V32" s="667" t="s">
        <v>14</v>
      </c>
      <c r="W32" s="668">
        <f t="shared" si="14"/>
        <v>100</v>
      </c>
      <c r="X32" s="1265"/>
      <c r="Y32" s="343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30"/>
      <c r="Q33" s="1263">
        <f t="shared" si="11"/>
        <v>111</v>
      </c>
      <c r="R33" s="667" t="s">
        <v>14</v>
      </c>
      <c r="S33" s="668">
        <f t="shared" si="12"/>
        <v>100</v>
      </c>
      <c r="T33" s="667" t="s">
        <v>14</v>
      </c>
      <c r="U33" s="668">
        <f t="shared" si="13"/>
        <v>100</v>
      </c>
      <c r="V33" s="667" t="s">
        <v>14</v>
      </c>
      <c r="W33" s="668">
        <f t="shared" si="14"/>
        <v>100</v>
      </c>
      <c r="X33" s="1265"/>
      <c r="Y33" s="3430"/>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430"/>
      <c r="Q34" s="1263">
        <f t="shared" si="11"/>
        <v>111</v>
      </c>
      <c r="R34" s="667" t="s">
        <v>14</v>
      </c>
      <c r="S34" s="668">
        <f t="shared" si="12"/>
        <v>100</v>
      </c>
      <c r="T34" s="667" t="s">
        <v>14</v>
      </c>
      <c r="U34" s="668">
        <f t="shared" si="13"/>
        <v>100</v>
      </c>
      <c r="V34" s="667" t="s">
        <v>14</v>
      </c>
      <c r="W34" s="668">
        <f t="shared" si="14"/>
        <v>100</v>
      </c>
      <c r="X34" s="1265"/>
      <c r="Y34" s="343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424" t="str">
        <f>A35</f>
        <v>成交单价（元/平方米）</v>
      </c>
      <c r="Q35" s="3424"/>
      <c r="R35" s="3419">
        <f>E35</f>
        <v>0</v>
      </c>
      <c r="S35" s="3419"/>
      <c r="T35" s="3419">
        <f>G35</f>
        <v>0</v>
      </c>
      <c r="U35" s="3419"/>
      <c r="V35" s="3419">
        <f>I35</f>
        <v>0</v>
      </c>
      <c r="W35" s="3419"/>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424" t="str">
        <f>A36</f>
        <v>比较价值（元/平方米）</v>
      </c>
      <c r="Q36" s="3424"/>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21" t="str">
        <f>A37</f>
        <v>估价对象XX用房的比较价值（楼面单价，元/平方米）</v>
      </c>
      <c r="Q37" s="3422"/>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73" priority="13" stopIfTrue="1">
      <formula>$F$40="超过30%"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F7:F34 H7:H34 J7:J34">
    <cfRule type="cellIs" dxfId="70" priority="1" operator="notEqual">
      <formula>100</formula>
    </cfRule>
  </conditionalFormatting>
  <conditionalFormatting sqref="F36">
    <cfRule type="expression" dxfId="69" priority="4">
      <formula>$D$36="简单平均"</formula>
    </cfRule>
  </conditionalFormatting>
  <conditionalFormatting sqref="F40:F42 H40:H42 J40:J42">
    <cfRule type="containsText" dxfId="68" priority="14" stopIfTrue="1" operator="containsText" text="超过">
      <formula>NOT(ISERROR(SEARCH("超过",F40)))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G42">
    <cfRule type="expression" dxfId="65" priority="12" stopIfTrue="1">
      <formula>$H$54+$H$42="超过30%"</formula>
    </cfRule>
  </conditionalFormatting>
  <conditionalFormatting sqref="H36">
    <cfRule type="expression" dxfId="64" priority="3">
      <formula>$D$36="简单平均"</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J36">
    <cfRule type="expression" dxfId="6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估价对象为北京市房地产，为所有。根据《国有土地使用证》[]，估价对象（分摊）出让国有建设用地使用权面积为0平方米，建筑面积为263.11平方米。</v>
      </c>
    </row>
    <row r="8" spans="1:1" ht="57.75">
      <c r="A8" s="1385" t="s">
        <v>901</v>
      </c>
    </row>
    <row r="9" spans="1:1" ht="18.75">
      <c r="A9" s="1384" t="s">
        <v>902</v>
      </c>
    </row>
    <row r="10" spans="1:1" ht="54">
      <c r="A10" s="1382"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估价对象为北京市房地产,属开发建设的，该项目尚在开发建设中。根据《国有土地使用证》[]，估价对象（分摊）出让国有建设用地使用权面积为0平方米，规划建筑面积为263.11平方米。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2025年8月6日（评估专业人员实地查勘之日）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"本次评估采用的主估价方法为"&amp;'结果表-住宅'!K4&amp;"和"&amp;'结果表-住宅'!L4&amp;"。"</f>
        <v>本次评估采用的主估价方法为比较法和比较法。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7" t="s">
        <v>1770</v>
      </c>
      <c r="D4" s="3408"/>
      <c r="E4" s="3409" t="s">
        <v>1771</v>
      </c>
      <c r="F4" s="3410"/>
      <c r="G4" s="3407" t="s">
        <v>1772</v>
      </c>
      <c r="H4" s="3408"/>
      <c r="I4" s="3407" t="s">
        <v>1773</v>
      </c>
      <c r="J4" s="3408"/>
      <c r="K4" s="537" t="s">
        <v>1774</v>
      </c>
      <c r="L4" s="2485"/>
      <c r="M4" s="2486"/>
      <c r="N4" s="2486"/>
      <c r="O4" s="2486"/>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ht="15">
      <c r="A5" s="348"/>
      <c r="B5" s="349"/>
      <c r="C5" s="3400" t="s">
        <v>1673</v>
      </c>
      <c r="D5" s="3401"/>
      <c r="E5" s="3398" t="s">
        <v>1674</v>
      </c>
      <c r="F5" s="3399"/>
      <c r="G5" s="3400" t="s">
        <v>1675</v>
      </c>
      <c r="H5" s="3401"/>
      <c r="I5" s="3400" t="s">
        <v>1676</v>
      </c>
      <c r="J5" s="3401"/>
      <c r="K5" s="537"/>
      <c r="L5" s="2485"/>
      <c r="M5" s="2486"/>
      <c r="N5" s="2486"/>
      <c r="O5" s="2486"/>
      <c r="P5" s="3413"/>
      <c r="Q5" s="3414"/>
      <c r="R5" s="3396"/>
      <c r="S5" s="3397"/>
      <c r="T5" s="3396"/>
      <c r="U5" s="3397"/>
      <c r="V5" s="3419"/>
      <c r="W5" s="3419"/>
      <c r="X5" s="1265"/>
      <c r="Y5" s="3396"/>
      <c r="Z5" s="3397"/>
      <c r="AA5" s="3390"/>
      <c r="AB5" s="3390"/>
      <c r="AC5" s="3390"/>
    </row>
    <row r="6" spans="1:29" ht="15.75" thickBot="1">
      <c r="A6" s="350"/>
      <c r="B6" s="351"/>
      <c r="C6" s="3402" t="s">
        <v>1677</v>
      </c>
      <c r="D6" s="3403"/>
      <c r="E6" s="3404" t="s">
        <v>1677</v>
      </c>
      <c r="F6" s="3405"/>
      <c r="G6" s="3402" t="s">
        <v>1677</v>
      </c>
      <c r="H6" s="3403"/>
      <c r="I6" s="3402" t="s">
        <v>1677</v>
      </c>
      <c r="J6" s="3403"/>
      <c r="K6" s="537" t="s">
        <v>1678</v>
      </c>
      <c r="L6" s="2485"/>
      <c r="M6" s="2486"/>
      <c r="N6" s="2486"/>
      <c r="O6" s="2486"/>
      <c r="P6" s="3415"/>
      <c r="Q6" s="3416"/>
      <c r="R6" s="3396"/>
      <c r="S6" s="3397"/>
      <c r="T6" s="3417"/>
      <c r="U6" s="3418"/>
      <c r="V6" s="3419"/>
      <c r="W6" s="3419"/>
      <c r="X6" s="1265"/>
      <c r="Y6" s="3417"/>
      <c r="Z6" s="3418"/>
      <c r="AA6" s="3391"/>
      <c r="AB6" s="3391"/>
      <c r="AC6" s="3391"/>
    </row>
    <row r="7" spans="1:29" s="102" customFormat="1" ht="15.75" thickBot="1">
      <c r="A7" s="352" t="s">
        <v>1679</v>
      </c>
      <c r="B7" s="353"/>
      <c r="C7" s="354">
        <f>'数据-取费表'!B2</f>
        <v>45875</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92" t="s">
        <v>1683</v>
      </c>
      <c r="Q8" s="3393"/>
      <c r="R8" s="664" t="s">
        <v>14</v>
      </c>
      <c r="S8" s="665">
        <f t="shared" si="0"/>
        <v>0</v>
      </c>
      <c r="T8" s="664" t="s">
        <v>14</v>
      </c>
      <c r="U8" s="665">
        <f t="shared" si="1"/>
        <v>0</v>
      </c>
      <c r="V8" s="664" t="s">
        <v>14</v>
      </c>
      <c r="W8" s="665">
        <f t="shared" si="2"/>
        <v>0</v>
      </c>
      <c r="X8" s="666"/>
      <c r="Y8" s="3392" t="s">
        <v>1683</v>
      </c>
      <c r="Z8" s="3393"/>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424"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110</v>
      </c>
      <c r="G10" s="402"/>
      <c r="H10" s="119">
        <f>ROUND(100/'数据-取费表'!G16,0)</f>
        <v>110</v>
      </c>
      <c r="I10" s="402"/>
      <c r="J10" s="119">
        <f>ROUND(100/'数据-取费表'!G16,0)</f>
        <v>110</v>
      </c>
      <c r="K10" s="592"/>
      <c r="L10" s="2488"/>
      <c r="M10" s="2489"/>
      <c r="N10" s="2489"/>
      <c r="O10" s="2540"/>
      <c r="P10" s="3424"/>
      <c r="Q10" s="530" t="str">
        <f t="shared" si="6"/>
        <v>土地使用年限（年）</v>
      </c>
      <c r="R10" s="664" t="s">
        <v>14</v>
      </c>
      <c r="S10" s="665">
        <f t="shared" si="0"/>
        <v>110</v>
      </c>
      <c r="T10" s="664" t="s">
        <v>14</v>
      </c>
      <c r="U10" s="665">
        <f t="shared" si="1"/>
        <v>110</v>
      </c>
      <c r="V10" s="664" t="s">
        <v>14</v>
      </c>
      <c r="W10" s="665">
        <f t="shared" si="2"/>
        <v>110</v>
      </c>
      <c r="X10" s="666"/>
      <c r="Y10" s="3336"/>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24"/>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24"/>
      <c r="Q12" s="530" t="str">
        <f t="shared" si="6"/>
        <v>配建</v>
      </c>
      <c r="R12" s="664" t="s">
        <v>14</v>
      </c>
      <c r="S12" s="665">
        <f t="shared" si="0"/>
        <v>100</v>
      </c>
      <c r="T12" s="664" t="s">
        <v>14</v>
      </c>
      <c r="U12" s="665">
        <f t="shared" si="1"/>
        <v>100</v>
      </c>
      <c r="V12" s="664" t="s">
        <v>14</v>
      </c>
      <c r="W12" s="665">
        <f t="shared" si="2"/>
        <v>100</v>
      </c>
      <c r="X12" s="666"/>
      <c r="Y12" s="333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24"/>
      <c r="Q14" s="530">
        <f t="shared" si="6"/>
        <v>111</v>
      </c>
      <c r="R14" s="664" t="s">
        <v>14</v>
      </c>
      <c r="S14" s="665">
        <f t="shared" si="0"/>
        <v>100</v>
      </c>
      <c r="T14" s="664" t="s">
        <v>14</v>
      </c>
      <c r="U14" s="665">
        <f t="shared" si="1"/>
        <v>100</v>
      </c>
      <c r="V14" s="664" t="s">
        <v>14</v>
      </c>
      <c r="W14" s="665">
        <f t="shared" si="2"/>
        <v>100</v>
      </c>
      <c r="X14" s="666"/>
      <c r="Y14" s="3336"/>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25" t="s">
        <v>1691</v>
      </c>
      <c r="Q15" s="1263" t="str">
        <f t="shared" si="6"/>
        <v>居住社区成熟度</v>
      </c>
      <c r="R15" s="667" t="s">
        <v>14</v>
      </c>
      <c r="S15" s="668">
        <f t="shared" si="0"/>
        <v>100</v>
      </c>
      <c r="T15" s="667" t="s">
        <v>14</v>
      </c>
      <c r="U15" s="668">
        <f t="shared" si="1"/>
        <v>100</v>
      </c>
      <c r="V15" s="667" t="s">
        <v>14</v>
      </c>
      <c r="W15" s="668">
        <f t="shared" si="2"/>
        <v>100</v>
      </c>
      <c r="X15" s="1265"/>
      <c r="Y15" s="342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26"/>
      <c r="Q16" s="1263"/>
      <c r="R16" s="667"/>
      <c r="S16" s="668"/>
      <c r="T16" s="667"/>
      <c r="U16" s="668"/>
      <c r="V16" s="667"/>
      <c r="W16" s="668"/>
      <c r="X16" s="1265"/>
      <c r="Y16" s="3426"/>
      <c r="Z16" s="1264"/>
      <c r="AA16" s="1264">
        <v>1</v>
      </c>
      <c r="AB16" s="1264">
        <v>1</v>
      </c>
      <c r="AC16" s="1264">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26"/>
      <c r="Q17" s="1263" t="str">
        <f>B17</f>
        <v>商业繁华度</v>
      </c>
      <c r="R17" s="667" t="s">
        <v>14</v>
      </c>
      <c r="S17" s="668">
        <f>F17</f>
        <v>100</v>
      </c>
      <c r="T17" s="667" t="s">
        <v>14</v>
      </c>
      <c r="U17" s="668">
        <f>H17</f>
        <v>100</v>
      </c>
      <c r="V17" s="667" t="s">
        <v>14</v>
      </c>
      <c r="W17" s="668">
        <f>J17</f>
        <v>100</v>
      </c>
      <c r="X17" s="1265"/>
      <c r="Y17" s="342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26"/>
      <c r="Q18" s="1263"/>
      <c r="R18" s="667"/>
      <c r="S18" s="668"/>
      <c r="T18" s="667"/>
      <c r="U18" s="668"/>
      <c r="V18" s="667"/>
      <c r="W18" s="668"/>
      <c r="X18" s="1265"/>
      <c r="Y18" s="3426"/>
      <c r="Z18" s="1264"/>
      <c r="AA18" s="1264">
        <v>1</v>
      </c>
      <c r="AB18" s="1264">
        <v>1</v>
      </c>
      <c r="AC18" s="1264">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26"/>
      <c r="Q19" s="1263" t="str">
        <f>B19</f>
        <v>办公集聚程度</v>
      </c>
      <c r="R19" s="667" t="s">
        <v>14</v>
      </c>
      <c r="S19" s="668">
        <f>F19</f>
        <v>100</v>
      </c>
      <c r="T19" s="667" t="s">
        <v>14</v>
      </c>
      <c r="U19" s="668">
        <f>H19</f>
        <v>100</v>
      </c>
      <c r="V19" s="667" t="s">
        <v>14</v>
      </c>
      <c r="W19" s="668">
        <f>J19</f>
        <v>100</v>
      </c>
      <c r="X19" s="1265"/>
      <c r="Y19" s="342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26"/>
      <c r="Q20" s="1263"/>
      <c r="R20" s="667"/>
      <c r="S20" s="668"/>
      <c r="T20" s="667"/>
      <c r="U20" s="668"/>
      <c r="V20" s="667"/>
      <c r="W20" s="668"/>
      <c r="X20" s="1265"/>
      <c r="Y20" s="3426"/>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26"/>
      <c r="Q21" s="1263" t="str">
        <f>B21</f>
        <v>交通便捷度</v>
      </c>
      <c r="R21" s="667" t="s">
        <v>14</v>
      </c>
      <c r="S21" s="668">
        <f>F21</f>
        <v>100</v>
      </c>
      <c r="T21" s="667" t="s">
        <v>14</v>
      </c>
      <c r="U21" s="668">
        <f>H21</f>
        <v>100</v>
      </c>
      <c r="V21" s="667" t="s">
        <v>14</v>
      </c>
      <c r="W21" s="668">
        <f>J21</f>
        <v>100</v>
      </c>
      <c r="X21" s="1265"/>
      <c r="Y21" s="342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26"/>
      <c r="Q22" s="1263"/>
      <c r="R22" s="667"/>
      <c r="S22" s="668"/>
      <c r="T22" s="667"/>
      <c r="U22" s="668"/>
      <c r="V22" s="667"/>
      <c r="W22" s="668"/>
      <c r="X22" s="1265"/>
      <c r="Y22" s="342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26"/>
      <c r="Q23" s="1263" t="str">
        <f t="shared" ref="Q23:Q37" si="8">B23</f>
        <v>区域土地利用方向</v>
      </c>
      <c r="R23" s="667" t="s">
        <v>14</v>
      </c>
      <c r="S23" s="668">
        <f>F23</f>
        <v>100</v>
      </c>
      <c r="T23" s="667" t="s">
        <v>14</v>
      </c>
      <c r="U23" s="668">
        <f>H23</f>
        <v>100</v>
      </c>
      <c r="V23" s="667" t="s">
        <v>14</v>
      </c>
      <c r="W23" s="668">
        <f>J23</f>
        <v>100</v>
      </c>
      <c r="X23" s="1265"/>
      <c r="Y23" s="342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26"/>
      <c r="Q24" s="1263"/>
      <c r="R24" s="667"/>
      <c r="S24" s="668"/>
      <c r="T24" s="667"/>
      <c r="U24" s="668"/>
      <c r="V24" s="667"/>
      <c r="W24" s="668"/>
      <c r="X24" s="1265"/>
      <c r="Y24" s="3426"/>
      <c r="Z24" s="1264"/>
      <c r="AA24" s="1264"/>
      <c r="AB24" s="1264"/>
      <c r="AC24" s="1264"/>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26"/>
      <c r="Q25" s="1263" t="str">
        <f t="shared" si="8"/>
        <v>自然及人文环境状况</v>
      </c>
      <c r="R25" s="667" t="s">
        <v>14</v>
      </c>
      <c r="S25" s="668">
        <f>F25</f>
        <v>100</v>
      </c>
      <c r="T25" s="667" t="s">
        <v>14</v>
      </c>
      <c r="U25" s="668">
        <f>H25</f>
        <v>100</v>
      </c>
      <c r="V25" s="667" t="s">
        <v>14</v>
      </c>
      <c r="W25" s="668">
        <f>J25</f>
        <v>100</v>
      </c>
      <c r="X25" s="1265"/>
      <c r="Y25" s="342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26"/>
      <c r="Q26" s="1263"/>
      <c r="R26" s="667"/>
      <c r="S26" s="668"/>
      <c r="T26" s="667"/>
      <c r="U26" s="668"/>
      <c r="V26" s="667"/>
      <c r="W26" s="668"/>
      <c r="X26" s="1265"/>
      <c r="Y26" s="3426"/>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26"/>
      <c r="Q27" s="530" t="str">
        <f t="shared" si="8"/>
        <v>公共配套设施</v>
      </c>
      <c r="R27" s="664" t="s">
        <v>14</v>
      </c>
      <c r="S27" s="665">
        <f>F27</f>
        <v>100</v>
      </c>
      <c r="T27" s="664" t="s">
        <v>14</v>
      </c>
      <c r="U27" s="665">
        <f>H27</f>
        <v>100</v>
      </c>
      <c r="V27" s="664" t="s">
        <v>14</v>
      </c>
      <c r="W27" s="665">
        <f>J27</f>
        <v>100</v>
      </c>
      <c r="X27" s="666"/>
      <c r="Y27" s="3426"/>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7"/>
      <c r="M28" s="2438"/>
      <c r="N28" s="2438"/>
      <c r="O28" s="2539"/>
      <c r="P28" s="3426"/>
      <c r="Q28" s="530"/>
      <c r="R28" s="664"/>
      <c r="S28" s="665"/>
      <c r="T28" s="664"/>
      <c r="U28" s="665"/>
      <c r="V28" s="664"/>
      <c r="W28" s="665"/>
      <c r="X28" s="666"/>
      <c r="Y28" s="3426"/>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26"/>
      <c r="Q29" s="530" t="str">
        <f t="shared" ref="Q29" si="9">B29</f>
        <v>基础设施水平</v>
      </c>
      <c r="R29" s="664" t="s">
        <v>14</v>
      </c>
      <c r="S29" s="665">
        <f>F29</f>
        <v>100</v>
      </c>
      <c r="T29" s="664" t="s">
        <v>14</v>
      </c>
      <c r="U29" s="665">
        <f>H29</f>
        <v>100</v>
      </c>
      <c r="V29" s="664" t="s">
        <v>14</v>
      </c>
      <c r="W29" s="665">
        <f>J29</f>
        <v>100</v>
      </c>
      <c r="X29" s="666"/>
      <c r="Y29" s="3426"/>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7"/>
      <c r="M30" s="2438"/>
      <c r="N30" s="2438"/>
      <c r="O30" s="2539"/>
      <c r="P30" s="3426"/>
      <c r="Q30" s="530"/>
      <c r="R30" s="664"/>
      <c r="S30" s="665"/>
      <c r="T30" s="664"/>
      <c r="U30" s="665"/>
      <c r="V30" s="664"/>
      <c r="W30" s="665"/>
      <c r="X30" s="666"/>
      <c r="Y30" s="342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2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26"/>
      <c r="Q32" s="1263" t="str">
        <f t="shared" si="8"/>
        <v>毗邻道路的类型与等级</v>
      </c>
      <c r="R32" s="667" t="s">
        <v>14</v>
      </c>
      <c r="S32" s="668">
        <f t="shared" si="10"/>
        <v>100</v>
      </c>
      <c r="T32" s="667" t="s">
        <v>14</v>
      </c>
      <c r="U32" s="668">
        <f t="shared" si="11"/>
        <v>100</v>
      </c>
      <c r="V32" s="667" t="s">
        <v>14</v>
      </c>
      <c r="W32" s="668">
        <f t="shared" si="12"/>
        <v>100</v>
      </c>
      <c r="X32" s="1265"/>
      <c r="Y32" s="342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26"/>
      <c r="Q33" s="1263"/>
      <c r="R33" s="667"/>
      <c r="S33" s="668"/>
      <c r="T33" s="667"/>
      <c r="U33" s="668"/>
      <c r="V33" s="667"/>
      <c r="W33" s="668"/>
      <c r="X33" s="1265"/>
      <c r="Y33" s="342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26"/>
      <c r="Q34" s="1263" t="str">
        <f t="shared" si="8"/>
        <v>土地级别</v>
      </c>
      <c r="R34" s="667" t="s">
        <v>14</v>
      </c>
      <c r="S34" s="668">
        <f t="shared" si="10"/>
        <v>100</v>
      </c>
      <c r="T34" s="667" t="s">
        <v>14</v>
      </c>
      <c r="U34" s="668">
        <f t="shared" si="11"/>
        <v>100</v>
      </c>
      <c r="V34" s="667" t="s">
        <v>14</v>
      </c>
      <c r="W34" s="668">
        <f t="shared" si="12"/>
        <v>100</v>
      </c>
      <c r="X34" s="1265"/>
      <c r="Y34" s="342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26"/>
      <c r="Q35" s="1263">
        <f t="shared" si="8"/>
        <v>111</v>
      </c>
      <c r="R35" s="667" t="s">
        <v>14</v>
      </c>
      <c r="S35" s="668">
        <f t="shared" si="10"/>
        <v>100</v>
      </c>
      <c r="T35" s="667" t="s">
        <v>14</v>
      </c>
      <c r="U35" s="668">
        <f t="shared" si="11"/>
        <v>100</v>
      </c>
      <c r="V35" s="667" t="s">
        <v>14</v>
      </c>
      <c r="W35" s="668">
        <f t="shared" si="12"/>
        <v>100</v>
      </c>
      <c r="X35" s="1265"/>
      <c r="Y35" s="342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9" t="s">
        <v>1696</v>
      </c>
      <c r="Q36" s="1263">
        <f t="shared" si="8"/>
        <v>111</v>
      </c>
      <c r="R36" s="667" t="s">
        <v>14</v>
      </c>
      <c r="S36" s="668">
        <f t="shared" si="10"/>
        <v>100</v>
      </c>
      <c r="T36" s="667" t="s">
        <v>14</v>
      </c>
      <c r="U36" s="668">
        <f t="shared" si="11"/>
        <v>100</v>
      </c>
      <c r="V36" s="667" t="s">
        <v>14</v>
      </c>
      <c r="W36" s="668">
        <f t="shared" si="12"/>
        <v>100</v>
      </c>
      <c r="X36" s="1265"/>
      <c r="Y36" s="343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30"/>
      <c r="Q37" s="1263">
        <f t="shared" si="8"/>
        <v>111</v>
      </c>
      <c r="R37" s="669" t="s">
        <v>14</v>
      </c>
      <c r="S37" s="670">
        <f t="shared" si="10"/>
        <v>100</v>
      </c>
      <c r="T37" s="669" t="s">
        <v>14</v>
      </c>
      <c r="U37" s="670">
        <f t="shared" si="11"/>
        <v>100</v>
      </c>
      <c r="V37" s="669" t="s">
        <v>14</v>
      </c>
      <c r="W37" s="670">
        <f t="shared" si="12"/>
        <v>100</v>
      </c>
      <c r="X37" s="671"/>
      <c r="Y37" s="343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30"/>
      <c r="Q38" s="1263" t="str">
        <f>B38</f>
        <v>宗地面积</v>
      </c>
      <c r="R38" s="667" t="s">
        <v>14</v>
      </c>
      <c r="S38" s="668" t="e">
        <f t="shared" si="10"/>
        <v>#N/A</v>
      </c>
      <c r="T38" s="667" t="s">
        <v>14</v>
      </c>
      <c r="U38" s="668" t="e">
        <f t="shared" si="11"/>
        <v>#N/A</v>
      </c>
      <c r="V38" s="667" t="s">
        <v>14</v>
      </c>
      <c r="W38" s="668" t="e">
        <f t="shared" si="12"/>
        <v>#N/A</v>
      </c>
      <c r="X38" s="1265"/>
      <c r="Y38" s="343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30"/>
      <c r="Q39" s="1263" t="str">
        <f t="shared" ref="Q39:Q45" si="14">B39</f>
        <v>宗地形状</v>
      </c>
      <c r="R39" s="667" t="s">
        <v>14</v>
      </c>
      <c r="S39" s="668">
        <f t="shared" si="10"/>
        <v>100</v>
      </c>
      <c r="T39" s="667" t="s">
        <v>14</v>
      </c>
      <c r="U39" s="668">
        <f t="shared" si="11"/>
        <v>100</v>
      </c>
      <c r="V39" s="667" t="s">
        <v>14</v>
      </c>
      <c r="W39" s="668">
        <f t="shared" si="12"/>
        <v>100</v>
      </c>
      <c r="X39" s="1265"/>
      <c r="Y39" s="343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30"/>
      <c r="Q40" s="1263" t="str">
        <f t="shared" si="14"/>
        <v>临街宽度及深度</v>
      </c>
      <c r="R40" s="667" t="s">
        <v>14</v>
      </c>
      <c r="S40" s="668">
        <f t="shared" si="10"/>
        <v>100</v>
      </c>
      <c r="T40" s="667" t="s">
        <v>14</v>
      </c>
      <c r="U40" s="668">
        <f t="shared" si="11"/>
        <v>100</v>
      </c>
      <c r="V40" s="667" t="s">
        <v>14</v>
      </c>
      <c r="W40" s="668">
        <f t="shared" si="12"/>
        <v>100</v>
      </c>
      <c r="X40" s="1265"/>
      <c r="Y40" s="3430"/>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430"/>
      <c r="Q41" s="1263" t="str">
        <f t="shared" si="14"/>
        <v>宗地开发程度</v>
      </c>
      <c r="R41" s="664" t="s">
        <v>14</v>
      </c>
      <c r="S41" s="665">
        <f t="shared" si="10"/>
        <v>100</v>
      </c>
      <c r="T41" s="664" t="s">
        <v>14</v>
      </c>
      <c r="U41" s="665">
        <f t="shared" si="11"/>
        <v>100</v>
      </c>
      <c r="V41" s="664" t="s">
        <v>14</v>
      </c>
      <c r="W41" s="665">
        <f t="shared" si="12"/>
        <v>100</v>
      </c>
      <c r="X41" s="666"/>
      <c r="Y41" s="343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30" t="s">
        <v>1696</v>
      </c>
      <c r="Q42" s="1263" t="str">
        <f t="shared" si="14"/>
        <v>工程地质条件</v>
      </c>
      <c r="R42" s="667" t="s">
        <v>14</v>
      </c>
      <c r="S42" s="668">
        <f t="shared" si="10"/>
        <v>100</v>
      </c>
      <c r="T42" s="667" t="s">
        <v>14</v>
      </c>
      <c r="U42" s="668">
        <f t="shared" si="11"/>
        <v>100</v>
      </c>
      <c r="V42" s="667" t="s">
        <v>14</v>
      </c>
      <c r="W42" s="668">
        <f t="shared" si="12"/>
        <v>100</v>
      </c>
      <c r="X42" s="1265"/>
      <c r="Y42" s="343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30"/>
      <c r="Q43" s="1263">
        <f t="shared" si="14"/>
        <v>111</v>
      </c>
      <c r="R43" s="667" t="s">
        <v>14</v>
      </c>
      <c r="S43" s="668">
        <f t="shared" si="10"/>
        <v>100</v>
      </c>
      <c r="T43" s="667" t="s">
        <v>14</v>
      </c>
      <c r="U43" s="668">
        <f t="shared" si="11"/>
        <v>100</v>
      </c>
      <c r="V43" s="667" t="s">
        <v>14</v>
      </c>
      <c r="W43" s="668">
        <f t="shared" si="12"/>
        <v>100</v>
      </c>
      <c r="X43" s="1265"/>
      <c r="Y43" s="343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30"/>
      <c r="Q44" s="1263">
        <f t="shared" si="14"/>
        <v>111</v>
      </c>
      <c r="R44" s="667" t="s">
        <v>14</v>
      </c>
      <c r="S44" s="668">
        <f t="shared" si="10"/>
        <v>100</v>
      </c>
      <c r="T44" s="667" t="s">
        <v>14</v>
      </c>
      <c r="U44" s="668">
        <f t="shared" si="11"/>
        <v>100</v>
      </c>
      <c r="V44" s="667" t="s">
        <v>14</v>
      </c>
      <c r="W44" s="668">
        <f t="shared" si="12"/>
        <v>100</v>
      </c>
      <c r="X44" s="1265"/>
      <c r="Y44" s="3430"/>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30"/>
      <c r="Q45" s="1263">
        <f t="shared" si="14"/>
        <v>111</v>
      </c>
      <c r="R45" s="669" t="s">
        <v>14</v>
      </c>
      <c r="S45" s="670">
        <f t="shared" si="10"/>
        <v>100</v>
      </c>
      <c r="T45" s="669" t="s">
        <v>14</v>
      </c>
      <c r="U45" s="670">
        <f t="shared" si="11"/>
        <v>100</v>
      </c>
      <c r="V45" s="669" t="s">
        <v>14</v>
      </c>
      <c r="W45" s="670">
        <f t="shared" si="12"/>
        <v>100</v>
      </c>
      <c r="X45" s="671"/>
      <c r="Y45" s="3430"/>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3"/>
      <c r="M46" s="2486"/>
      <c r="N46" s="2486"/>
      <c r="O46" s="2486"/>
      <c r="P46" s="3424" t="str">
        <f>A46</f>
        <v>成交单价</v>
      </c>
      <c r="Q46" s="3424"/>
      <c r="R46" s="3419">
        <f>E46</f>
        <v>0</v>
      </c>
      <c r="S46" s="3419"/>
      <c r="T46" s="3419">
        <f>G46</f>
        <v>0</v>
      </c>
      <c r="U46" s="3419"/>
      <c r="V46" s="3419">
        <f>I46</f>
        <v>0</v>
      </c>
      <c r="W46" s="3419"/>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424" t="str">
        <f>A47</f>
        <v>比较价值（元/平方米）</v>
      </c>
      <c r="Q47" s="3424"/>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21" t="str">
        <f>A48</f>
        <v>估价对象XX用房的比较价值（楼面单价，元/平方米）</v>
      </c>
      <c r="Q48" s="3422"/>
      <c r="R48" s="3452" t="e">
        <f>ROUND(IF(D47="简单平均",AVERAGE(R47:W47),R47*F47+T47*H47+V47*J47),0)</f>
        <v>#DIV/0!</v>
      </c>
      <c r="S48" s="3452"/>
      <c r="T48" s="3452"/>
      <c r="U48" s="3452"/>
      <c r="V48" s="3452"/>
      <c r="W48" s="345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407" t="s">
        <v>1887</v>
      </c>
      <c r="H55" s="3453"/>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237.82</v>
      </c>
      <c r="F56" s="833" t="e">
        <f t="shared" ref="F56:F64" si="15">ROUND(B56*E56/10000,0)</f>
        <v>#DIV/0!</v>
      </c>
      <c r="G56" s="3406"/>
      <c r="H56" s="342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0.2</v>
      </c>
      <c r="D62" s="891">
        <v>0.25</v>
      </c>
      <c r="E62" s="209">
        <f>'数据-汇总表'!E13</f>
        <v>25.29</v>
      </c>
      <c r="F62" s="833" t="e">
        <f t="shared" si="15"/>
        <v>#DIV/0!</v>
      </c>
      <c r="G62" s="839" t="s">
        <v>1900</v>
      </c>
      <c r="H62" s="834" t="str">
        <f>IF(G62="商业",项目基本情况!B37,IF(G62="办公",项目基本情况!C37,IF(G62="住宅",项目基本情况!D37,项目基本情况!E37)))</f>
        <v>二级</v>
      </c>
      <c r="I62" s="838">
        <f>SUMIF(修正!A59:A70,H62,修正!G59:G70)</f>
        <v>0.2</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263.11</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59" priority="13" stopIfTrue="1">
      <formula>$F$51="超过30%"</formula>
    </cfRule>
  </conditionalFormatting>
  <conditionalFormatting sqref="E52">
    <cfRule type="expression" dxfId="58" priority="11" stopIfTrue="1">
      <formula>$F$52="超过20%"</formula>
    </cfRule>
  </conditionalFormatting>
  <conditionalFormatting sqref="E53">
    <cfRule type="expression" dxfId="57" priority="10" stopIfTrue="1">
      <formula>$F$53="超过30%"</formula>
    </cfRule>
  </conditionalFormatting>
  <conditionalFormatting sqref="F7:F45 H7:H45 J7:J45">
    <cfRule type="cellIs" dxfId="56" priority="1" operator="notEqual">
      <formula>100</formula>
    </cfRule>
  </conditionalFormatting>
  <conditionalFormatting sqref="F47">
    <cfRule type="expression" dxfId="55" priority="4">
      <formula>$D$47="简单平均"</formula>
    </cfRule>
  </conditionalFormatting>
  <conditionalFormatting sqref="F51:F53 H51:H53 J51:J53">
    <cfRule type="containsText" dxfId="54" priority="14" stopIfTrue="1" operator="containsText" text="超过">
      <formula>NOT(ISERROR(SEARCH("超过",F51)))</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G53">
    <cfRule type="expression" dxfId="51" priority="12" stopIfTrue="1">
      <formula>$H$53="超过30%"</formula>
    </cfRule>
  </conditionalFormatting>
  <conditionalFormatting sqref="H47">
    <cfRule type="expression" dxfId="50" priority="3">
      <formula>$D$47="简单平均"</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J47">
    <cfRule type="expression" dxfId="4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7" t="s">
        <v>1770</v>
      </c>
      <c r="D4" s="3408"/>
      <c r="E4" s="3409" t="s">
        <v>1771</v>
      </c>
      <c r="F4" s="3410"/>
      <c r="G4" s="3407" t="s">
        <v>1772</v>
      </c>
      <c r="H4" s="3408"/>
      <c r="I4" s="3407" t="s">
        <v>1773</v>
      </c>
      <c r="J4" s="3408"/>
      <c r="K4" s="537" t="s">
        <v>1774</v>
      </c>
      <c r="L4" s="2485"/>
      <c r="M4" s="2486"/>
      <c r="N4" s="2486"/>
      <c r="O4" s="2486"/>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ht="15">
      <c r="A5" s="348"/>
      <c r="B5" s="349"/>
      <c r="C5" s="3400" t="s">
        <v>1673</v>
      </c>
      <c r="D5" s="3401"/>
      <c r="E5" s="3398" t="s">
        <v>1674</v>
      </c>
      <c r="F5" s="3399"/>
      <c r="G5" s="3400" t="s">
        <v>1675</v>
      </c>
      <c r="H5" s="3401"/>
      <c r="I5" s="3400" t="s">
        <v>1676</v>
      </c>
      <c r="J5" s="3401"/>
      <c r="K5" s="537"/>
      <c r="L5" s="2485"/>
      <c r="M5" s="2486"/>
      <c r="N5" s="2486"/>
      <c r="O5" s="2486"/>
      <c r="P5" s="3413"/>
      <c r="Q5" s="3414"/>
      <c r="R5" s="3396"/>
      <c r="S5" s="3397"/>
      <c r="T5" s="3396"/>
      <c r="U5" s="3397"/>
      <c r="V5" s="3419"/>
      <c r="W5" s="3419"/>
      <c r="X5" s="1265"/>
      <c r="Y5" s="3396"/>
      <c r="Z5" s="3397"/>
      <c r="AA5" s="3390"/>
      <c r="AB5" s="3390"/>
      <c r="AC5" s="3390"/>
    </row>
    <row r="6" spans="1:29" ht="15.75" thickBot="1">
      <c r="A6" s="350"/>
      <c r="B6" s="351"/>
      <c r="C6" s="3454" t="s">
        <v>1919</v>
      </c>
      <c r="D6" s="3455"/>
      <c r="E6" s="3456" t="s">
        <v>1919</v>
      </c>
      <c r="F6" s="3457"/>
      <c r="G6" s="3454" t="s">
        <v>1919</v>
      </c>
      <c r="H6" s="3455"/>
      <c r="I6" s="3454" t="s">
        <v>1919</v>
      </c>
      <c r="J6" s="3455"/>
      <c r="K6" s="537" t="s">
        <v>1678</v>
      </c>
      <c r="L6" s="2485"/>
      <c r="M6" s="2486"/>
      <c r="N6" s="2486"/>
      <c r="O6" s="2486"/>
      <c r="P6" s="3415"/>
      <c r="Q6" s="3416"/>
      <c r="R6" s="3396"/>
      <c r="S6" s="3397"/>
      <c r="T6" s="3417"/>
      <c r="U6" s="3418"/>
      <c r="V6" s="3419"/>
      <c r="W6" s="3419"/>
      <c r="X6" s="1265"/>
      <c r="Y6" s="3417"/>
      <c r="Z6" s="3418"/>
      <c r="AA6" s="3391"/>
      <c r="AB6" s="3391"/>
      <c r="AC6" s="3391"/>
    </row>
    <row r="7" spans="1:29" s="102" customFormat="1" ht="15.75" thickBot="1">
      <c r="A7" s="352" t="s">
        <v>1679</v>
      </c>
      <c r="B7" s="353"/>
      <c r="C7" s="354">
        <f>'数据-取费表'!B2</f>
        <v>45875</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92" t="s">
        <v>1683</v>
      </c>
      <c r="Q8" s="3393"/>
      <c r="R8" s="664" t="s">
        <v>14</v>
      </c>
      <c r="S8" s="665">
        <f t="shared" si="0"/>
        <v>0</v>
      </c>
      <c r="T8" s="664" t="s">
        <v>14</v>
      </c>
      <c r="U8" s="665">
        <f t="shared" si="1"/>
        <v>0</v>
      </c>
      <c r="V8" s="664" t="s">
        <v>14</v>
      </c>
      <c r="W8" s="665">
        <f t="shared" si="2"/>
        <v>0</v>
      </c>
      <c r="X8" s="666"/>
      <c r="Y8" s="3392" t="s">
        <v>1683</v>
      </c>
      <c r="Z8" s="3393"/>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424"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110</v>
      </c>
      <c r="G10" s="371"/>
      <c r="H10" s="119">
        <f>ROUND(100/'数据-取费表'!G16,0)</f>
        <v>110</v>
      </c>
      <c r="I10" s="371"/>
      <c r="J10" s="119">
        <f>ROUND(100/'数据-取费表'!G16,0)</f>
        <v>110</v>
      </c>
      <c r="K10" s="592"/>
      <c r="L10" s="2488"/>
      <c r="M10" s="2489"/>
      <c r="N10" s="2489"/>
      <c r="O10" s="2540"/>
      <c r="P10" s="3424"/>
      <c r="Q10" s="530" t="str">
        <f t="shared" si="6"/>
        <v>土地使用年限（年）</v>
      </c>
      <c r="R10" s="664" t="s">
        <v>14</v>
      </c>
      <c r="S10" s="665">
        <f t="shared" si="0"/>
        <v>110</v>
      </c>
      <c r="T10" s="664" t="s">
        <v>14</v>
      </c>
      <c r="U10" s="665">
        <f t="shared" si="1"/>
        <v>110</v>
      </c>
      <c r="V10" s="664" t="s">
        <v>14</v>
      </c>
      <c r="W10" s="665">
        <f t="shared" si="2"/>
        <v>110</v>
      </c>
      <c r="X10" s="666"/>
      <c r="Y10" s="3336"/>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24"/>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24"/>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25" t="s">
        <v>1691</v>
      </c>
      <c r="Q15" s="1263" t="str">
        <f t="shared" si="6"/>
        <v>产业集聚程度</v>
      </c>
      <c r="R15" s="667" t="s">
        <v>14</v>
      </c>
      <c r="S15" s="668">
        <f t="shared" si="0"/>
        <v>100</v>
      </c>
      <c r="T15" s="667" t="s">
        <v>14</v>
      </c>
      <c r="U15" s="668">
        <f t="shared" si="1"/>
        <v>100</v>
      </c>
      <c r="V15" s="667" t="s">
        <v>14</v>
      </c>
      <c r="W15" s="668">
        <f t="shared" si="2"/>
        <v>100</v>
      </c>
      <c r="X15" s="1265"/>
      <c r="Y15" s="342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26"/>
      <c r="Q16" s="1263"/>
      <c r="R16" s="667"/>
      <c r="S16" s="668"/>
      <c r="T16" s="667"/>
      <c r="U16" s="668"/>
      <c r="V16" s="667"/>
      <c r="W16" s="668"/>
      <c r="X16" s="1265"/>
      <c r="Y16" s="342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26"/>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26"/>
      <c r="Q18" s="1263"/>
      <c r="R18" s="667"/>
      <c r="S18" s="668"/>
      <c r="T18" s="667"/>
      <c r="U18" s="668"/>
      <c r="V18" s="667"/>
      <c r="W18" s="668"/>
      <c r="X18" s="1265"/>
      <c r="Y18" s="342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26"/>
      <c r="Q19" s="1263" t="str">
        <f t="shared" ref="Q19:Q33" si="8">B19</f>
        <v>区域土地利用方向</v>
      </c>
      <c r="R19" s="667" t="s">
        <v>14</v>
      </c>
      <c r="S19" s="668">
        <f>F19</f>
        <v>100</v>
      </c>
      <c r="T19" s="667" t="s">
        <v>14</v>
      </c>
      <c r="U19" s="668">
        <f>H19</f>
        <v>100</v>
      </c>
      <c r="V19" s="667" t="s">
        <v>14</v>
      </c>
      <c r="W19" s="668">
        <f>J19</f>
        <v>100</v>
      </c>
      <c r="X19" s="1265"/>
      <c r="Y19" s="342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26"/>
      <c r="Q20" s="1263"/>
      <c r="R20" s="667"/>
      <c r="S20" s="668"/>
      <c r="T20" s="667"/>
      <c r="U20" s="668"/>
      <c r="V20" s="667"/>
      <c r="W20" s="668"/>
      <c r="X20" s="1265"/>
      <c r="Y20" s="342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26"/>
      <c r="Q21" s="1263" t="str">
        <f t="shared" si="8"/>
        <v>环境状况</v>
      </c>
      <c r="R21" s="667" t="s">
        <v>14</v>
      </c>
      <c r="S21" s="668">
        <f>F21</f>
        <v>100</v>
      </c>
      <c r="T21" s="667" t="s">
        <v>14</v>
      </c>
      <c r="U21" s="668">
        <f>H21</f>
        <v>100</v>
      </c>
      <c r="V21" s="667" t="s">
        <v>14</v>
      </c>
      <c r="W21" s="668">
        <f>J21</f>
        <v>100</v>
      </c>
      <c r="X21" s="1265"/>
      <c r="Y21" s="342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26"/>
      <c r="Q22" s="1263"/>
      <c r="R22" s="667"/>
      <c r="S22" s="668"/>
      <c r="T22" s="667"/>
      <c r="U22" s="668"/>
      <c r="V22" s="667"/>
      <c r="W22" s="668"/>
      <c r="X22" s="1265"/>
      <c r="Y22" s="342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26"/>
      <c r="Q23" s="530" t="str">
        <f t="shared" si="8"/>
        <v>公共配套设施</v>
      </c>
      <c r="R23" s="664" t="s">
        <v>14</v>
      </c>
      <c r="S23" s="665">
        <f>F23</f>
        <v>100</v>
      </c>
      <c r="T23" s="664" t="s">
        <v>14</v>
      </c>
      <c r="U23" s="665">
        <f>H23</f>
        <v>100</v>
      </c>
      <c r="V23" s="664" t="s">
        <v>14</v>
      </c>
      <c r="W23" s="665">
        <f>J23</f>
        <v>100</v>
      </c>
      <c r="X23" s="666"/>
      <c r="Y23" s="3426"/>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7"/>
      <c r="M24" s="2438"/>
      <c r="N24" s="2438"/>
      <c r="O24" s="2539"/>
      <c r="P24" s="3426"/>
      <c r="Q24" s="530"/>
      <c r="R24" s="664"/>
      <c r="S24" s="665"/>
      <c r="T24" s="664"/>
      <c r="U24" s="665"/>
      <c r="V24" s="664"/>
      <c r="W24" s="665"/>
      <c r="X24" s="666"/>
      <c r="Y24" s="342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26"/>
      <c r="Q25" s="530" t="str">
        <f t="shared" ref="Q25" si="9">B25</f>
        <v>基础设施水平</v>
      </c>
      <c r="R25" s="664" t="s">
        <v>14</v>
      </c>
      <c r="S25" s="665">
        <f>F25</f>
        <v>100</v>
      </c>
      <c r="T25" s="664" t="s">
        <v>14</v>
      </c>
      <c r="U25" s="665">
        <f>H25</f>
        <v>100</v>
      </c>
      <c r="V25" s="664" t="s">
        <v>14</v>
      </c>
      <c r="W25" s="665">
        <f>J25</f>
        <v>100</v>
      </c>
      <c r="X25" s="666"/>
      <c r="Y25" s="3426"/>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7"/>
      <c r="M26" s="2438"/>
      <c r="N26" s="2438"/>
      <c r="O26" s="2539"/>
      <c r="P26" s="3426"/>
      <c r="Q26" s="530"/>
      <c r="R26" s="664"/>
      <c r="S26" s="665"/>
      <c r="T26" s="664"/>
      <c r="U26" s="665"/>
      <c r="V26" s="664"/>
      <c r="W26" s="665"/>
      <c r="X26" s="666"/>
      <c r="Y26" s="342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2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6"/>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26"/>
      <c r="Q28" s="1263" t="str">
        <f t="shared" si="8"/>
        <v>毗邻道路的类型与等级</v>
      </c>
      <c r="R28" s="667" t="s">
        <v>14</v>
      </c>
      <c r="S28" s="668">
        <f t="shared" si="10"/>
        <v>100</v>
      </c>
      <c r="T28" s="667" t="s">
        <v>14</v>
      </c>
      <c r="U28" s="668">
        <f t="shared" si="11"/>
        <v>100</v>
      </c>
      <c r="V28" s="667" t="s">
        <v>14</v>
      </c>
      <c r="W28" s="668">
        <f t="shared" si="12"/>
        <v>100</v>
      </c>
      <c r="X28" s="1265"/>
      <c r="Y28" s="342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26"/>
      <c r="Q29" s="1263"/>
      <c r="R29" s="667"/>
      <c r="S29" s="668"/>
      <c r="T29" s="667"/>
      <c r="U29" s="668"/>
      <c r="V29" s="667"/>
      <c r="W29" s="668"/>
      <c r="X29" s="1265"/>
      <c r="Y29" s="342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26"/>
      <c r="Q30" s="1263" t="str">
        <f t="shared" si="8"/>
        <v>土地级别</v>
      </c>
      <c r="R30" s="667" t="s">
        <v>14</v>
      </c>
      <c r="S30" s="668">
        <f t="shared" si="10"/>
        <v>100</v>
      </c>
      <c r="T30" s="667" t="s">
        <v>14</v>
      </c>
      <c r="U30" s="668">
        <f t="shared" si="11"/>
        <v>100</v>
      </c>
      <c r="V30" s="667" t="s">
        <v>14</v>
      </c>
      <c r="W30" s="668">
        <f t="shared" si="12"/>
        <v>100</v>
      </c>
      <c r="X30" s="1265"/>
      <c r="Y30" s="342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26"/>
      <c r="Q31" s="1263">
        <f t="shared" si="8"/>
        <v>111</v>
      </c>
      <c r="R31" s="667" t="s">
        <v>14</v>
      </c>
      <c r="S31" s="668">
        <f t="shared" si="10"/>
        <v>100</v>
      </c>
      <c r="T31" s="667" t="s">
        <v>14</v>
      </c>
      <c r="U31" s="668">
        <f t="shared" si="11"/>
        <v>100</v>
      </c>
      <c r="V31" s="667" t="s">
        <v>14</v>
      </c>
      <c r="W31" s="668">
        <f t="shared" si="12"/>
        <v>100</v>
      </c>
      <c r="X31" s="1265"/>
      <c r="Y31" s="3426"/>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9" t="s">
        <v>1696</v>
      </c>
      <c r="Q32" s="1263">
        <f t="shared" si="8"/>
        <v>111</v>
      </c>
      <c r="R32" s="667" t="s">
        <v>14</v>
      </c>
      <c r="S32" s="668">
        <f t="shared" si="10"/>
        <v>100</v>
      </c>
      <c r="T32" s="667" t="s">
        <v>14</v>
      </c>
      <c r="U32" s="668">
        <f t="shared" si="11"/>
        <v>100</v>
      </c>
      <c r="V32" s="667" t="s">
        <v>14</v>
      </c>
      <c r="W32" s="668">
        <f t="shared" si="12"/>
        <v>100</v>
      </c>
      <c r="X32" s="1265"/>
      <c r="Y32" s="3430"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30"/>
      <c r="Q33" s="1263">
        <f t="shared" si="8"/>
        <v>111</v>
      </c>
      <c r="R33" s="669" t="s">
        <v>14</v>
      </c>
      <c r="S33" s="670">
        <f t="shared" si="10"/>
        <v>100</v>
      </c>
      <c r="T33" s="669" t="s">
        <v>14</v>
      </c>
      <c r="U33" s="670">
        <f t="shared" si="11"/>
        <v>100</v>
      </c>
      <c r="V33" s="669" t="s">
        <v>14</v>
      </c>
      <c r="W33" s="670">
        <f t="shared" si="12"/>
        <v>100</v>
      </c>
      <c r="X33" s="671"/>
      <c r="Y33" s="343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30"/>
      <c r="Q34" s="1263" t="str">
        <f>B34</f>
        <v>宗地面积</v>
      </c>
      <c r="R34" s="667" t="s">
        <v>14</v>
      </c>
      <c r="S34" s="668" t="e">
        <f t="shared" si="10"/>
        <v>#N/A</v>
      </c>
      <c r="T34" s="667" t="s">
        <v>14</v>
      </c>
      <c r="U34" s="668" t="e">
        <f t="shared" si="11"/>
        <v>#N/A</v>
      </c>
      <c r="V34" s="667" t="s">
        <v>14</v>
      </c>
      <c r="W34" s="668" t="e">
        <f t="shared" si="12"/>
        <v>#N/A</v>
      </c>
      <c r="X34" s="1265"/>
      <c r="Y34" s="343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30"/>
      <c r="Q35" s="1263" t="str">
        <f t="shared" ref="Q35:Q40" si="14">B35</f>
        <v>宗地形状</v>
      </c>
      <c r="R35" s="667" t="s">
        <v>14</v>
      </c>
      <c r="S35" s="668">
        <f t="shared" si="10"/>
        <v>100</v>
      </c>
      <c r="T35" s="667" t="s">
        <v>14</v>
      </c>
      <c r="U35" s="668">
        <f t="shared" si="11"/>
        <v>100</v>
      </c>
      <c r="V35" s="667" t="s">
        <v>14</v>
      </c>
      <c r="W35" s="668">
        <f t="shared" si="12"/>
        <v>100</v>
      </c>
      <c r="X35" s="1265"/>
      <c r="Y35" s="3430"/>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430"/>
      <c r="Q36" s="1263" t="str">
        <f t="shared" si="14"/>
        <v>宗地开发程度</v>
      </c>
      <c r="R36" s="664" t="s">
        <v>14</v>
      </c>
      <c r="S36" s="665">
        <f t="shared" si="10"/>
        <v>100</v>
      </c>
      <c r="T36" s="664" t="s">
        <v>14</v>
      </c>
      <c r="U36" s="665">
        <f t="shared" si="11"/>
        <v>100</v>
      </c>
      <c r="V36" s="664" t="s">
        <v>14</v>
      </c>
      <c r="W36" s="665">
        <f t="shared" si="12"/>
        <v>100</v>
      </c>
      <c r="X36" s="666"/>
      <c r="Y36" s="343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30" t="s">
        <v>1696</v>
      </c>
      <c r="Q37" s="1263" t="str">
        <f t="shared" si="14"/>
        <v>工程地质条件</v>
      </c>
      <c r="R37" s="667" t="s">
        <v>14</v>
      </c>
      <c r="S37" s="668">
        <f t="shared" si="10"/>
        <v>100</v>
      </c>
      <c r="T37" s="667" t="s">
        <v>14</v>
      </c>
      <c r="U37" s="668">
        <f t="shared" si="11"/>
        <v>100</v>
      </c>
      <c r="V37" s="667" t="s">
        <v>14</v>
      </c>
      <c r="W37" s="668">
        <f t="shared" si="12"/>
        <v>100</v>
      </c>
      <c r="X37" s="1265"/>
      <c r="Y37" s="343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30"/>
      <c r="Q38" s="1263">
        <f t="shared" si="14"/>
        <v>111</v>
      </c>
      <c r="R38" s="667" t="s">
        <v>14</v>
      </c>
      <c r="S38" s="668">
        <f t="shared" si="10"/>
        <v>100</v>
      </c>
      <c r="T38" s="667" t="s">
        <v>14</v>
      </c>
      <c r="U38" s="668">
        <f t="shared" si="11"/>
        <v>100</v>
      </c>
      <c r="V38" s="667" t="s">
        <v>14</v>
      </c>
      <c r="W38" s="668">
        <f t="shared" si="12"/>
        <v>100</v>
      </c>
      <c r="X38" s="1265"/>
      <c r="Y38" s="343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30"/>
      <c r="Q39" s="1263">
        <f t="shared" si="14"/>
        <v>111</v>
      </c>
      <c r="R39" s="667" t="s">
        <v>14</v>
      </c>
      <c r="S39" s="668">
        <f t="shared" si="10"/>
        <v>100</v>
      </c>
      <c r="T39" s="667" t="s">
        <v>14</v>
      </c>
      <c r="U39" s="668">
        <f t="shared" si="11"/>
        <v>100</v>
      </c>
      <c r="V39" s="667" t="s">
        <v>14</v>
      </c>
      <c r="W39" s="668">
        <f t="shared" si="12"/>
        <v>100</v>
      </c>
      <c r="X39" s="1265"/>
      <c r="Y39" s="3430"/>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30"/>
      <c r="Q40" s="1263">
        <f t="shared" si="14"/>
        <v>111</v>
      </c>
      <c r="R40" s="669" t="s">
        <v>14</v>
      </c>
      <c r="S40" s="670">
        <f t="shared" si="10"/>
        <v>100</v>
      </c>
      <c r="T40" s="669" t="s">
        <v>14</v>
      </c>
      <c r="U40" s="670">
        <f t="shared" si="11"/>
        <v>100</v>
      </c>
      <c r="V40" s="669" t="s">
        <v>14</v>
      </c>
      <c r="W40" s="670">
        <f t="shared" si="12"/>
        <v>100</v>
      </c>
      <c r="X40" s="671"/>
      <c r="Y40" s="3430"/>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3"/>
      <c r="M41" s="2486"/>
      <c r="N41" s="2486"/>
      <c r="O41" s="2486"/>
      <c r="P41" s="3424" t="str">
        <f>A41</f>
        <v>成交单价</v>
      </c>
      <c r="Q41" s="3424"/>
      <c r="R41" s="3419">
        <f>E41</f>
        <v>0</v>
      </c>
      <c r="S41" s="3419"/>
      <c r="T41" s="3419">
        <f>G41</f>
        <v>0</v>
      </c>
      <c r="U41" s="3419"/>
      <c r="V41" s="3419">
        <f>I41</f>
        <v>0</v>
      </c>
      <c r="W41" s="3419"/>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424" t="str">
        <f>A42</f>
        <v>比较价值（元/平方米）</v>
      </c>
      <c r="Q42" s="3424"/>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21" t="str">
        <f>A43</f>
        <v>估价对象XX用房的比较价值（楼面单价，元/平方米）</v>
      </c>
      <c r="Q43" s="3422"/>
      <c r="R43" s="3452" t="e">
        <f>ROUND(IF(D42="简单平均",AVERAGE(R42:W42),R42*F42+T42*H42+V42*J42),0)</f>
        <v>#DIV/0!</v>
      </c>
      <c r="S43" s="3452"/>
      <c r="T43" s="3452"/>
      <c r="U43" s="3452"/>
      <c r="V43" s="3452"/>
      <c r="W43" s="345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407" t="s">
        <v>1887</v>
      </c>
      <c r="H50" s="3453"/>
      <c r="I50" s="1264" t="s">
        <v>1923</v>
      </c>
      <c r="J50" s="1264">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237.82</v>
      </c>
      <c r="F51" s="611" t="e">
        <f t="shared" ref="F51:F60" si="15">ROUND(B51*E51/10000,0)</f>
        <v>#DIV/0!</v>
      </c>
      <c r="G51" s="3406"/>
      <c r="H51" s="342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0.2</v>
      </c>
      <c r="D58" s="891">
        <v>0.25</v>
      </c>
      <c r="E58" s="209">
        <f>'数据-汇总表'!E13</f>
        <v>25.29</v>
      </c>
      <c r="F58" s="611" t="e">
        <f t="shared" si="15"/>
        <v>#DIV/0!</v>
      </c>
      <c r="G58" s="839" t="s">
        <v>1900</v>
      </c>
      <c r="H58" s="834" t="str">
        <f>IF(G58="商业",项目基本情况!B37,IF(G58="办公",项目基本情况!C37,IF(G58="住宅",项目基本情况!D37,项目基本情况!E37)))</f>
        <v>二级</v>
      </c>
      <c r="I58" s="727">
        <f>SUMIF(修正!A59:A70,H58,修正!G59:G70)</f>
        <v>0.2</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45" priority="13" stopIfTrue="1">
      <formula>$F$46="超过30%"</formula>
    </cfRule>
  </conditionalFormatting>
  <conditionalFormatting sqref="E47">
    <cfRule type="expression" dxfId="44" priority="53" stopIfTrue="1">
      <formula>#REF!+$F$47="超过20%"</formula>
    </cfRule>
  </conditionalFormatting>
  <conditionalFormatting sqref="E48">
    <cfRule type="expression" dxfId="43" priority="10" stopIfTrue="1">
      <formula>$F$48="超过30%"</formula>
    </cfRule>
  </conditionalFormatting>
  <conditionalFormatting sqref="F7:F40 H7:H40 J7:J40">
    <cfRule type="cellIs" dxfId="42" priority="1" operator="notEqual">
      <formula>100</formula>
    </cfRule>
  </conditionalFormatting>
  <conditionalFormatting sqref="F42">
    <cfRule type="expression" dxfId="41" priority="4">
      <formula>$D$42="简单平均"</formula>
    </cfRule>
  </conditionalFormatting>
  <conditionalFormatting sqref="F46:F48 H46:H48 J46:J48">
    <cfRule type="containsText" dxfId="40" priority="14" stopIfTrue="1" operator="containsText" text="超过">
      <formula>NOT(ISERROR(SEARCH("超过",F46)))</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G48">
    <cfRule type="expression" dxfId="37" priority="12" stopIfTrue="1">
      <formula>$H$48="超过30%"</formula>
    </cfRule>
  </conditionalFormatting>
  <conditionalFormatting sqref="H42">
    <cfRule type="expression" dxfId="36" priority="3">
      <formula>$D$42="简单平均"</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J42">
    <cfRule type="expression" dxfId="3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1" t="s">
        <v>2084</v>
      </c>
      <c r="D1" s="3462"/>
      <c r="E1" s="3462"/>
      <c r="F1" s="3462"/>
      <c r="G1" s="3462"/>
      <c r="H1" s="3462"/>
      <c r="I1" s="3462"/>
      <c r="J1" s="3462"/>
      <c r="K1" s="3462"/>
      <c r="L1" s="3462"/>
      <c r="M1" s="3462"/>
      <c r="N1" s="3462"/>
      <c r="O1" s="3462"/>
      <c r="P1" s="3462"/>
      <c r="Q1" s="3462"/>
      <c r="R1" s="3462"/>
      <c r="S1" s="346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2" t="s">
        <v>2073</v>
      </c>
      <c r="B2" s="2386">
        <f ca="1">SUMIF(B6:B13,"&lt;&gt;#ref!",B6:B13)</f>
        <v>0</v>
      </c>
      <c r="C2" s="1982" t="s">
        <v>2074</v>
      </c>
      <c r="D2" s="1982" t="s">
        <v>2075</v>
      </c>
      <c r="E2" s="2396">
        <f ca="1">SUMIF(E6:E13,"&lt;&gt;#ref!",E6:E13)</f>
        <v>0</v>
      </c>
      <c r="F2" s="2543"/>
      <c r="G2" s="2543"/>
      <c r="H2" s="2543"/>
      <c r="I2" s="2543"/>
      <c r="J2" s="2543"/>
      <c r="K2" s="2543"/>
      <c r="L2" s="2543"/>
      <c r="M2" s="2543"/>
      <c r="N2" s="2543"/>
      <c r="O2" s="2543"/>
      <c r="P2" s="2543"/>
    </row>
    <row r="3" spans="1:16" ht="15.75">
      <c r="A3" s="1982" t="s">
        <v>2076</v>
      </c>
      <c r="B3" s="2386" t="e">
        <f ca="1">ROUND(B2*10000/E2,0)</f>
        <v>#DIV/0!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f ca="1">SUMIF(INDIRECT("'"&amp;A6&amp;"'"&amp;"!A:A"),"总价",INDIRECT("'"&amp;A6&amp;"'"&amp;"!B:B"))</f>
        <v>0</v>
      </c>
      <c r="C6" s="1982"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K25" sqref="K2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3406</v>
      </c>
      <c r="C1" s="1717" t="s">
        <v>1563</v>
      </c>
      <c r="D1" s="190"/>
      <c r="E1" s="190"/>
      <c r="F1" s="190"/>
      <c r="G1" s="1062">
        <f>MATCH(B1,'数据-取费表'!A6:A16,0)+5</f>
        <v>6</v>
      </c>
      <c r="H1" s="998" t="str">
        <f>IF(ISERROR(FIND("住宅",B1)),"非住宅","住宅")</f>
        <v>住宅</v>
      </c>
    </row>
    <row r="2" spans="1:8" s="192" customFormat="1" ht="18" customHeight="1">
      <c r="A2" s="193" t="s">
        <v>1462</v>
      </c>
      <c r="B2" s="3121">
        <f ca="1">ROUND(IF(D2="——",C52/10000,C52/10000-E2),4)</f>
        <v>1699.5627999999999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71464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10240461.6</v>
      </c>
      <c r="D5" s="203" t="s">
        <v>1469</v>
      </c>
      <c r="E5" s="204" t="s">
        <v>1470</v>
      </c>
      <c r="F5" s="204" t="s">
        <v>1471</v>
      </c>
      <c r="G5" s="205"/>
    </row>
    <row r="6" spans="1:8" s="206" customFormat="1" ht="13.5" customHeight="1">
      <c r="A6" s="732" t="s">
        <v>1472</v>
      </c>
      <c r="B6" s="207" t="s">
        <v>1473</v>
      </c>
      <c r="C6" s="208">
        <f>基准地价修正!C33*'数据-汇总表'!F19</f>
        <v>9900446.5999999996</v>
      </c>
      <c r="D6" s="209"/>
      <c r="E6" s="210"/>
      <c r="F6" s="210"/>
      <c r="G6" s="211"/>
    </row>
    <row r="7" spans="1:8" s="206" customFormat="1" ht="13.5" customHeight="1">
      <c r="A7" s="732" t="s">
        <v>1474</v>
      </c>
      <c r="B7" s="207" t="s">
        <v>1475</v>
      </c>
      <c r="C7" s="212">
        <f>ROUND(C6*F7,0)</f>
        <v>301964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38051</v>
      </c>
      <c r="D8" s="214"/>
      <c r="E8" s="212"/>
      <c r="F8" s="213"/>
      <c r="G8" s="1714" t="s">
        <v>3441</v>
      </c>
    </row>
    <row r="9" spans="1:8" s="206" customFormat="1" ht="13.5" customHeight="1">
      <c r="A9" s="733" t="s">
        <v>355</v>
      </c>
      <c r="B9" s="216" t="s">
        <v>1478</v>
      </c>
      <c r="C9" s="217">
        <f ca="1">ROUND(D9*E9,0)</f>
        <v>38051</v>
      </c>
      <c r="D9" s="795">
        <f ca="1">IF(B1="",'数据-汇总表'!E5,IF(INDIRECT("'数据-取费表'!c"&amp;$G$1)="住宅",INDIRECT("'数据-取费表'!k"&amp;$G$1),0))</f>
        <v>237.82</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237.82</v>
      </c>
      <c r="E19" s="203">
        <f>'数据-取费表'!B31</f>
        <v>200</v>
      </c>
      <c r="F19" s="223"/>
      <c r="G19" s="1714" t="s">
        <v>3442</v>
      </c>
    </row>
    <row r="20" spans="1:7" s="206" customFormat="1" ht="13.5" customHeight="1">
      <c r="A20" s="247" t="s">
        <v>1574</v>
      </c>
      <c r="B20" s="202" t="s">
        <v>1575</v>
      </c>
      <c r="C20" s="224">
        <f ca="1">ROUND((C5+C19)*F20,0)</f>
        <v>102405</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626716</v>
      </c>
      <c r="D22" s="227">
        <f ca="1">C26</f>
        <v>8.9999999999999998E-4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623644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3072</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3102860</v>
      </c>
      <c r="D27" s="227">
        <f ca="1">C29</f>
        <v>8.9999999999999993E-3</v>
      </c>
      <c r="E27" s="228" t="s">
        <v>1514</v>
      </c>
      <c r="F27" s="238">
        <f ca="1">IF(B1="",'数据-取费表'!Q16,INDIRECT("'数据-取费表'!q"&amp;$G$1))</f>
        <v>0.3</v>
      </c>
      <c r="G27" s="239" t="s">
        <v>1515</v>
      </c>
    </row>
    <row r="28" spans="1:7" s="206" customFormat="1" ht="13.5" customHeight="1">
      <c r="A28" s="734" t="s">
        <v>346</v>
      </c>
      <c r="B28" s="240" t="s">
        <v>1516</v>
      </c>
      <c r="C28" s="241">
        <f ca="1">ROUND((C5+C19+C20)*F27,0)</f>
        <v>3102860</v>
      </c>
      <c r="D28" s="227"/>
      <c r="E28" s="228"/>
      <c r="F28" s="238"/>
      <c r="G28" s="239"/>
    </row>
    <row r="29" spans="1:7" s="206" customFormat="1" ht="13.5" customHeight="1">
      <c r="A29" s="734" t="s">
        <v>347</v>
      </c>
      <c r="B29" s="240" t="s">
        <v>1517</v>
      </c>
      <c r="C29" s="230">
        <f ca="1">ROUND(C21*F27,4)</f>
        <v>8.9999999999999993E-3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15518794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1246178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1070190</v>
      </c>
      <c r="D34" s="209"/>
      <c r="E34" s="212"/>
      <c r="F34" s="249"/>
      <c r="G34" s="211"/>
    </row>
    <row r="35" spans="1:7" ht="13.5" customHeight="1">
      <c r="A35" s="734" t="s">
        <v>351</v>
      </c>
      <c r="B35" s="207" t="s">
        <v>1527</v>
      </c>
      <c r="C35" s="212">
        <f ca="1">ROUND(C34*F35,0)</f>
        <v>53510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53510</v>
      </c>
      <c r="D36" s="212"/>
      <c r="E36" s="212"/>
      <c r="F36" s="251">
        <f>'数据-取费表'!B34</f>
        <v>0.05</v>
      </c>
      <c r="G36" s="252" t="s">
        <v>1530</v>
      </c>
    </row>
    <row r="37" spans="1:7" s="250" customFormat="1" ht="13.5" customHeight="1">
      <c r="A37" s="734" t="s">
        <v>353</v>
      </c>
      <c r="B37" s="207" t="s">
        <v>1531</v>
      </c>
      <c r="C37" s="241">
        <f ca="1">ROUND(E37*D37,0)</f>
        <v>47564</v>
      </c>
      <c r="D37" s="209">
        <f ca="1">D19</f>
        <v>237.82</v>
      </c>
      <c r="E37" s="241">
        <f>'数据-取费表'!B35</f>
        <v>200</v>
      </c>
      <c r="F37" s="251"/>
      <c r="G37" s="253"/>
    </row>
    <row r="38" spans="1:7" ht="13.5" customHeight="1">
      <c r="A38" s="734" t="s">
        <v>354</v>
      </c>
      <c r="B38" s="207" t="s">
        <v>1533</v>
      </c>
      <c r="C38" s="212">
        <f ca="1">ROUND(C34*F38,0)</f>
        <v>21404</v>
      </c>
      <c r="D38" s="212"/>
      <c r="E38" s="212"/>
      <c r="F38" s="251">
        <f>'数据-取费表'!B36</f>
        <v>0.02</v>
      </c>
      <c r="G38" s="211" t="s">
        <v>1528</v>
      </c>
    </row>
    <row r="39" spans="1:7" s="206" customFormat="1" ht="13.5" customHeight="1">
      <c r="A39" s="247" t="s">
        <v>1534</v>
      </c>
      <c r="B39" s="202" t="s">
        <v>1535</v>
      </c>
      <c r="C39" s="224">
        <f ca="1">ROUND(C33*F20,0)</f>
        <v>12462</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37759</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37385</v>
      </c>
      <c r="D42" s="230"/>
      <c r="E42" s="230"/>
      <c r="F42" s="231"/>
      <c r="G42" s="3360" t="s">
        <v>1591</v>
      </c>
    </row>
    <row r="43" spans="1:7" ht="13.5" customHeight="1">
      <c r="A43" s="734" t="s">
        <v>347</v>
      </c>
      <c r="B43" s="207" t="s">
        <v>1545</v>
      </c>
      <c r="C43" s="230">
        <f ca="1">ROUND(IF('数据-取费表'!B22&lt;=1,C39*F22*'数据-取费表'!B20/2,C39*(POWER((1+F22),'数据-取费表'!B20/2)-1)),0)</f>
        <v>374</v>
      </c>
      <c r="D43" s="230"/>
      <c r="E43" s="230"/>
      <c r="F43" s="231"/>
      <c r="G43" s="3361"/>
    </row>
    <row r="44" spans="1:7" ht="13.5" customHeight="1">
      <c r="A44" s="734" t="s">
        <v>348</v>
      </c>
      <c r="B44" s="207" t="s">
        <v>1546</v>
      </c>
      <c r="C44" s="230">
        <f ca="1">ROUND(IF('数据-取费表'!B22&lt;=1,C40*F22*'数据-取费表'!B20/2,C40*(POWER((1+F22),'数据-取费表'!B20/2)-1)),4)</f>
        <v>8.9999999999999998E-4</v>
      </c>
      <c r="D44" s="230"/>
      <c r="E44" s="230"/>
      <c r="F44" s="231"/>
      <c r="G44" s="3362"/>
    </row>
    <row r="45" spans="1:7" s="206" customFormat="1" ht="13.5" customHeight="1">
      <c r="A45" s="247" t="s">
        <v>1547</v>
      </c>
      <c r="B45" s="236" t="s">
        <v>1513</v>
      </c>
      <c r="C45" s="237">
        <f ca="1">C46</f>
        <v>377592</v>
      </c>
      <c r="D45" s="227">
        <f ca="1">C47</f>
        <v>8.9999999999999993E-3</v>
      </c>
      <c r="E45" s="228" t="s">
        <v>1539</v>
      </c>
      <c r="F45" s="238">
        <f ca="1">F27</f>
        <v>0.3</v>
      </c>
      <c r="G45" s="239" t="s">
        <v>1548</v>
      </c>
    </row>
    <row r="46" spans="1:7" s="206" customFormat="1" ht="13.5" customHeight="1">
      <c r="A46" s="734" t="s">
        <v>346</v>
      </c>
      <c r="B46" s="240" t="s">
        <v>1549</v>
      </c>
      <c r="C46" s="241">
        <f ca="1">ROUND((C33+C39)*F27,0)</f>
        <v>377592</v>
      </c>
      <c r="D46" s="255"/>
      <c r="E46" s="228"/>
      <c r="F46" s="238"/>
      <c r="G46" s="239"/>
    </row>
    <row r="47" spans="1:7" s="206" customFormat="1" ht="13.5" customHeight="1">
      <c r="A47" s="734" t="s">
        <v>347</v>
      </c>
      <c r="B47" s="240" t="s">
        <v>1550</v>
      </c>
      <c r="C47" s="230">
        <f ca="1">ROUND(C40*F27,4)</f>
        <v>8.9999999999999993E-3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1846042</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1476834</v>
      </c>
      <c r="D51" s="224"/>
      <c r="E51" s="224"/>
      <c r="F51" s="256"/>
      <c r="G51" s="226" t="s">
        <v>1560</v>
      </c>
    </row>
    <row r="52" spans="1:7" s="200" customFormat="1" ht="16.5" thickBot="1">
      <c r="A52" s="257" t="s">
        <v>1561</v>
      </c>
      <c r="B52" s="258"/>
      <c r="C52" s="259">
        <f ca="1">C31+C51</f>
        <v>16995628</v>
      </c>
      <c r="D52" s="258"/>
      <c r="E52" s="258"/>
      <c r="F52" s="258"/>
      <c r="G52" s="260"/>
    </row>
    <row r="55" spans="1:7" ht="15">
      <c r="B55" s="262" t="s">
        <v>1562</v>
      </c>
      <c r="C55" s="263"/>
    </row>
    <row r="56" spans="1:7">
      <c r="B56" s="265" t="s">
        <v>802</v>
      </c>
      <c r="C56" s="267">
        <f ca="1">1-C57</f>
        <v>0.91300000000000003</v>
      </c>
    </row>
    <row r="57" spans="1:7">
      <c r="B57" s="265" t="s">
        <v>803</v>
      </c>
      <c r="C57" s="266">
        <f ca="1">ROUND(C51/C52,3)</f>
        <v>8.6999999999999994E-2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42" sqref="C42"/>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4" t="s">
        <v>1935</v>
      </c>
      <c r="D2" s="162" t="s">
        <v>1936</v>
      </c>
      <c r="E2" s="3119" t="s">
        <v>3406</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Ⅱ—18</v>
      </c>
      <c r="J2" s="1840"/>
      <c r="K2" s="1056"/>
      <c r="L2" s="1845" t="s">
        <v>1939</v>
      </c>
      <c r="M2" s="811">
        <f>SUMPRODUCT((区片价!B10:B29=I2)*(区片价!C3:G3=E2)*(区片价!C10:G29))</f>
        <v>28300</v>
      </c>
      <c r="N2" s="813">
        <f>SUMPRODUCT((因素修正幅度!B10:B29=I2)*(因素修正幅度!C3:G3=E2)*(因素修正幅度!C10:G29))</f>
        <v>6.4000000000000001E-2</v>
      </c>
      <c r="O2" s="1056"/>
      <c r="P2" s="1056"/>
      <c r="Q2" s="1056"/>
      <c r="R2" s="1129">
        <v>1</v>
      </c>
      <c r="S2" s="3062">
        <f>ROUND(SUMPRODUCT((B106:B110=R2)*(C105:N105=G2)*(C106:N110)),4)</f>
        <v>1.5206</v>
      </c>
      <c r="T2" s="3062">
        <f t="shared" ref="T2:T16" si="0">ROUND($C$5*$C$22*$C$23*$C$24*S2*$C$28,0)</f>
        <v>65402</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4" t="s">
        <v>1941</v>
      </c>
      <c r="D3" s="162" t="s">
        <v>1942</v>
      </c>
      <c r="E3" s="3117" t="s">
        <v>3415</v>
      </c>
      <c r="F3" s="1846"/>
      <c r="G3" s="708">
        <f>IF(F3="宗地容积率",'数据-汇总表'!I4,IF(F3="估价对象容积率",'数据-汇总表'!I6,'数据-汇总表'!I7))</f>
        <v>3</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1.2072000000000001</v>
      </c>
      <c r="T3" s="3062">
        <f t="shared" si="0"/>
        <v>51922</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71"/>
      <c r="B4" s="3472"/>
      <c r="C4" s="3472"/>
      <c r="D4" s="3473"/>
      <c r="E4" s="3473"/>
      <c r="F4" s="3473"/>
      <c r="G4" s="3473"/>
      <c r="H4" s="3473"/>
      <c r="I4" s="3473"/>
      <c r="J4" s="3474"/>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1.0430999999999999</v>
      </c>
      <c r="T4" s="3062">
        <f t="shared" si="0"/>
        <v>44864</v>
      </c>
      <c r="U4" s="1130"/>
      <c r="V4" s="3062">
        <f t="shared" si="1"/>
        <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f>ROUND(IF(E2="商业",C6*C7*C17+C20,(IF(E2="住宅",C6*C13*C17+C20,IF(E2="办公",C6*C12*C17+C20,C6+C20)))),0)</f>
        <v>41171</v>
      </c>
      <c r="D5" s="1252">
        <f>ROUND(C6*C17+C20,0)</f>
        <v>28300</v>
      </c>
      <c r="E5" s="1252"/>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0.94389999999999996</v>
      </c>
      <c r="T5" s="3062">
        <f t="shared" si="0"/>
        <v>40598</v>
      </c>
      <c r="U5" s="1130"/>
      <c r="V5" s="3062">
        <f t="shared" si="1"/>
        <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28300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0.89959999999999996</v>
      </c>
      <c r="T6" s="3062">
        <f t="shared" si="0"/>
        <v>38692</v>
      </c>
      <c r="U6" s="1130"/>
      <c r="V6" s="3062">
        <f t="shared" si="1"/>
        <v>0</v>
      </c>
      <c r="W6" s="1133"/>
      <c r="X6" s="1133"/>
      <c r="Y6" s="1133"/>
      <c r="Z6" s="1133"/>
      <c r="AA6" s="1133"/>
      <c r="AB6" s="1133"/>
      <c r="AC6" s="1853"/>
      <c r="AD6" s="1854"/>
      <c r="AE6" s="1854"/>
      <c r="AF6" s="1854"/>
      <c r="AG6" s="1854"/>
      <c r="AH6" s="1854"/>
      <c r="AI6" s="1854"/>
      <c r="AJ6" s="1855"/>
    </row>
    <row r="7" spans="1:36" ht="24.75" thickBot="1">
      <c r="A7" s="3011" t="s">
        <v>3237</v>
      </c>
      <c r="B7" s="1863" t="s">
        <v>1952</v>
      </c>
      <c r="C7" s="711" t="e">
        <f>IF(C8="不临65条商业街",1,ROUND(1+(1.6*E8+1.2*E9+0.8*E10+0.4*E11)*C9,4))</f>
        <v>#DIV/0!</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二级</v>
      </c>
      <c r="Y7" s="1131" t="s">
        <v>1956</v>
      </c>
      <c r="Z7" s="1132">
        <f>G3</f>
        <v>3</v>
      </c>
      <c r="AA7" s="1133"/>
      <c r="AB7" s="1133"/>
      <c r="AC7" s="1134"/>
      <c r="AD7" s="1135"/>
      <c r="AE7" s="1135"/>
      <c r="AF7" s="1135"/>
      <c r="AG7" s="1135"/>
      <c r="AH7" s="1135"/>
      <c r="AI7" s="1135"/>
      <c r="AJ7" s="1136"/>
    </row>
    <row r="8" spans="1:36" ht="15">
      <c r="A8" s="3008"/>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68" t="s">
        <v>1960</v>
      </c>
      <c r="X8" s="346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70"/>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3242</v>
      </c>
      <c r="B13" s="1876" t="s">
        <v>1982</v>
      </c>
      <c r="C13" s="711">
        <f>ROUND(C16*D16*E16*F16*G16*H16*I16*J16,4)</f>
        <v>1.4548000000000001</v>
      </c>
      <c r="D13" s="1877" t="s">
        <v>1983</v>
      </c>
      <c r="E13" s="1878"/>
      <c r="F13" s="1878"/>
      <c r="G13" s="1879"/>
      <c r="H13" s="1879"/>
      <c r="I13" s="1879"/>
      <c r="J13" s="1880"/>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1" t="s">
        <v>1985</v>
      </c>
      <c r="C14" s="1882"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3"/>
      <c r="C15" s="1884" t="s">
        <v>3428</v>
      </c>
      <c r="D15" s="1885" t="s">
        <v>3428</v>
      </c>
      <c r="E15" s="1886" t="s">
        <v>3446</v>
      </c>
      <c r="F15" s="1470" t="s">
        <v>3244</v>
      </c>
      <c r="G15" s="1926"/>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v>1.1499999999999999</v>
      </c>
      <c r="D16" s="3023">
        <v>1.1000000000000001</v>
      </c>
      <c r="E16" s="3023">
        <v>1.1499999999999999</v>
      </c>
      <c r="F16" s="3023">
        <v>1</v>
      </c>
      <c r="G16" s="3023">
        <v>1</v>
      </c>
      <c r="H16" s="3023">
        <v>1</v>
      </c>
      <c r="I16" s="3023">
        <v>1</v>
      </c>
      <c r="J16" s="3024">
        <v>1</v>
      </c>
      <c r="K16" s="1056"/>
      <c r="L16" s="1842"/>
      <c r="M16" s="1842"/>
      <c r="N16" s="1842"/>
      <c r="O16" s="1842"/>
      <c r="P16" s="1842"/>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3248</v>
      </c>
      <c r="E18" s="2355"/>
      <c r="F18" s="3029" t="s">
        <v>3251</v>
      </c>
      <c r="G18" s="3033">
        <f>ROUND(1-(1/(POWER(1+G24,E18))),4)</f>
        <v>0</v>
      </c>
      <c r="H18" s="3029" t="s">
        <v>3253</v>
      </c>
      <c r="I18" s="3033">
        <f>ROUND(1-(1/(POWER(1+G24,J24))),4)</f>
        <v>0.96709999999999996</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3249</v>
      </c>
      <c r="E19" s="3042"/>
      <c r="F19" s="3043" t="s">
        <v>3252</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475" t="s">
        <v>3254</v>
      </c>
      <c r="B20" s="159" t="s">
        <v>1994</v>
      </c>
      <c r="C20" s="3030">
        <f>ROUND(IF(F21="与级别开发程度一致",0,(G21-E21)/C21),0)</f>
        <v>0</v>
      </c>
      <c r="D20" s="3045" t="s">
        <v>1998</v>
      </c>
      <c r="E20" s="3046"/>
      <c r="F20" s="3481" t="s">
        <v>1995</v>
      </c>
      <c r="G20" s="3482"/>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26.25" thickBot="1">
      <c r="A21" s="3476"/>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375</v>
      </c>
      <c r="F21" s="1992" t="s">
        <v>3429</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2000</v>
      </c>
      <c r="C22" s="1996">
        <f>SUMIF(修正!C20:C53,E3,修正!E20:E53)</f>
        <v>1</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1894" t="s">
        <v>2002</v>
      </c>
      <c r="E23" s="717">
        <v>44197</v>
      </c>
      <c r="F23" s="1894" t="s">
        <v>2003</v>
      </c>
      <c r="G23" s="718">
        <f>'数据-取费表'!B2</f>
        <v>45875</v>
      </c>
      <c r="H23" s="3047" t="s">
        <v>3256</v>
      </c>
      <c r="I23" s="3048" t="str">
        <f>IF(H23="季度增幅（自定义）",SUMIF(N25:N28,E2,O25:O28),"")</f>
        <v/>
      </c>
      <c r="J23" s="3140" t="s">
        <v>3255</v>
      </c>
      <c r="K23" s="1061"/>
      <c r="L23" s="1895" t="s">
        <v>2004</v>
      </c>
      <c r="M23" s="1241">
        <f>ROUND(SUMIF(地价!B2:G2,E2,地价!B16:G16),0)</f>
        <v>687</v>
      </c>
      <c r="N23" s="1896"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f>ROUND(POWER(1+G24,J24-I24)*(POWER(1+G24,I24)-1)/(POWER(1+G24,J24)-1),4)</f>
        <v>0.91890000000000005</v>
      </c>
      <c r="D24" s="1900" t="s">
        <v>2007</v>
      </c>
      <c r="E24" s="1248">
        <f>存贷款利率!E28/100</f>
        <v>4.3499999999999997E-2</v>
      </c>
      <c r="F24" s="1900" t="s">
        <v>1999</v>
      </c>
      <c r="G24" s="724">
        <f>SUMIF(M30:Q30,E2,M33:Q33)</f>
        <v>0.05</v>
      </c>
      <c r="H24" s="1900" t="s">
        <v>2008</v>
      </c>
      <c r="I24" s="725">
        <f>SUMIF('数据-取费表'!C6:C15,E2,'数据-取费表'!F6:F15)/COUNTIF('数据-取费表'!C6:C15,E2)</f>
        <v>45</v>
      </c>
      <c r="J24" s="726">
        <f>IF(E2="住宅",70,IF(E2="商业",40,50))</f>
        <v>70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3335</v>
      </c>
      <c r="C25" s="461">
        <f>IF(B25="容积率修正",IF(G3&lt;10,D26,J26),C27)</f>
        <v>0.96789999999999998</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3257</v>
      </c>
      <c r="D26" s="1263">
        <f>IF(E26=G26,F26,IF(G3&lt;10,ROUND(F26+(H26-F26)*(G3-E26)/(G26-E26),4),"——"))</f>
        <v>0.96789999999999998</v>
      </c>
      <c r="E26" s="708">
        <f>ROUNDDOWN(G3,1)</f>
        <v>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0.96789999999999998</v>
      </c>
      <c r="G26" s="708">
        <f>ROUNDUP(G3,1)</f>
        <v>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0.96789999999999998</v>
      </c>
      <c r="I26" s="1910" t="s">
        <v>3258</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1.0636000000000001</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f>IF(B25="容积率修正",E33+SUM(E37:E42),SUM(V2:V16)+SUM(E37:E42))</f>
        <v>0</v>
      </c>
      <c r="D30" s="1923"/>
      <c r="E30" s="1840"/>
      <c r="F30" s="1924"/>
      <c r="G30" s="1840"/>
      <c r="H30" s="1840"/>
      <c r="I30" s="1840"/>
      <c r="J30" s="1925"/>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f>E34+SUM(I37:I42)</f>
        <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f>ROUND(C5*C22*C23*C24*C25*C28,0)</f>
        <v>41630</v>
      </c>
      <c r="D33" s="1938"/>
      <c r="E33" s="727">
        <f>ROUND(C33*D33/10000,0)</f>
        <v>0</v>
      </c>
      <c r="F33" s="3049" t="s">
        <v>3260</v>
      </c>
      <c r="G33" s="1939"/>
      <c r="H33" s="1939"/>
      <c r="I33" s="1939"/>
      <c r="J33" s="1940"/>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f>ROUND(IF(E2="工业",C33*M42,IF(B25="楼层修正",SUM(V2:V16)*M41*10000/D34,C33*M41)),0)</f>
        <v>10408</v>
      </c>
      <c r="D34" s="1943"/>
      <c r="E34" s="727">
        <f>ROUND(IF(B25="楼层修正",SUM(V2:V16)*M40,C34*D34/10000),0)</f>
        <v>0</v>
      </c>
      <c r="F34" s="1944" t="s">
        <v>2032</v>
      </c>
      <c r="G34" s="1945"/>
      <c r="H34" s="1945"/>
      <c r="I34" s="1945"/>
      <c r="J34" s="1946"/>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3261</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3265</v>
      </c>
      <c r="L36" s="3141">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79"/>
      <c r="B37" s="1953" t="s">
        <v>2036</v>
      </c>
      <c r="C37" s="167">
        <f>ROUND(D5*C22*C23*C24*C28*F37,0)</f>
        <v>20695</v>
      </c>
      <c r="D37" s="1938"/>
      <c r="E37" s="163">
        <f>ROUND(C37*D37/10000,0)</f>
        <v>0</v>
      </c>
      <c r="F37" s="163">
        <f>SUMIF(修正!A59:A70,G2,修正!B59:B70)</f>
        <v>0.7</v>
      </c>
      <c r="G37" s="163">
        <f>ROUND(IF(E2="工业",C37*$M$42,C37*$M$41),0)</f>
        <v>5174</v>
      </c>
      <c r="H37" s="163">
        <f>D37</f>
        <v>0</v>
      </c>
      <c r="I37" s="163">
        <f>ROUND(G37*H37/10000,0)</f>
        <v>0</v>
      </c>
      <c r="J37" s="2753"/>
      <c r="K37" s="3060" t="s">
        <v>3266</v>
      </c>
      <c r="L37" s="1962">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80"/>
      <c r="B38" s="1882" t="s">
        <v>2037</v>
      </c>
      <c r="C38" s="167">
        <f>ROUND(D5*C22*C23*C24*C28*F38,0)</f>
        <v>11826</v>
      </c>
      <c r="D38" s="1938"/>
      <c r="E38" s="163">
        <f t="shared" ref="E38:E42" si="4">ROUND(C38*D38/10000,0)</f>
        <v>0</v>
      </c>
      <c r="F38" s="163">
        <f>SUMIF(修正!A59:A70,G2,修正!C59:C70)</f>
        <v>0.4</v>
      </c>
      <c r="G38" s="163">
        <f>ROUND(IF(E2="工业",C38*$M$42,C38*$M$41),0)</f>
        <v>2957</v>
      </c>
      <c r="H38" s="163">
        <f t="shared" ref="H38:H42" si="5">D38</f>
        <v>0</v>
      </c>
      <c r="I38" s="163">
        <f t="shared" ref="I38:I42" si="6">ROUND(G38*H38/10000,0)</f>
        <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80"/>
      <c r="B39" s="1882" t="s">
        <v>3259</v>
      </c>
      <c r="C39" s="167">
        <f>ROUND(D5*C22*C23*C24*C28*F39,0)</f>
        <v>8869</v>
      </c>
      <c r="D39" s="1938"/>
      <c r="E39" s="163">
        <f t="shared" si="4"/>
        <v>0</v>
      </c>
      <c r="F39" s="163">
        <f>SUMIF(修正!A59:A70,G2,修正!D59:D70)</f>
        <v>0.3</v>
      </c>
      <c r="G39" s="163">
        <f>ROUND(IF(E2="工业",C39*$M$42,C39*$M$41),0)</f>
        <v>2217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8869</v>
      </c>
      <c r="D40" s="1938"/>
      <c r="E40" s="163">
        <f t="shared" si="4"/>
        <v>0</v>
      </c>
      <c r="F40" s="167">
        <f>SUMIF(修正!A59:A70,G2,修正!E59:E70)</f>
        <v>0.3</v>
      </c>
      <c r="G40" s="163">
        <f>ROUND(IF(E2="工业",C40*$M$42,C40*$M$41),0)</f>
        <v>2217</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7451</v>
      </c>
      <c r="D41" s="1938"/>
      <c r="E41" s="163">
        <f t="shared" si="4"/>
        <v>0</v>
      </c>
      <c r="F41" s="167">
        <f>SUMIF(修正!A59:A70,G2,修正!F59:F70)</f>
        <v>0.3</v>
      </c>
      <c r="G41" s="163">
        <f>ROUND(IF(E2="工业",C41*$M$42,C41*$M$41),0)</f>
        <v>1863</v>
      </c>
      <c r="H41" s="163">
        <f t="shared" si="5"/>
        <v>0</v>
      </c>
      <c r="I41" s="163">
        <f t="shared" si="6"/>
        <v>0</v>
      </c>
      <c r="J41" s="939"/>
      <c r="L41" s="3061" t="s">
        <v>3267</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4968</v>
      </c>
      <c r="D42" s="1943"/>
      <c r="E42" s="179">
        <f t="shared" si="4"/>
        <v>0</v>
      </c>
      <c r="F42" s="723">
        <f>SUMIF(修正!A59:A70,G2,修正!G59:G70)</f>
        <v>0.2</v>
      </c>
      <c r="G42" s="179">
        <f>ROUND(IF(E2="工业",C42*$M$42,C42*$M$41),0)</f>
        <v>1242</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0.77200000000000002</v>
      </c>
      <c r="D44" s="163" t="s">
        <v>1999</v>
      </c>
      <c r="E44" s="1989">
        <f>G24</f>
        <v>0.05</v>
      </c>
      <c r="F44" s="163" t="s">
        <v>2008</v>
      </c>
      <c r="G44" s="175">
        <f>项目基本情况!F15</f>
        <v>25</v>
      </c>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5" t="s">
        <v>2043</v>
      </c>
      <c r="B48" s="1966">
        <f>1+E50</f>
        <v>1</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2053</v>
      </c>
      <c r="B51" s="1262" t="str">
        <f>估价对象房地状况!C18</f>
        <v>估价对象周边道路状况、公共交通通达情况、停车便捷程度，综合评价交通便捷度较好</v>
      </c>
      <c r="C51" s="1885"/>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3269</v>
      </c>
      <c r="B52" s="1262">
        <f>估价对象房地状况!C19</f>
        <v>0</v>
      </c>
      <c r="C52" s="1885"/>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2">
        <f>估价对象房地状况!C24</f>
        <v>0</v>
      </c>
      <c r="C54" s="1885"/>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40" t="str">
        <f>估价对象房地状况!C21</f>
        <v>估价对象所在区域公共配套设施齐备情况</v>
      </c>
      <c r="C56" s="1885"/>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2" t="str">
        <f>估价对象房地状况!C22</f>
        <v>估价对象所在区域基础设施水平</v>
      </c>
      <c r="C57" s="1885"/>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2" t="str">
        <f>估价对象房地状况!C18</f>
        <v>估价对象周边道路状况、公共交通通达情况、停车便捷程度，综合评价交通便捷度较好</v>
      </c>
      <c r="C62" s="1885"/>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3269</v>
      </c>
      <c r="B63" s="1262">
        <f>估价对象房地状况!C19</f>
        <v>0</v>
      </c>
      <c r="C63" s="1885"/>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2">
        <f>估价对象房地状况!C24</f>
        <v>0</v>
      </c>
      <c r="C65" s="1885"/>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40" t="str">
        <f>估价对象房地状况!C21</f>
        <v>估价对象所在区域公共配套设施齐备情况</v>
      </c>
      <c r="C67" s="1885"/>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40" t="str">
        <f>估价对象房地状况!C22</f>
        <v>估价对象所在区域基础设施水平</v>
      </c>
      <c r="C68" s="1885"/>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1.0636000000000001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t="s">
        <v>3462</v>
      </c>
      <c r="D72" s="1002">
        <f>SUMIF($J$71:$N$71,C72,J72:N72)</f>
        <v>1.2800000000000001E-2</v>
      </c>
      <c r="E72" s="702">
        <f>ROUND(SUM(D72:D80),4)</f>
        <v>6.3600000000000004E-2</v>
      </c>
      <c r="F72" s="1675">
        <f>IF(E2="住宅",SUMIF(L1:L12,G2,N1:N12),"——")</f>
        <v>6.4000000000000001E-2</v>
      </c>
      <c r="G72" s="1000">
        <v>6.4000000000000003E-3</v>
      </c>
      <c r="H72" s="1003">
        <f t="shared" ref="H72:H80" si="17">IFERROR(ROUNDDOWN($F$72*I72/2,4),"——")</f>
        <v>6.4000000000000003E-3</v>
      </c>
      <c r="I72" s="3067">
        <v>0.2</v>
      </c>
      <c r="J72" s="1001">
        <f t="shared" ref="J72:J80" si="18">K72+$G72</f>
        <v>1.2800000000000001E-2</v>
      </c>
      <c r="K72" s="1001">
        <f t="shared" ref="K72:K80" si="19">$L72+$G72</f>
        <v>6.4000000000000003E-3</v>
      </c>
      <c r="L72" s="1001">
        <v>0</v>
      </c>
      <c r="M72" s="1001">
        <f t="shared" ref="M72:N80" si="20">L72-$G72</f>
        <v>-6.4000000000000003E-3</v>
      </c>
      <c r="N72" s="1001">
        <f t="shared" si="20"/>
        <v>-1.2800000000000001E-2</v>
      </c>
      <c r="AA72" s="1057"/>
      <c r="AB72" s="1057"/>
      <c r="AC72" s="1057"/>
      <c r="AD72" s="1057"/>
      <c r="AE72" s="1057"/>
      <c r="AF72" s="1057"/>
      <c r="AG72" s="1057"/>
      <c r="AH72" s="1057"/>
      <c r="AI72" s="1057"/>
      <c r="AJ72" s="1057"/>
      <c r="AK72" s="1057"/>
    </row>
    <row r="73" spans="1:37" s="1056" customFormat="1" ht="38.25">
      <c r="A73" s="1968" t="s">
        <v>2053</v>
      </c>
      <c r="B73" s="1262" t="str">
        <f>估价对象房地状况!C18</f>
        <v>估价对象周边道路状况、公共交通通达情况、停车便捷程度，综合评价交通便捷度较好</v>
      </c>
      <c r="C73" s="1885" t="s">
        <v>3462</v>
      </c>
      <c r="D73" s="1002">
        <f>SUMIF($J$71:$N$71,C73,J73:N73)</f>
        <v>1.66E-2</v>
      </c>
      <c r="E73" s="705"/>
      <c r="F73" s="1675"/>
      <c r="G73" s="1000">
        <v>8.3000000000000001E-3</v>
      </c>
      <c r="H73" s="1003">
        <f t="shared" si="17"/>
        <v>8.3000000000000001E-3</v>
      </c>
      <c r="I73" s="3067">
        <v>0.26</v>
      </c>
      <c r="J73" s="1001">
        <f t="shared" si="18"/>
        <v>1.66E-2</v>
      </c>
      <c r="K73" s="1001">
        <f t="shared" si="19"/>
        <v>8.3000000000000001E-3</v>
      </c>
      <c r="L73" s="1001">
        <v>0</v>
      </c>
      <c r="M73" s="1001">
        <f t="shared" si="20"/>
        <v>-8.3000000000000001E-3</v>
      </c>
      <c r="N73" s="1001">
        <f t="shared" si="20"/>
        <v>-1.66E-2</v>
      </c>
      <c r="AA73" s="1057"/>
      <c r="AB73" s="1057"/>
      <c r="AC73" s="1057"/>
      <c r="AD73" s="1057"/>
      <c r="AE73" s="1057"/>
      <c r="AF73" s="1057"/>
      <c r="AG73" s="1057"/>
      <c r="AH73" s="1057"/>
      <c r="AI73" s="1057"/>
      <c r="AJ73" s="1057"/>
      <c r="AK73" s="1057"/>
    </row>
    <row r="74" spans="1:37" s="1842" customFormat="1" ht="36">
      <c r="A74" s="3069" t="s">
        <v>3269</v>
      </c>
      <c r="B74" s="1262">
        <f>估价对象房地状况!C19</f>
        <v>0</v>
      </c>
      <c r="C74" s="1885" t="s">
        <v>3462</v>
      </c>
      <c r="D74" s="1002">
        <f t="shared" ref="D74:D80" si="21">SUMIF($J$71:$N$71,C74,J74:N74)</f>
        <v>6.4000000000000003E-3</v>
      </c>
      <c r="E74" s="705"/>
      <c r="F74" s="1675"/>
      <c r="G74" s="1000">
        <v>3.2000000000000002E-3</v>
      </c>
      <c r="H74" s="1003">
        <f t="shared" si="17"/>
        <v>3.2000000000000002E-3</v>
      </c>
      <c r="I74" s="3067">
        <v>0.1</v>
      </c>
      <c r="J74" s="1001">
        <f t="shared" si="18"/>
        <v>6.4000000000000003E-3</v>
      </c>
      <c r="K74" s="1001">
        <f t="shared" si="19"/>
        <v>3.2000000000000002E-3</v>
      </c>
      <c r="L74" s="1001">
        <v>0</v>
      </c>
      <c r="M74" s="1001">
        <f t="shared" si="20"/>
        <v>-3.2000000000000002E-3</v>
      </c>
      <c r="N74" s="1001">
        <f t="shared" si="20"/>
        <v>-6.4000000000000003E-3</v>
      </c>
      <c r="O74" s="1056"/>
      <c r="P74" s="1056"/>
      <c r="Q74" s="1056"/>
      <c r="AA74" s="1978"/>
      <c r="AB74" s="1057"/>
      <c r="AC74" s="1057"/>
      <c r="AD74" s="1057"/>
      <c r="AE74" s="1057"/>
      <c r="AF74" s="1057"/>
      <c r="AG74" s="1057"/>
      <c r="AH74" s="1978"/>
      <c r="AI74" s="1978"/>
      <c r="AJ74" s="1978"/>
      <c r="AK74" s="1978"/>
    </row>
    <row r="75" spans="1:37" ht="14.25">
      <c r="A75" s="1968" t="s">
        <v>2067</v>
      </c>
      <c r="B75" s="1262">
        <f>估价对象房地状况!C24</f>
        <v>0</v>
      </c>
      <c r="C75" s="1885" t="s">
        <v>3462</v>
      </c>
      <c r="D75" s="1002">
        <f t="shared" si="21"/>
        <v>3.2000000000000002E-3</v>
      </c>
      <c r="E75" s="705"/>
      <c r="F75" s="1675"/>
      <c r="G75" s="1000">
        <v>1.6000000000000001E-3</v>
      </c>
      <c r="H75" s="1003">
        <f t="shared" si="17"/>
        <v>1.6000000000000001E-3</v>
      </c>
      <c r="I75" s="3067">
        <v>0.05</v>
      </c>
      <c r="J75" s="1001">
        <f t="shared" si="18"/>
        <v>3.2000000000000002E-3</v>
      </c>
      <c r="K75" s="1001">
        <f t="shared" si="19"/>
        <v>1.6000000000000001E-3</v>
      </c>
      <c r="L75" s="1001">
        <v>0</v>
      </c>
      <c r="M75" s="1001">
        <f t="shared" si="20"/>
        <v>-1.6000000000000001E-3</v>
      </c>
      <c r="N75" s="1001">
        <f t="shared" si="20"/>
        <v>-3.2000000000000002E-3</v>
      </c>
      <c r="O75" s="1056"/>
      <c r="P75" s="1056"/>
      <c r="Q75" s="1842"/>
      <c r="Z75" s="1843"/>
      <c r="AA75" s="1893"/>
      <c r="AG75" s="1058"/>
      <c r="AK75" s="1893"/>
    </row>
    <row r="76" spans="1:37" ht="25.5">
      <c r="A76" s="1968" t="s">
        <v>2059</v>
      </c>
      <c r="B76" s="1240" t="str">
        <f>估价对象房地状况!C21</f>
        <v>估价对象所在区域公共配套设施齐备情况</v>
      </c>
      <c r="C76" s="1885" t="s">
        <v>3462</v>
      </c>
      <c r="D76" s="1002">
        <f t="shared" si="21"/>
        <v>5.0000000000000001E-3</v>
      </c>
      <c r="E76" s="705"/>
      <c r="F76" s="1675"/>
      <c r="G76" s="1000">
        <v>2.5000000000000001E-3</v>
      </c>
      <c r="H76" s="1003">
        <f t="shared" si="17"/>
        <v>2.5000000000000001E-3</v>
      </c>
      <c r="I76" s="3067">
        <v>0.08</v>
      </c>
      <c r="J76" s="1001">
        <f t="shared" si="18"/>
        <v>5.0000000000000001E-3</v>
      </c>
      <c r="K76" s="1001">
        <f t="shared" si="19"/>
        <v>2.5000000000000001E-3</v>
      </c>
      <c r="L76" s="1001">
        <v>0</v>
      </c>
      <c r="M76" s="1001">
        <f t="shared" si="20"/>
        <v>-2.5000000000000001E-3</v>
      </c>
      <c r="N76" s="1001">
        <f t="shared" si="20"/>
        <v>-5.0000000000000001E-3</v>
      </c>
      <c r="O76" s="1056"/>
      <c r="P76" s="1056"/>
      <c r="Z76" s="1843"/>
      <c r="AA76" s="1893"/>
      <c r="AG76" s="1058"/>
      <c r="AK76" s="1893"/>
    </row>
    <row r="77" spans="1:37" ht="25.5">
      <c r="A77" s="1968" t="s">
        <v>2060</v>
      </c>
      <c r="B77" s="1240" t="str">
        <f>估价对象房地状况!C22</f>
        <v>估价对象所在区域基础设施水平</v>
      </c>
      <c r="C77" s="1885" t="s">
        <v>3462</v>
      </c>
      <c r="D77" s="1002">
        <f t="shared" si="21"/>
        <v>5.5999999999999999E-3</v>
      </c>
      <c r="E77" s="705"/>
      <c r="F77" s="1675"/>
      <c r="G77" s="1000">
        <v>2.8E-3</v>
      </c>
      <c r="H77" s="1003">
        <f t="shared" si="17"/>
        <v>2.8E-3</v>
      </c>
      <c r="I77" s="3067">
        <v>0.09</v>
      </c>
      <c r="J77" s="1001">
        <f t="shared" si="18"/>
        <v>5.5999999999999999E-3</v>
      </c>
      <c r="K77" s="1001">
        <f t="shared" si="19"/>
        <v>2.8E-3</v>
      </c>
      <c r="L77" s="1001">
        <v>0</v>
      </c>
      <c r="M77" s="1001">
        <f t="shared" si="20"/>
        <v>-2.8E-3</v>
      </c>
      <c r="N77" s="1001">
        <f t="shared" si="20"/>
        <v>-5.5999999999999999E-3</v>
      </c>
      <c r="O77" s="1056"/>
      <c r="P77" s="1056"/>
      <c r="Z77" s="1843"/>
      <c r="AA77" s="1893"/>
      <c r="AG77" s="1058"/>
      <c r="AK77" s="1893"/>
    </row>
    <row r="78" spans="1:37" ht="24">
      <c r="A78" s="1968" t="s">
        <v>2057</v>
      </c>
      <c r="B78" s="1973" t="s">
        <v>2058</v>
      </c>
      <c r="C78" s="1885" t="s">
        <v>3462</v>
      </c>
      <c r="D78" s="1002">
        <f t="shared" si="21"/>
        <v>3.2000000000000002E-3</v>
      </c>
      <c r="E78" s="705"/>
      <c r="F78" s="1675"/>
      <c r="G78" s="1000">
        <v>1.6000000000000001E-3</v>
      </c>
      <c r="H78" s="1003">
        <f t="shared" si="17"/>
        <v>1.6000000000000001E-3</v>
      </c>
      <c r="I78" s="3067">
        <v>0.05</v>
      </c>
      <c r="J78" s="1001">
        <f t="shared" si="18"/>
        <v>3.2000000000000002E-3</v>
      </c>
      <c r="K78" s="1001">
        <f t="shared" si="19"/>
        <v>1.6000000000000001E-3</v>
      </c>
      <c r="L78" s="1001">
        <v>0</v>
      </c>
      <c r="M78" s="1001">
        <f t="shared" si="20"/>
        <v>-1.6000000000000001E-3</v>
      </c>
      <c r="N78" s="1001">
        <f t="shared" si="20"/>
        <v>-3.2000000000000002E-3</v>
      </c>
      <c r="O78" s="1842"/>
      <c r="P78" s="1842"/>
      <c r="Z78" s="1843"/>
      <c r="AA78" s="1893"/>
      <c r="AG78" s="1058"/>
      <c r="AK78" s="1893"/>
    </row>
    <row r="79" spans="1:37" ht="25.5">
      <c r="A79" s="1968" t="s">
        <v>2061</v>
      </c>
      <c r="B79" s="1971" t="str">
        <f>估价对象房地状况!C20</f>
        <v>区域自然环境：；人文环境；综合评价环境状况一般</v>
      </c>
      <c r="C79" s="1885" t="s">
        <v>3462</v>
      </c>
      <c r="D79" s="1002">
        <f t="shared" si="21"/>
        <v>7.6E-3</v>
      </c>
      <c r="E79" s="705"/>
      <c r="F79" s="1675"/>
      <c r="G79" s="1000">
        <v>3.8E-3</v>
      </c>
      <c r="H79" s="1003">
        <f t="shared" si="17"/>
        <v>3.8E-3</v>
      </c>
      <c r="I79" s="3067">
        <v>0.12</v>
      </c>
      <c r="J79" s="1001">
        <f t="shared" si="18"/>
        <v>7.6E-3</v>
      </c>
      <c r="K79" s="1001">
        <f t="shared" si="19"/>
        <v>3.8E-3</v>
      </c>
      <c r="L79" s="1001">
        <v>0</v>
      </c>
      <c r="M79" s="1001">
        <f t="shared" si="20"/>
        <v>-3.8E-3</v>
      </c>
      <c r="N79" s="1001">
        <f t="shared" si="20"/>
        <v>-7.6E-3</v>
      </c>
      <c r="Z79" s="1843"/>
      <c r="AA79" s="1893"/>
      <c r="AG79" s="1058"/>
      <c r="AK79" s="1893"/>
    </row>
    <row r="80" spans="1:37" ht="24.75" thickBot="1">
      <c r="A80" s="1975" t="s">
        <v>2068</v>
      </c>
      <c r="B80" s="1979"/>
      <c r="C80" s="1885" t="s">
        <v>3462</v>
      </c>
      <c r="D80" s="1002">
        <f t="shared" si="21"/>
        <v>3.2000000000000002E-3</v>
      </c>
      <c r="E80" s="706"/>
      <c r="F80" s="1675"/>
      <c r="G80" s="1000">
        <v>1.6000000000000001E-3</v>
      </c>
      <c r="H80" s="1003">
        <f t="shared" si="17"/>
        <v>1.6000000000000001E-3</v>
      </c>
      <c r="I80" s="3068">
        <v>0.05</v>
      </c>
      <c r="J80" s="1001">
        <f t="shared" si="18"/>
        <v>3.2000000000000002E-3</v>
      </c>
      <c r="K80" s="1001">
        <f t="shared" si="19"/>
        <v>1.6000000000000001E-3</v>
      </c>
      <c r="L80" s="1001">
        <v>0</v>
      </c>
      <c r="M80" s="1001">
        <f t="shared" si="20"/>
        <v>-1.6000000000000001E-3</v>
      </c>
      <c r="N80" s="1001">
        <f t="shared" si="20"/>
        <v>-3.2000000000000002E-3</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38.25">
      <c r="A83" s="1968" t="s">
        <v>2070</v>
      </c>
      <c r="B83" s="1262" t="str">
        <f>估价对象房地状况!G15</f>
        <v>估价对象位于XX开发区，园区建设成熟度XX，产业集聚程度XX</v>
      </c>
      <c r="C83" s="1885"/>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2" t="str">
        <f>估价对象房地状况!G16</f>
        <v>估价对象周边道路状况、公共交通通达情况、停车便捷程度，综合评价交通便捷度较好</v>
      </c>
      <c r="C84" s="1885"/>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36">
      <c r="A85" s="3069" t="s">
        <v>3270</v>
      </c>
      <c r="B85" s="1262">
        <f>估价对象房地状况!G17</f>
        <v>0</v>
      </c>
      <c r="C85" s="1885"/>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40" t="str">
        <f>估价对象房地状况!G19</f>
        <v>估价对象所在区域公共配套设施齐备情况</v>
      </c>
      <c r="C87" s="1885"/>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68" t="s">
        <v>2060</v>
      </c>
      <c r="B88" s="1240" t="str">
        <f>估价对象房地状况!G20</f>
        <v>估价对象所在区域基础设施水平</v>
      </c>
      <c r="C88" s="1885"/>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3271</v>
      </c>
      <c r="B92" s="2308"/>
      <c r="C92" s="2308" t="s">
        <v>3280</v>
      </c>
      <c r="D92" s="2308" t="s">
        <v>3281</v>
      </c>
      <c r="E92" s="3051" t="s">
        <v>3282</v>
      </c>
      <c r="F92" s="3081" t="s">
        <v>3283</v>
      </c>
      <c r="G92" s="2308" t="s">
        <v>3284</v>
      </c>
      <c r="H92" s="3088" t="s">
        <v>3287</v>
      </c>
      <c r="I92" s="2308" t="s">
        <v>3288</v>
      </c>
      <c r="J92" s="2148" t="s">
        <v>3289</v>
      </c>
      <c r="K92" s="2148" t="s">
        <v>3290</v>
      </c>
      <c r="L92" s="2148" t="s">
        <v>3291</v>
      </c>
      <c r="M92" s="2148" t="s">
        <v>3292</v>
      </c>
      <c r="N92" s="2148" t="s">
        <v>3293</v>
      </c>
    </row>
    <row r="93" spans="1:37" ht="24">
      <c r="A93" s="3069" t="s">
        <v>3272</v>
      </c>
      <c r="B93" s="1221"/>
      <c r="C93" s="1885"/>
      <c r="D93" s="2308">
        <f>SUMIF($J$92:$N$92,C93,J93:N93)</f>
        <v>0</v>
      </c>
      <c r="E93" s="3082">
        <f>ROUND(SUM(D93:D101),4)</f>
        <v>0</v>
      </c>
      <c r="F93" s="1675"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3273</v>
      </c>
      <c r="B94" s="3070" t="str">
        <f>估价对象房地状况!C18</f>
        <v>估价对象周边道路状况、公共交通通达情况、停车便捷程度，综合评价交通便捷度较好</v>
      </c>
      <c r="C94" s="1885"/>
      <c r="D94" s="2308">
        <f t="shared" ref="D94:D101" si="30">SUMIF($J$60:$N$60,C94,J94:N94)</f>
        <v>0</v>
      </c>
      <c r="E94" s="3083"/>
      <c r="F94" s="1675"/>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3269</v>
      </c>
      <c r="B95" s="3070">
        <f>估价对象房地状况!C19</f>
        <v>0</v>
      </c>
      <c r="C95" s="1885"/>
      <c r="D95" s="2308">
        <f t="shared" si="30"/>
        <v>0</v>
      </c>
      <c r="E95" s="3083"/>
      <c r="F95" s="1675"/>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3274</v>
      </c>
      <c r="B96" s="3085" t="s">
        <v>3285</v>
      </c>
      <c r="C96" s="1885"/>
      <c r="D96" s="2308">
        <f t="shared" si="30"/>
        <v>0</v>
      </c>
      <c r="E96" s="3083"/>
      <c r="F96" s="1675"/>
      <c r="G96" s="3073"/>
      <c r="H96" s="3118" t="str">
        <f t="shared" si="31"/>
        <v>——</v>
      </c>
      <c r="I96" s="3067">
        <v>0.05</v>
      </c>
      <c r="J96" s="1910">
        <f t="shared" si="27"/>
        <v>0</v>
      </c>
      <c r="K96" s="1910">
        <f t="shared" si="28"/>
        <v>0</v>
      </c>
      <c r="L96" s="1910">
        <v>0</v>
      </c>
      <c r="M96" s="1910">
        <f t="shared" si="29"/>
        <v>0</v>
      </c>
      <c r="N96" s="1910">
        <f t="shared" si="29"/>
        <v>0</v>
      </c>
    </row>
    <row r="97" spans="1:14" ht="24">
      <c r="A97" s="3079" t="s">
        <v>3275</v>
      </c>
      <c r="B97" s="3070">
        <f>估价对象房地状况!C24</f>
        <v>0</v>
      </c>
      <c r="C97" s="1885"/>
      <c r="D97" s="2308">
        <f t="shared" si="30"/>
        <v>0</v>
      </c>
      <c r="E97" s="3083"/>
      <c r="F97" s="1675"/>
      <c r="G97" s="3073"/>
      <c r="H97" s="3118" t="str">
        <f t="shared" si="31"/>
        <v>——</v>
      </c>
      <c r="I97" s="3067">
        <v>0.05</v>
      </c>
      <c r="J97" s="1910">
        <f t="shared" si="27"/>
        <v>0</v>
      </c>
      <c r="K97" s="1910">
        <f t="shared" si="28"/>
        <v>0</v>
      </c>
      <c r="L97" s="1910">
        <v>0</v>
      </c>
      <c r="M97" s="1910">
        <f t="shared" si="29"/>
        <v>0</v>
      </c>
      <c r="N97" s="1910">
        <f t="shared" si="29"/>
        <v>0</v>
      </c>
    </row>
    <row r="98" spans="1:14" ht="24">
      <c r="A98" s="3079" t="s">
        <v>3276</v>
      </c>
      <c r="B98" s="3086" t="s">
        <v>3286</v>
      </c>
      <c r="C98" s="1885"/>
      <c r="D98" s="2308">
        <f t="shared" si="30"/>
        <v>0</v>
      </c>
      <c r="E98" s="3083"/>
      <c r="F98" s="1675"/>
      <c r="G98" s="3073"/>
      <c r="H98" s="3118" t="str">
        <f t="shared" si="31"/>
        <v>——</v>
      </c>
      <c r="I98" s="3067">
        <v>0.06</v>
      </c>
      <c r="J98" s="1910">
        <f t="shared" si="27"/>
        <v>0</v>
      </c>
      <c r="K98" s="1910">
        <f t="shared" si="28"/>
        <v>0</v>
      </c>
      <c r="L98" s="1910">
        <v>0</v>
      </c>
      <c r="M98" s="1910">
        <f t="shared" si="29"/>
        <v>0</v>
      </c>
      <c r="N98" s="1910">
        <f t="shared" si="29"/>
        <v>0</v>
      </c>
    </row>
    <row r="99" spans="1:14" ht="25.5">
      <c r="A99" s="3079" t="s">
        <v>3277</v>
      </c>
      <c r="B99" s="3070" t="str">
        <f>估价对象房地状况!C21</f>
        <v>估价对象所在区域公共配套设施齐备情况</v>
      </c>
      <c r="C99" s="1885"/>
      <c r="D99" s="2308">
        <f t="shared" si="30"/>
        <v>0</v>
      </c>
      <c r="E99" s="3083"/>
      <c r="F99" s="1675"/>
      <c r="G99" s="3073"/>
      <c r="H99" s="3118" t="str">
        <f t="shared" si="31"/>
        <v>——</v>
      </c>
      <c r="I99" s="3067">
        <v>0.06</v>
      </c>
      <c r="J99" s="1910">
        <f t="shared" si="27"/>
        <v>0</v>
      </c>
      <c r="K99" s="1910">
        <f t="shared" si="28"/>
        <v>0</v>
      </c>
      <c r="L99" s="1910">
        <v>0</v>
      </c>
      <c r="M99" s="1910">
        <f t="shared" si="29"/>
        <v>0</v>
      </c>
      <c r="N99" s="1910">
        <f t="shared" si="29"/>
        <v>0</v>
      </c>
    </row>
    <row r="100" spans="1:14" ht="25.5">
      <c r="A100" s="3079" t="s">
        <v>3278</v>
      </c>
      <c r="B100" s="3070" t="str">
        <f>估价对象房地状况!C22</f>
        <v>估价对象所在区域基础设施水平</v>
      </c>
      <c r="C100" s="1885"/>
      <c r="D100" s="2308">
        <f t="shared" si="30"/>
        <v>0</v>
      </c>
      <c r="E100" s="3083"/>
      <c r="F100" s="1675"/>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3279</v>
      </c>
      <c r="B101" s="3087" t="str">
        <f>估价对象房地状况!C20</f>
        <v>区域自然环境：；人文环境；综合评价环境状况一般</v>
      </c>
      <c r="C101" s="1885"/>
      <c r="D101" s="2308">
        <f t="shared" si="30"/>
        <v>0</v>
      </c>
      <c r="E101" s="3084"/>
      <c r="F101" s="1675"/>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77" t="s">
        <v>3294</v>
      </c>
      <c r="B103" s="3477"/>
      <c r="C103" s="3477"/>
      <c r="D103" s="3477"/>
      <c r="E103" s="3477"/>
      <c r="F103" s="3477"/>
      <c r="G103" s="3477"/>
      <c r="H103" s="3477"/>
      <c r="I103" s="3477"/>
      <c r="J103" s="3477"/>
      <c r="K103" s="1667"/>
      <c r="L103" s="1667"/>
      <c r="M103" s="1667"/>
      <c r="N103" s="1667"/>
    </row>
    <row r="104" spans="1:14">
      <c r="A104" s="3478" t="s">
        <v>3295</v>
      </c>
      <c r="B104" s="3478" t="s">
        <v>3296</v>
      </c>
      <c r="C104" s="3089" t="s">
        <v>3297</v>
      </c>
      <c r="D104" s="3090"/>
      <c r="E104" s="3090"/>
      <c r="F104" s="3090"/>
      <c r="G104" s="3090"/>
      <c r="H104" s="3090"/>
      <c r="I104" s="3090"/>
      <c r="J104" s="3091"/>
      <c r="K104" s="3092"/>
      <c r="L104" s="3092"/>
      <c r="M104" s="3092"/>
      <c r="N104" s="3092"/>
    </row>
    <row r="105" spans="1:14">
      <c r="A105" s="3478"/>
      <c r="B105" s="3478"/>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64"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5"/>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6"/>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7" t="s">
        <v>3311</v>
      </c>
      <c r="B113" s="3467"/>
      <c r="C113" s="3467"/>
      <c r="D113" s="3467"/>
      <c r="E113" s="3467"/>
      <c r="F113" s="3467"/>
      <c r="G113" s="3467"/>
      <c r="H113" s="3467"/>
      <c r="I113" s="3467"/>
      <c r="J113" s="3467"/>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3312</v>
      </c>
      <c r="B116" s="3113">
        <f>G3</f>
        <v>3</v>
      </c>
      <c r="C116" s="3098" t="s">
        <v>3313</v>
      </c>
      <c r="D116" s="3099">
        <f>SUMPRODUCT((A118:A122=F116)*(B117:M117=H116)*B118:M122)</f>
        <v>0.9103</v>
      </c>
      <c r="E116" s="162" t="s">
        <v>3314</v>
      </c>
      <c r="F116" s="3100" t="str">
        <f>E2</f>
        <v>住宅</v>
      </c>
      <c r="G116" s="162" t="s">
        <v>3315</v>
      </c>
      <c r="H116" s="3100" t="str">
        <f>G2</f>
        <v>二级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0.96379999999999999</v>
      </c>
      <c r="C118" s="3088">
        <f>B118</f>
        <v>0.96379999999999999</v>
      </c>
      <c r="D118" s="3088">
        <f>ROUND(0.949-0.014*B116,4)</f>
        <v>0.90700000000000003</v>
      </c>
      <c r="E118" s="3088">
        <f>D118</f>
        <v>0.90700000000000003</v>
      </c>
      <c r="F118" s="3088">
        <f>E118</f>
        <v>0.90700000000000003</v>
      </c>
      <c r="G118" s="3088">
        <f>F118</f>
        <v>0.90700000000000003</v>
      </c>
      <c r="H118" s="3088">
        <f>G118</f>
        <v>0.90700000000000003</v>
      </c>
      <c r="I118" s="3088">
        <f>ROUND(0.8486-0.018*B116,4)</f>
        <v>0.79459999999999997</v>
      </c>
      <c r="J118" s="3088">
        <f t="shared" ref="J118:M122" si="35">I118</f>
        <v>0.79459999999999997</v>
      </c>
      <c r="K118" s="3088">
        <f t="shared" si="35"/>
        <v>0.79459999999999997</v>
      </c>
      <c r="L118" s="3088">
        <f t="shared" si="35"/>
        <v>0.79459999999999997</v>
      </c>
      <c r="M118" s="3108">
        <f t="shared" si="35"/>
        <v>0.79459999999999997</v>
      </c>
      <c r="N118" s="3096"/>
    </row>
    <row r="119" spans="1:14">
      <c r="A119" s="3056" t="s">
        <v>3329</v>
      </c>
      <c r="B119" s="3088">
        <f>ROUND(0.993-0.0112*B116,4)</f>
        <v>0.95940000000000003</v>
      </c>
      <c r="C119" s="3088">
        <f>B119</f>
        <v>0.95940000000000003</v>
      </c>
      <c r="D119" s="3088">
        <f>ROUND(0.9415-0.0142*B116,4)</f>
        <v>0.89890000000000003</v>
      </c>
      <c r="E119" s="3088">
        <f t="shared" ref="E119:H120" si="36">D119</f>
        <v>0.89890000000000003</v>
      </c>
      <c r="F119" s="3088">
        <f t="shared" si="36"/>
        <v>0.89890000000000003</v>
      </c>
      <c r="G119" s="3088">
        <f t="shared" si="36"/>
        <v>0.89890000000000003</v>
      </c>
      <c r="H119" s="3088">
        <f t="shared" si="36"/>
        <v>0.89890000000000003</v>
      </c>
      <c r="I119" s="3088">
        <f>ROUND(0.838-0.0182*B116,4)</f>
        <v>0.78339999999999999</v>
      </c>
      <c r="J119" s="3088">
        <f t="shared" si="35"/>
        <v>0.78339999999999999</v>
      </c>
      <c r="K119" s="3088">
        <f t="shared" si="35"/>
        <v>0.78339999999999999</v>
      </c>
      <c r="L119" s="3088">
        <f t="shared" si="35"/>
        <v>0.78339999999999999</v>
      </c>
      <c r="M119" s="3108">
        <f t="shared" si="35"/>
        <v>0.78339999999999999</v>
      </c>
      <c r="N119" s="3096"/>
    </row>
    <row r="120" spans="1:14">
      <c r="A120" s="3056" t="s">
        <v>3330</v>
      </c>
      <c r="B120" s="3088">
        <f>ROUND(0.9448-0.0115*B116,4)</f>
        <v>0.9103</v>
      </c>
      <c r="C120" s="3088">
        <f>B120</f>
        <v>0.9103</v>
      </c>
      <c r="D120" s="3088">
        <f>ROUND(0.937-0.0145*B116,4)</f>
        <v>0.89349999999999996</v>
      </c>
      <c r="E120" s="3088">
        <f t="shared" si="36"/>
        <v>0.89349999999999996</v>
      </c>
      <c r="F120" s="3088">
        <f t="shared" si="36"/>
        <v>0.89349999999999996</v>
      </c>
      <c r="G120" s="3088">
        <f t="shared" si="36"/>
        <v>0.89349999999999996</v>
      </c>
      <c r="H120" s="3088">
        <f t="shared" si="36"/>
        <v>0.89349999999999996</v>
      </c>
      <c r="I120" s="3088">
        <f>ROUND(0.7965-0.0185*B116,4)</f>
        <v>0.74099999999999999</v>
      </c>
      <c r="J120" s="3088">
        <f t="shared" si="35"/>
        <v>0.74099999999999999</v>
      </c>
      <c r="K120" s="3088">
        <f t="shared" si="35"/>
        <v>0.74099999999999999</v>
      </c>
      <c r="L120" s="3088">
        <f t="shared" si="35"/>
        <v>0.74099999999999999</v>
      </c>
      <c r="M120" s="3108">
        <f t="shared" si="35"/>
        <v>0.74099999999999999</v>
      </c>
      <c r="N120" s="3096"/>
    </row>
    <row r="121" spans="1:14" ht="13.5" thickBot="1">
      <c r="A121" s="3109" t="s">
        <v>3331</v>
      </c>
      <c r="B121" s="3110">
        <f>ROUND(0.7836-0.012*B116,4)</f>
        <v>0.74760000000000004</v>
      </c>
      <c r="C121" s="3110">
        <f>B121</f>
        <v>0.74760000000000004</v>
      </c>
      <c r="D121" s="3110">
        <f>ROUND(0.753-0.015*B116,4)</f>
        <v>0.70799999999999996</v>
      </c>
      <c r="E121" s="3110">
        <f>D121</f>
        <v>0.70799999999999996</v>
      </c>
      <c r="F121" s="3110">
        <f>E121</f>
        <v>0.70799999999999996</v>
      </c>
      <c r="G121" s="3110">
        <f>ROUND(0.6612-0.018*B116,4)</f>
        <v>0.60719999999999996</v>
      </c>
      <c r="H121" s="3110">
        <f>G121</f>
        <v>0.60719999999999996</v>
      </c>
      <c r="I121" s="3110">
        <f>ROUND(0.5905-0.019*B116,4)</f>
        <v>0.53349999999999997</v>
      </c>
      <c r="J121" s="3110">
        <f t="shared" si="35"/>
        <v>0.53349999999999997</v>
      </c>
      <c r="K121" s="3110">
        <f t="shared" si="35"/>
        <v>0.53349999999999997</v>
      </c>
      <c r="L121" s="3110">
        <f t="shared" si="35"/>
        <v>0.53349999999999997</v>
      </c>
      <c r="M121" s="3111">
        <f t="shared" si="35"/>
        <v>0.53349999999999997</v>
      </c>
      <c r="N121" s="3096"/>
    </row>
    <row r="122" spans="1:14">
      <c r="A122" s="3112" t="s">
        <v>2612</v>
      </c>
      <c r="B122" s="3088">
        <f>ROUND(0.9404-0.0106*B116,4)</f>
        <v>0.90859999999999996</v>
      </c>
      <c r="C122" s="3088">
        <f>B122</f>
        <v>0.90859999999999996</v>
      </c>
      <c r="D122" s="3088">
        <f>ROUND(0.8955-0.0135*B116,4)</f>
        <v>0.85499999999999998</v>
      </c>
      <c r="E122" s="3088">
        <f t="shared" ref="E122:H122" si="37">D122</f>
        <v>0.85499999999999998</v>
      </c>
      <c r="F122" s="3088">
        <f t="shared" si="37"/>
        <v>0.85499999999999998</v>
      </c>
      <c r="G122" s="3088">
        <f t="shared" si="37"/>
        <v>0.85499999999999998</v>
      </c>
      <c r="H122" s="3088">
        <f t="shared" si="37"/>
        <v>0.85499999999999998</v>
      </c>
      <c r="I122" s="3088">
        <f>ROUND(0.7632-0.0166*B116,4)</f>
        <v>0.71340000000000003</v>
      </c>
      <c r="J122" s="3088">
        <f t="shared" si="35"/>
        <v>0.71340000000000003</v>
      </c>
      <c r="K122" s="3088">
        <f t="shared" si="35"/>
        <v>0.71340000000000003</v>
      </c>
      <c r="L122" s="3088">
        <f t="shared" si="35"/>
        <v>0.71340000000000003</v>
      </c>
      <c r="M122" s="3108">
        <f t="shared" si="35"/>
        <v>0.71340000000000003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0" priority="6" stopIfTrue="1" operator="notEqual">
      <formula>"——"</formula>
    </cfRule>
  </conditionalFormatting>
  <conditionalFormatting sqref="F61">
    <cfRule type="cellIs" dxfId="29" priority="5" stopIfTrue="1" operator="notEqual">
      <formula>"——"</formula>
    </cfRule>
  </conditionalFormatting>
  <conditionalFormatting sqref="F72">
    <cfRule type="cellIs" dxfId="28" priority="4" stopIfTrue="1" operator="notEqual">
      <formula>"——"</formula>
    </cfRule>
  </conditionalFormatting>
  <conditionalFormatting sqref="F83">
    <cfRule type="cellIs" dxfId="27" priority="3" stopIfTrue="1" operator="notEqual">
      <formula>"——"</formula>
    </cfRule>
  </conditionalFormatting>
  <conditionalFormatting sqref="H50:H58 H61:H69 H72:H80 H83:H91">
    <cfRule type="cellIs" dxfId="26" priority="2" operator="notEqual">
      <formula>"——"</formula>
    </cfRule>
  </conditionalFormatting>
  <conditionalFormatting sqref="H93:H101">
    <cfRule type="cellIs" dxfId="2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CE916-30D5-4C44-8014-B6999FB08200}">
  <sheetPr>
    <tabColor rgb="FFFF0000"/>
  </sheetPr>
  <dimension ref="A1:AJ512"/>
  <sheetViews>
    <sheetView tabSelected="1" view="pageBreakPreview" zoomScale="145" zoomScaleNormal="100" zoomScaleSheetLayoutView="145" zoomScalePageLayoutView="80" workbookViewId="0">
      <selection activeCell="L22" sqref="L2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3" t="str">
        <f>项目基本情况!S2</f>
        <v>北京市房地产</v>
      </c>
      <c r="B2" s="3334"/>
      <c r="C2" s="3334"/>
      <c r="D2" s="3334"/>
      <c r="E2" s="3334"/>
      <c r="F2" s="3334"/>
      <c r="G2" s="3334"/>
      <c r="H2" s="3334"/>
      <c r="I2" s="3335"/>
    </row>
    <row r="3" spans="1:12" ht="12.75">
      <c r="A3" s="3337" t="s">
        <v>1264</v>
      </c>
      <c r="B3" s="3338"/>
      <c r="C3" s="3338"/>
      <c r="D3" s="3338"/>
      <c r="E3" s="3338"/>
      <c r="F3" s="3338"/>
      <c r="G3" s="3338"/>
      <c r="H3" s="3338"/>
      <c r="I3" s="3338"/>
    </row>
    <row r="4" spans="1:12" ht="14.25">
      <c r="A4" s="1624" t="s">
        <v>1265</v>
      </c>
      <c r="B4" s="1625" t="s">
        <v>1266</v>
      </c>
      <c r="C4" s="1626" t="s">
        <v>3448</v>
      </c>
      <c r="D4" s="1626" t="s">
        <v>3448</v>
      </c>
      <c r="E4" s="3342" t="s">
        <v>1267</v>
      </c>
      <c r="F4" s="3343"/>
      <c r="G4" s="3343"/>
      <c r="H4" s="3343"/>
      <c r="I4" s="3344"/>
      <c r="K4" s="138" t="str">
        <f>IF(ISNUMBER(FIND("比较法",'结果表-车位'!C4)),"比较法",IF(ISNUMBER(FIND("成本法",'结果表-车位'!C4)),"成本法",IF(ISNUMBER(FIND("假设开发法",'结果表-车位'!C4)),"假设开发法",IF(ISNUMBER(FIND("收益法",'结果表-车位'!C4)),"收益法","基准地价系数修正法"))))</f>
        <v>收益法</v>
      </c>
      <c r="L4" s="138"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281" t="s">
        <v>1268</v>
      </c>
      <c r="B5" s="3336">
        <v>25</v>
      </c>
      <c r="C5" s="3339"/>
      <c r="D5" s="3327"/>
      <c r="E5" s="123" t="s">
        <v>1269</v>
      </c>
      <c r="F5" s="1627"/>
      <c r="G5" s="1627"/>
      <c r="H5" s="1627"/>
      <c r="I5" s="1281"/>
    </row>
    <row r="6" spans="1:12" ht="12.75">
      <c r="A6" s="3281"/>
      <c r="B6" s="3336"/>
      <c r="C6" s="3341"/>
      <c r="D6" s="3327"/>
      <c r="E6" s="123" t="s">
        <v>1270</v>
      </c>
      <c r="F6" s="1627"/>
      <c r="G6" s="1627"/>
      <c r="H6" s="1627"/>
      <c r="I6" s="1281"/>
    </row>
    <row r="7" spans="1:12" ht="12.75">
      <c r="A7" s="3281"/>
      <c r="B7" s="3336"/>
      <c r="C7" s="3340"/>
      <c r="D7" s="3327"/>
      <c r="E7" s="123" t="s">
        <v>1271</v>
      </c>
      <c r="F7" s="1627"/>
      <c r="G7" s="1627"/>
      <c r="H7" s="1627"/>
      <c r="I7" s="1281"/>
    </row>
    <row r="8" spans="1:12" ht="12.75">
      <c r="A8" s="3281" t="s">
        <v>1272</v>
      </c>
      <c r="B8" s="3336">
        <v>15</v>
      </c>
      <c r="C8" s="3339"/>
      <c r="D8" s="3327"/>
      <c r="E8" s="123" t="s">
        <v>1273</v>
      </c>
      <c r="F8" s="1627"/>
      <c r="G8" s="1627"/>
      <c r="H8" s="1627"/>
      <c r="I8" s="1281"/>
    </row>
    <row r="9" spans="1:12" ht="12.75">
      <c r="A9" s="3281"/>
      <c r="B9" s="3336"/>
      <c r="C9" s="3340"/>
      <c r="D9" s="3327"/>
      <c r="E9" s="123" t="s">
        <v>1274</v>
      </c>
      <c r="F9" s="1627"/>
      <c r="G9" s="1627"/>
      <c r="H9" s="1627"/>
      <c r="I9" s="1281"/>
    </row>
    <row r="10" spans="1:12" ht="12.75">
      <c r="A10" s="3281" t="s">
        <v>1275</v>
      </c>
      <c r="B10" s="3336">
        <v>15</v>
      </c>
      <c r="C10" s="3339"/>
      <c r="D10" s="3327"/>
      <c r="E10" s="123" t="s">
        <v>1276</v>
      </c>
      <c r="F10" s="1627"/>
      <c r="G10" s="1627"/>
      <c r="H10" s="1627"/>
      <c r="I10" s="1281"/>
    </row>
    <row r="11" spans="1:12" ht="12.75">
      <c r="A11" s="3281"/>
      <c r="B11" s="3336"/>
      <c r="C11" s="3340"/>
      <c r="D11" s="3327"/>
      <c r="E11" s="123" t="s">
        <v>1277</v>
      </c>
      <c r="F11" s="1627"/>
      <c r="G11" s="1627"/>
      <c r="H11" s="1627"/>
      <c r="I11" s="1281"/>
    </row>
    <row r="12" spans="1:12" ht="12.75">
      <c r="A12" s="3281" t="s">
        <v>1278</v>
      </c>
      <c r="B12" s="3336">
        <v>15</v>
      </c>
      <c r="C12" s="3339"/>
      <c r="D12" s="3327"/>
      <c r="E12" s="123" t="s">
        <v>1279</v>
      </c>
      <c r="F12" s="1627"/>
      <c r="G12" s="1627"/>
      <c r="H12" s="1627"/>
      <c r="I12" s="1281"/>
    </row>
    <row r="13" spans="1:12" ht="12.75">
      <c r="A13" s="3281"/>
      <c r="B13" s="3336"/>
      <c r="C13" s="3340"/>
      <c r="D13" s="3327"/>
      <c r="E13" s="123" t="s">
        <v>1280</v>
      </c>
      <c r="F13" s="1627"/>
      <c r="G13" s="1627"/>
      <c r="H13" s="1627"/>
      <c r="I13" s="1281"/>
    </row>
    <row r="14" spans="1:12" ht="12.75">
      <c r="A14" s="3281" t="s">
        <v>1281</v>
      </c>
      <c r="B14" s="3336">
        <v>30</v>
      </c>
      <c r="C14" s="3339">
        <v>8</v>
      </c>
      <c r="D14" s="3327">
        <f>10-C14</f>
        <v>2</v>
      </c>
      <c r="E14" s="123" t="s">
        <v>1282</v>
      </c>
      <c r="F14" s="1627"/>
      <c r="G14" s="1627"/>
      <c r="H14" s="1627"/>
      <c r="I14" s="1281"/>
    </row>
    <row r="15" spans="1:12" ht="12.75">
      <c r="A15" s="3281"/>
      <c r="B15" s="3336"/>
      <c r="C15" s="3341"/>
      <c r="D15" s="3327"/>
      <c r="E15" s="123" t="s">
        <v>1283</v>
      </c>
      <c r="F15" s="1627"/>
      <c r="G15" s="1627"/>
      <c r="H15" s="1627"/>
      <c r="I15" s="1281"/>
    </row>
    <row r="16" spans="1:12" ht="12.75">
      <c r="A16" s="3281"/>
      <c r="B16" s="3336"/>
      <c r="C16" s="3340"/>
      <c r="D16" s="3327"/>
      <c r="E16" s="123" t="s">
        <v>1284</v>
      </c>
      <c r="F16" s="1627"/>
      <c r="G16" s="1627"/>
      <c r="H16" s="1627"/>
      <c r="I16" s="1281"/>
    </row>
    <row r="17" spans="1:36" ht="15">
      <c r="A17" s="1628" t="s">
        <v>1285</v>
      </c>
      <c r="B17" s="54"/>
      <c r="C17" s="124">
        <f>SUM(C5:C16)</f>
        <v>8</v>
      </c>
      <c r="D17" s="124">
        <f>SUM(D5:D16)</f>
        <v>2</v>
      </c>
      <c r="E17" s="121"/>
      <c r="F17" s="121"/>
      <c r="G17" s="121"/>
      <c r="H17" s="121"/>
      <c r="I17" s="121"/>
      <c r="K17" s="294"/>
      <c r="L17" s="294" t="s">
        <v>1286</v>
      </c>
      <c r="M17" s="294" t="s">
        <v>1287</v>
      </c>
    </row>
    <row r="18" spans="1:36" ht="31.9" customHeight="1" thickBot="1">
      <c r="A18" s="1629" t="s">
        <v>1288</v>
      </c>
      <c r="B18" s="1542"/>
      <c r="C18" s="125">
        <f>ROUND(C17/SUM(C17:D17),2)</f>
        <v>0.8</v>
      </c>
      <c r="D18" s="125">
        <f>1-C18</f>
        <v>0.19999999999999996</v>
      </c>
      <c r="E18" s="3358" t="s">
        <v>2131</v>
      </c>
      <c r="F18" s="3359"/>
      <c r="G18" s="3359"/>
      <c r="H18" s="3359"/>
      <c r="I18" s="3359"/>
      <c r="K18" s="294" t="s">
        <v>1289</v>
      </c>
      <c r="L18" s="294">
        <f>IF(C1="",'数据-汇总表'!E3,SUMIF(项目类型,C1,'数据-汇总表'!E17:E26)+SUMIF(项目类型,C1,'数据-汇总表'!I17:I26))</f>
        <v>263.11</v>
      </c>
      <c r="M18" s="294">
        <f>IF(C1="",'数据-汇总表'!E3,SUMIF(项目类型,C1,'数据-汇总表'!E17:E26))</f>
        <v>263.11</v>
      </c>
    </row>
    <row r="19" spans="1:36" ht="15">
      <c r="A19" s="1630" t="s">
        <v>1290</v>
      </c>
      <c r="B19" s="1631" t="s">
        <v>1291</v>
      </c>
      <c r="C19" s="126">
        <f ca="1">SUMIF(INDIRECT("'"&amp;C4&amp;"'"&amp;"!A:A"),'结果表-车位'!B19,INDIRECT("'"&amp;C4&amp;"'"&amp;"!B:B"))</f>
        <v>22.5837</v>
      </c>
      <c r="D19" s="127">
        <f ca="1">SUMIF(INDIRECT("'"&amp;D4&amp;"'"&amp;"!A:A"),'结果表-车位'!B19,INDIRECT("'"&amp;D4&amp;"'"&amp;"!B:B"))</f>
        <v>22.5837</v>
      </c>
      <c r="E19" s="1630" t="s">
        <v>1292</v>
      </c>
      <c r="F19" s="1631" t="s">
        <v>1291</v>
      </c>
      <c r="G19" s="128">
        <f ca="1">ROUND(C19*$C$18+D19*$D$18,0)</f>
        <v>23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SUMIF(INDIRECT("'"&amp;C4&amp;"'"&amp;"!A:A"),'结果表-车位'!B20,INDIRECT("'"&amp;C4&amp;"'"&amp;"!B:B"))</f>
        <v>18154</v>
      </c>
      <c r="D20" s="130">
        <f ca="1">SUMIF(INDIRECT("'"&amp;D4&amp;"'"&amp;"!A:A"),'结果表-车位'!B20,INDIRECT("'"&amp;D4&amp;"'"&amp;"!B:B"))</f>
        <v>18154</v>
      </c>
      <c r="E20" s="1633"/>
      <c r="F20" s="43" t="s">
        <v>1295</v>
      </c>
      <c r="G20" s="131">
        <f ca="1">ROUND(C20*$C$18+D20*$D$18,0)</f>
        <v>18154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v>
      </c>
      <c r="E22" s="121"/>
      <c r="F22" s="121"/>
      <c r="G22" s="121"/>
      <c r="H22" s="121"/>
      <c r="I22" s="121"/>
      <c r="J22" s="684">
        <f>'数据-汇总表'!G20</f>
        <v>12.44</v>
      </c>
      <c r="K22" s="684">
        <f ca="1">ROUND(J22*$G$20/10000,4)</f>
        <v>22.583600000000001</v>
      </c>
    </row>
    <row r="23" spans="1:36" ht="13.5" thickBot="1">
      <c r="A23" s="646"/>
      <c r="B23" s="646"/>
      <c r="C23" s="646"/>
      <c r="D23" s="646"/>
      <c r="E23" s="121"/>
      <c r="F23" s="121"/>
      <c r="G23" s="121"/>
      <c r="H23" s="121"/>
      <c r="I23" s="121"/>
      <c r="J23" s="684">
        <f>'数据-汇总表'!G21</f>
        <v>12.85</v>
      </c>
      <c r="K23" s="684">
        <f ca="1">ROUND(J23*$G$20/10000,4)</f>
        <v>23.3279</v>
      </c>
    </row>
    <row r="24" spans="1:36" ht="14.25">
      <c r="A24" s="3351" t="s">
        <v>1299</v>
      </c>
      <c r="B24" s="1631" t="s">
        <v>1291</v>
      </c>
      <c r="C24" s="128">
        <f>IF(B30=0,0,D30)</f>
        <v>0</v>
      </c>
      <c r="D24" s="1637"/>
      <c r="E24" s="121"/>
      <c r="F24" s="121"/>
      <c r="G24" s="121"/>
      <c r="H24" s="121"/>
      <c r="I24" s="121"/>
    </row>
    <row r="25" spans="1:36" ht="14.25">
      <c r="A25" s="33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18154</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28" t="s">
        <v>1312</v>
      </c>
      <c r="B36" s="1652" t="s">
        <v>1313</v>
      </c>
      <c r="C36" s="137"/>
      <c r="D36" s="1653"/>
      <c r="E36" s="1567"/>
      <c r="F36" s="1654"/>
      <c r="G36" s="121"/>
      <c r="H36" s="121"/>
      <c r="I36" s="121"/>
    </row>
    <row r="37" spans="1:15" ht="15.75" thickBot="1">
      <c r="A37" s="3329"/>
      <c r="B37" s="1555" t="s">
        <v>1314</v>
      </c>
      <c r="C37" s="139"/>
      <c r="D37" s="1071"/>
      <c r="E37" s="1071"/>
      <c r="F37" s="1654"/>
      <c r="G37" s="121"/>
      <c r="H37" s="121"/>
      <c r="I37" s="121"/>
    </row>
    <row r="38" spans="1:15" ht="15.75" thickBot="1">
      <c r="A38" s="3330"/>
      <c r="B38" s="1655" t="s">
        <v>1315</v>
      </c>
      <c r="C38" s="641"/>
      <c r="D38" s="1656" t="s">
        <v>1316</v>
      </c>
      <c r="E38" s="1071"/>
      <c r="F38" s="1654"/>
      <c r="G38" s="121"/>
      <c r="H38" s="121"/>
      <c r="I38" s="121"/>
    </row>
    <row r="39" spans="1:15" ht="15">
      <c r="A39" s="1633" t="s">
        <v>1317</v>
      </c>
      <c r="B39" s="1657" t="s">
        <v>1301</v>
      </c>
      <c r="C39" s="1658" t="s">
        <v>1302</v>
      </c>
      <c r="D39" s="1658" t="s">
        <v>1320</v>
      </c>
      <c r="E39" s="1659" t="s">
        <v>1303</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8" t="s">
        <v>1326</v>
      </c>
      <c r="B45" s="3349"/>
      <c r="C45" s="3350"/>
      <c r="D45" s="147" t="e">
        <f ca="1">ROUND(H101*F45,0)</f>
        <v>#REF!</v>
      </c>
      <c r="E45" s="148" t="s">
        <v>1327</v>
      </c>
      <c r="F45" s="149">
        <v>1</v>
      </c>
      <c r="G45" s="150" t="s">
        <v>1328</v>
      </c>
      <c r="H45" s="121"/>
      <c r="I45" s="121"/>
      <c r="J45" s="3268" t="s">
        <v>1329</v>
      </c>
      <c r="K45" s="3268"/>
      <c r="L45" s="3268"/>
      <c r="M45" s="3268"/>
      <c r="N45" s="3268"/>
      <c r="O45" s="3268"/>
    </row>
    <row r="46" spans="1:15" ht="14.25" customHeight="1">
      <c r="A46" s="3345" t="s">
        <v>1330</v>
      </c>
      <c r="B46" s="3346"/>
      <c r="C46" s="3346"/>
      <c r="D46" s="3346"/>
      <c r="E46" s="3346"/>
      <c r="F46" s="3346"/>
      <c r="G46" s="3347"/>
      <c r="H46" s="1668"/>
      <c r="I46" s="151"/>
      <c r="J46" s="2308">
        <v>1</v>
      </c>
      <c r="K46" s="3269" t="s">
        <v>1331</v>
      </c>
      <c r="L46" s="3269"/>
      <c r="M46" s="3270"/>
      <c r="N46" s="3270"/>
      <c r="O46" s="3270"/>
    </row>
    <row r="47" spans="1:15" ht="12" customHeight="1">
      <c r="A47" s="152" t="s">
        <v>1332</v>
      </c>
      <c r="B47" s="153"/>
      <c r="C47" s="154"/>
      <c r="D47" s="1024" t="s">
        <v>1333</v>
      </c>
      <c r="E47" s="294" t="s">
        <v>1334</v>
      </c>
      <c r="F47" s="155" t="s">
        <v>1335</v>
      </c>
      <c r="G47" s="2331" t="s">
        <v>1336</v>
      </c>
      <c r="H47" s="2332"/>
      <c r="I47" s="151"/>
      <c r="J47" s="2308">
        <v>2</v>
      </c>
      <c r="K47" s="3269" t="s">
        <v>1337</v>
      </c>
      <c r="L47" s="3269"/>
      <c r="M47" s="3271">
        <f>'数据-取费表'!B2</f>
        <v>45875</v>
      </c>
      <c r="N47" s="3271"/>
      <c r="O47" s="3271"/>
    </row>
    <row r="48" spans="1:15" ht="25.5">
      <c r="A48" s="3331" t="s">
        <v>1338</v>
      </c>
      <c r="B48" s="3332"/>
      <c r="C48" s="3332"/>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69" t="s">
        <v>1340</v>
      </c>
      <c r="L48" s="3269"/>
      <c r="M48" s="3272" t="e">
        <f ca="1">H101</f>
        <v>#REF!</v>
      </c>
      <c r="N48" s="3272"/>
      <c r="O48" s="3272"/>
    </row>
    <row r="49" spans="1:35" ht="25.5" customHeight="1">
      <c r="A49" s="2150" t="s">
        <v>1341</v>
      </c>
      <c r="B49" s="3317" t="s">
        <v>1342</v>
      </c>
      <c r="C49" s="3317"/>
      <c r="D49" s="1478">
        <v>0</v>
      </c>
      <c r="E49" s="316" t="s">
        <v>1343</v>
      </c>
      <c r="F49" s="2231" t="s">
        <v>28</v>
      </c>
      <c r="G49" s="3300"/>
      <c r="H49" s="2132" t="s">
        <v>2134</v>
      </c>
      <c r="I49" s="2133"/>
      <c r="J49" s="2308">
        <v>4</v>
      </c>
      <c r="K49" s="3269" t="str">
        <f>IF(项目基本情况!E8="房地产抵押价值","房地产抵押价值","抵押担保权已注销时的房地产抵押价值")</f>
        <v>抵押担保权已注销时的房地产抵押价值</v>
      </c>
      <c r="L49" s="3269"/>
      <c r="M49" s="3272" t="str">
        <f>IF(项目基本情况!E8="房地产抵押价值",H107,H109)</f>
        <v>——</v>
      </c>
      <c r="N49" s="3272"/>
      <c r="O49" s="3272"/>
    </row>
    <row r="50" spans="1:35" ht="25.5" customHeight="1">
      <c r="A50" s="2336"/>
      <c r="B50" s="3317" t="s">
        <v>1344</v>
      </c>
      <c r="C50" s="3317"/>
      <c r="D50" s="2187"/>
      <c r="E50" s="323"/>
      <c r="F50" s="2231"/>
      <c r="G50" s="3301"/>
      <c r="H50" s="2134" t="s">
        <v>2135</v>
      </c>
      <c r="I50" s="2133"/>
      <c r="J50" s="3268" t="s">
        <v>1345</v>
      </c>
      <c r="K50" s="3268"/>
      <c r="L50" s="3268"/>
      <c r="M50" s="3268"/>
      <c r="N50" s="3268"/>
      <c r="O50" s="3268"/>
    </row>
    <row r="51" spans="1:35" ht="20.45" customHeight="1">
      <c r="A51" s="2337"/>
      <c r="B51" s="3317" t="s">
        <v>1346</v>
      </c>
      <c r="C51" s="3317"/>
      <c r="D51" s="1024"/>
      <c r="E51" s="319"/>
      <c r="F51" s="2231"/>
      <c r="G51" s="3302"/>
      <c r="H51" s="2134" t="s">
        <v>2136</v>
      </c>
      <c r="I51" s="2133"/>
      <c r="J51" s="2309" t="s">
        <v>1347</v>
      </c>
      <c r="K51" s="3269" t="s">
        <v>1348</v>
      </c>
      <c r="L51" s="3269"/>
      <c r="M51" s="2309" t="s">
        <v>1349</v>
      </c>
      <c r="N51" s="2309" t="s">
        <v>1350</v>
      </c>
      <c r="O51" s="2309" t="s">
        <v>1351</v>
      </c>
    </row>
    <row r="52" spans="1:35" ht="24" customHeight="1">
      <c r="A52" s="2151" t="s">
        <v>1352</v>
      </c>
      <c r="B52" s="3317" t="s">
        <v>1353</v>
      </c>
      <c r="C52" s="3317"/>
      <c r="D52" s="1024" t="e">
        <f ca="1">ROUND(D45*'数据-取费表'!B41/(1+'数据-取费表'!C42),0)</f>
        <v>#REF!</v>
      </c>
      <c r="E52" s="1256" t="s">
        <v>1354</v>
      </c>
      <c r="F52" s="2338">
        <f>'数据-取费表'!B41</f>
        <v>5.6000000000000001E-2</v>
      </c>
      <c r="G52" s="2339"/>
      <c r="H52" s="2329"/>
      <c r="I52" s="1669"/>
      <c r="J52" s="2308">
        <v>1</v>
      </c>
      <c r="K52" s="3294" t="s">
        <v>1355</v>
      </c>
      <c r="L52" s="3294"/>
      <c r="M52" s="2310" t="b">
        <f>D48</f>
        <v>0</v>
      </c>
      <c r="N52" s="2308" t="str">
        <f>E48</f>
        <v>销售额×税（费）率</v>
      </c>
      <c r="O52" s="2311">
        <f>F48</f>
        <v>5.6000000000000001E-2</v>
      </c>
    </row>
    <row r="53" spans="1:35" ht="12" customHeight="1">
      <c r="A53" s="2151" t="s">
        <v>1356</v>
      </c>
      <c r="B53" s="3318" t="s">
        <v>2291</v>
      </c>
      <c r="C53" s="3319"/>
      <c r="D53" s="1024" t="e">
        <f ca="1">ROUND(D45*'数据-取费表'!B41/(1+'数据-取费表'!C42),0)</f>
        <v>#REF!</v>
      </c>
      <c r="E53" s="1256" t="s">
        <v>1354</v>
      </c>
      <c r="F53" s="2338">
        <f>'数据-取费表'!B41</f>
        <v>5.6000000000000001E-2</v>
      </c>
      <c r="G53" s="2339"/>
      <c r="H53" s="2329"/>
      <c r="I53" s="1669"/>
      <c r="J53" s="2308">
        <v>2</v>
      </c>
      <c r="K53" s="3294" t="s">
        <v>1357</v>
      </c>
      <c r="L53" s="3294"/>
      <c r="M53" s="2310" t="e">
        <f t="shared" ref="M53:O54" ca="1" si="0">D55</f>
        <v>#REF!</v>
      </c>
      <c r="N53" s="2308" t="str">
        <f t="shared" si="0"/>
        <v>销售额×税（费）率</v>
      </c>
      <c r="O53" s="2311" t="str">
        <f t="shared" si="0"/>
        <v>免征</v>
      </c>
    </row>
    <row r="54" spans="1:35" ht="12" customHeight="1">
      <c r="A54" s="2151" t="s">
        <v>1358</v>
      </c>
      <c r="B54" s="3318" t="s">
        <v>2292</v>
      </c>
      <c r="C54" s="3319"/>
      <c r="D54" s="1024" t="e">
        <f ca="1">C68</f>
        <v>#REF!</v>
      </c>
      <c r="E54" s="319" t="s">
        <v>1359</v>
      </c>
      <c r="F54" s="2338">
        <f>'数据-取费表'!B41</f>
        <v>5.6000000000000001E-2</v>
      </c>
      <c r="G54" s="2339"/>
      <c r="H54" s="2340"/>
      <c r="I54" s="1669"/>
      <c r="J54" s="2308">
        <v>3</v>
      </c>
      <c r="K54" s="3294" t="s">
        <v>1360</v>
      </c>
      <c r="L54" s="3294"/>
      <c r="M54" s="2310" t="e">
        <f t="shared" ca="1" si="0"/>
        <v>#REF!</v>
      </c>
      <c r="N54" s="2308" t="str">
        <f t="shared" si="0"/>
        <v>增值额×税（费）率</v>
      </c>
      <c r="O54" s="2312" t="str">
        <f t="shared" si="0"/>
        <v>免征</v>
      </c>
    </row>
    <row r="55" spans="1:35" ht="24" customHeight="1">
      <c r="A55" s="3354" t="s">
        <v>1361</v>
      </c>
      <c r="B55" s="3332"/>
      <c r="C55" s="3332"/>
      <c r="D55" s="12" t="e">
        <f ca="1">IF(H55="个人住宅",0,ROUND(D45*I55,0))</f>
        <v>#REF!</v>
      </c>
      <c r="E55" s="1256" t="s">
        <v>1362</v>
      </c>
      <c r="F55" s="2338" t="str">
        <f>IF(H55="正常",I55,"免征")</f>
        <v>免征</v>
      </c>
      <c r="G55" s="2339"/>
      <c r="H55" s="2335"/>
      <c r="I55" s="157">
        <f>'数据-取费表'!B49</f>
        <v>5.0000000000000001E-4</v>
      </c>
      <c r="J55" s="2308">
        <f>IF(H59="非个人房产","",4)</f>
        <v>4</v>
      </c>
      <c r="K55" s="3294" t="str">
        <f>IF(H59="非个人房产","——","个人所得税")</f>
        <v>个人所得税</v>
      </c>
      <c r="L55" s="3294"/>
      <c r="M55" s="2313" t="e">
        <f ca="1">D59</f>
        <v>#REF!</v>
      </c>
      <c r="N55" s="1881" t="str">
        <f>E59</f>
        <v>差额计税</v>
      </c>
      <c r="O55" s="2314">
        <f>F59</f>
        <v>0.01</v>
      </c>
    </row>
    <row r="56" spans="1:35" ht="24.75">
      <c r="A56" s="3354" t="s">
        <v>1363</v>
      </c>
      <c r="B56" s="3332"/>
      <c r="C56" s="3332"/>
      <c r="D56" s="12" t="e">
        <f ca="1">IF(H56="个人住宅",D57,D58)</f>
        <v>#REF!</v>
      </c>
      <c r="E56" s="1256" t="s">
        <v>1364</v>
      </c>
      <c r="F56" s="2338" t="str">
        <f>IF(H56="正常",F58,"免征")</f>
        <v>免征</v>
      </c>
      <c r="G56" s="2341" t="s">
        <v>1365</v>
      </c>
      <c r="H56" s="2342"/>
      <c r="I56" s="1670"/>
      <c r="J56" s="2308" t="str">
        <f>IF(项目基本情况!K6="上海银行",IF(J55="",4,J55+1),"")</f>
        <v/>
      </c>
      <c r="K56" s="3275" t="str">
        <f>IF(项目基本情况!K6="上海银行","其他处置费用","")</f>
        <v/>
      </c>
      <c r="L56" s="3276"/>
      <c r="M56" s="2310" t="str">
        <f>IF(项目基本情况!K6="上海银行",M69,"")</f>
        <v/>
      </c>
      <c r="N56" s="3275" t="str">
        <f>IF(项目基本情况!K6="上海银行","包含处置中涉及的律师、诉讼、拍卖、评估等费用","")</f>
        <v/>
      </c>
      <c r="O56" s="3278"/>
    </row>
    <row r="57" spans="1:35" ht="12.75">
      <c r="A57" s="2151" t="s">
        <v>1341</v>
      </c>
      <c r="B57" s="3318" t="s">
        <v>1366</v>
      </c>
      <c r="C57" s="3319"/>
      <c r="D57" s="1478">
        <v>0</v>
      </c>
      <c r="E57" s="316" t="s">
        <v>1343</v>
      </c>
      <c r="F57" s="294"/>
      <c r="G57" s="2339"/>
      <c r="H57" s="2343"/>
      <c r="I57" s="1670"/>
      <c r="J57" s="3294">
        <f>IF(AND(J55="",J56=""),4,IF(项目基本情况!K6="上海银行",'结果表-车位'!J56+1,'结果表-车位'!J55+1))</f>
        <v>5</v>
      </c>
      <c r="K57" s="3294" t="s">
        <v>1367</v>
      </c>
      <c r="L57" s="2315" t="s">
        <v>1368</v>
      </c>
      <c r="M57" s="2316"/>
      <c r="N57" s="2317">
        <f ca="1">SUMIF(M52:M56,"&lt;9e307")</f>
        <v>0</v>
      </c>
      <c r="O57" s="2318"/>
      <c r="P57" s="2463" t="e">
        <f ca="1">N57/M49</f>
        <v>#VALUE!</v>
      </c>
    </row>
    <row r="58" spans="1:35" ht="24.75">
      <c r="A58" s="2151" t="s">
        <v>1352</v>
      </c>
      <c r="B58" s="3318" t="s">
        <v>1369</v>
      </c>
      <c r="C58" s="3317"/>
      <c r="D58" s="12" t="e">
        <f ca="1">IF(H58="转让取得",C81,C97)</f>
        <v>#REF!</v>
      </c>
      <c r="E58" s="1256" t="s">
        <v>1364</v>
      </c>
      <c r="F58" s="294" t="s">
        <v>28</v>
      </c>
      <c r="G58" s="2339"/>
      <c r="H58" s="2342"/>
      <c r="I58" s="1670"/>
      <c r="J58" s="3294"/>
      <c r="K58" s="3294"/>
      <c r="L58" s="2315" t="s">
        <v>1370</v>
      </c>
      <c r="M58" s="2319"/>
      <c r="N58" s="2320" t="str">
        <f ca="1">NUMBERSTRING(INT(N57*10000),2)&amp;"元整"</f>
        <v>零元整</v>
      </c>
      <c r="O58" s="2321"/>
    </row>
    <row r="59" spans="1:35" ht="24.75" thickBot="1">
      <c r="A59" s="3298" t="s">
        <v>1371</v>
      </c>
      <c r="B59" s="3299"/>
      <c r="C59" s="3299"/>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296">
        <f>J57+1</f>
        <v>6</v>
      </c>
      <c r="K59" s="3294" t="s">
        <v>1372</v>
      </c>
      <c r="L59" s="2308" t="s">
        <v>1368</v>
      </c>
      <c r="M59" s="2322"/>
      <c r="N59" s="2323" t="e">
        <f ca="1">M49-N57</f>
        <v>#VALUE!</v>
      </c>
      <c r="O59" s="2324"/>
    </row>
    <row r="60" spans="1:35" ht="12" customHeight="1">
      <c r="A60" s="1671"/>
      <c r="B60" s="646"/>
      <c r="C60" s="646"/>
      <c r="D60" s="646"/>
      <c r="E60" s="1466"/>
      <c r="F60" s="1670"/>
      <c r="G60" s="1670"/>
      <c r="H60" s="151"/>
      <c r="I60" s="121"/>
      <c r="J60" s="3297"/>
      <c r="K60" s="3294"/>
      <c r="L60" s="2315" t="s">
        <v>1370</v>
      </c>
      <c r="M60" s="2319"/>
      <c r="N60" s="2320" t="e">
        <f ca="1">NUMBERSTRING(INT(N59*10000),2)&amp;"元整"</f>
        <v>#VALUE!</v>
      </c>
      <c r="O60" s="2321"/>
    </row>
    <row r="61" spans="1:35" ht="13.5" thickBot="1">
      <c r="A61" s="3353" t="s">
        <v>1373</v>
      </c>
      <c r="B61" s="3353"/>
      <c r="C61" s="3353"/>
      <c r="D61" s="3353"/>
      <c r="E61" s="3353"/>
      <c r="F61" s="1670"/>
      <c r="G61" s="1670"/>
      <c r="H61" s="151"/>
      <c r="I61" s="121"/>
      <c r="J61" s="2308">
        <f>J59+1</f>
        <v>7</v>
      </c>
      <c r="K61" s="3294" t="s">
        <v>1374</v>
      </c>
      <c r="L61" s="3294"/>
      <c r="M61" s="2325"/>
      <c r="N61" s="2326" t="e">
        <f ca="1">ROUND(N59*10000/'数据-汇总表'!E3,0)</f>
        <v>#VALUE!</v>
      </c>
      <c r="O61" s="2327"/>
    </row>
    <row r="62" spans="1:35" ht="12.75">
      <c r="A62" s="3313" t="s">
        <v>1375</v>
      </c>
      <c r="B62" s="3314"/>
      <c r="C62" s="1863"/>
      <c r="D62" s="1863"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277"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27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277"/>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277"/>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27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5.6000000000000001E-2</v>
      </c>
      <c r="E68" s="170"/>
      <c r="F68" s="1670"/>
      <c r="G68" s="1670"/>
      <c r="H68" s="151"/>
      <c r="I68" s="121"/>
      <c r="J68" s="3277"/>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277"/>
      <c r="K69" s="1245" t="s">
        <v>1393</v>
      </c>
      <c r="L69" s="1245"/>
      <c r="M69" s="294" t="e">
        <f>ROUND(SUM(M63:M68),0)</f>
        <v>#VALUE!</v>
      </c>
      <c r="N69" s="2330" t="e">
        <f>M69/M49</f>
        <v>#VALUE!</v>
      </c>
      <c r="Z69" s="1623"/>
      <c r="AI69" s="1561"/>
    </row>
    <row r="70" spans="1:35" s="642" customFormat="1" ht="15"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3" t="s">
        <v>1375</v>
      </c>
      <c r="B71" s="3314"/>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8" t="s">
        <v>1402</v>
      </c>
      <c r="F76" s="3317"/>
      <c r="G76" s="3317"/>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6.000000000000001E-3</v>
      </c>
      <c r="E78" s="3310" t="s">
        <v>1406</v>
      </c>
      <c r="F78" s="3311"/>
      <c r="G78" s="3311"/>
      <c r="H78" s="331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3" t="s">
        <v>1375</v>
      </c>
      <c r="B84" s="3314"/>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6"/>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6"/>
      <c r="G90" s="3279" t="s">
        <v>2129</v>
      </c>
      <c r="H90" s="3280"/>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0" t="s">
        <v>1419</v>
      </c>
      <c r="F91" s="3311"/>
      <c r="G91" s="331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0" t="s">
        <v>1422</v>
      </c>
      <c r="F92" s="3311"/>
      <c r="G92" s="3311"/>
      <c r="H92" s="3312"/>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6.000000000000001E-3</v>
      </c>
      <c r="E93" s="3310" t="s">
        <v>1406</v>
      </c>
      <c r="F93" s="3311"/>
      <c r="G93" s="3311"/>
      <c r="H93" s="331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55" t="s">
        <v>1426</v>
      </c>
      <c r="F94" s="3356"/>
      <c r="G94" s="3356"/>
      <c r="H94" s="335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95"/>
      <c r="E100" s="3261" t="s">
        <v>1429</v>
      </c>
      <c r="F100" s="3261"/>
      <c r="G100" s="3261"/>
      <c r="H100" s="3295"/>
      <c r="I100" s="121"/>
    </row>
    <row r="101" spans="1:35" ht="18.75" customHeight="1">
      <c r="A101" s="3303" t="s">
        <v>1430</v>
      </c>
      <c r="B101" s="3304"/>
      <c r="C101" s="2369" t="str">
        <f>C4</f>
        <v>收益法 (元)-车位</v>
      </c>
      <c r="D101" s="2370" t="str">
        <f>D4</f>
        <v>收益法 (元)-车位</v>
      </c>
      <c r="E101" s="3273" t="s">
        <v>1431</v>
      </c>
      <c r="F101" s="3274"/>
      <c r="G101" s="1687" t="s">
        <v>1432</v>
      </c>
      <c r="H101" s="2379" t="e">
        <f ca="1">H118</f>
        <v>#REF!</v>
      </c>
      <c r="I101" s="121"/>
    </row>
    <row r="102" spans="1:35" ht="18.75" customHeight="1">
      <c r="A102" s="3305" t="s">
        <v>1433</v>
      </c>
      <c r="B102" s="2368" t="s">
        <v>1432</v>
      </c>
      <c r="C102" s="2369">
        <f ca="1">IF(D32="楼面单价",ROUND(C19,0),C19)</f>
        <v>22.5837</v>
      </c>
      <c r="D102" s="2370">
        <f ca="1">IF(D32="楼面单价",ROUND(D19,0),D19)</f>
        <v>22.5837</v>
      </c>
      <c r="E102" s="3273"/>
      <c r="F102" s="3274"/>
      <c r="G102" s="1687" t="s">
        <v>1434</v>
      </c>
      <c r="H102" s="2339" t="e">
        <f ca="1">I118</f>
        <v>#REF!</v>
      </c>
      <c r="I102" s="121"/>
    </row>
    <row r="103" spans="1:35" ht="42.75" customHeight="1">
      <c r="A103" s="3305"/>
      <c r="B103" s="2368" t="s">
        <v>1434</v>
      </c>
      <c r="C103" s="2371">
        <f ca="1">C20</f>
        <v>18154</v>
      </c>
      <c r="D103" s="2372">
        <f ca="1">D20</f>
        <v>18154</v>
      </c>
      <c r="E103" s="3266" t="s">
        <v>1435</v>
      </c>
      <c r="F103" s="3267"/>
      <c r="G103" s="1688" t="s">
        <v>1436</v>
      </c>
      <c r="H103" s="2379">
        <f>IF(D36="正常操作",H104+H105+H106,H105+H106)</f>
        <v>0</v>
      </c>
      <c r="I103" s="121"/>
    </row>
    <row r="104" spans="1:35" ht="18.75" customHeight="1">
      <c r="A104" s="3305"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15"/>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6" t="str">
        <f>IF(项目基本情况!E8="已注销","——","3.房地产抵押价值")</f>
        <v>3.房地产抵押价值</v>
      </c>
      <c r="F107" s="3274"/>
      <c r="G107" s="1687" t="s">
        <v>1432</v>
      </c>
      <c r="H107" s="2379" t="e">
        <f ca="1">IF(E107="——","——",H101-H103)</f>
        <v>#REF!</v>
      </c>
      <c r="I107" s="121"/>
    </row>
    <row r="108" spans="1:35" ht="18.75" customHeight="1">
      <c r="A108" s="121"/>
      <c r="B108" s="121"/>
      <c r="C108" s="121"/>
      <c r="D108" s="121"/>
      <c r="E108" s="3306"/>
      <c r="F108" s="3274"/>
      <c r="G108" s="1687" t="s">
        <v>1434</v>
      </c>
      <c r="H108" s="2339">
        <f ca="1">IF(H107=H101,H102,ROUND(H107*10000/'数据-汇总表'!E3,0))</f>
        <v>0</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274"/>
      <c r="G109" s="1687" t="s">
        <v>1432</v>
      </c>
      <c r="H109" s="2382" t="str">
        <f>IF(E109="——","——",H101-H105-H106)</f>
        <v>——</v>
      </c>
      <c r="I109" s="121"/>
    </row>
    <row r="110" spans="1:35" ht="18.75" customHeight="1">
      <c r="A110" s="121"/>
      <c r="B110" s="121"/>
      <c r="C110" s="121"/>
      <c r="D110" s="121"/>
      <c r="E110" s="3306"/>
      <c r="F110" s="3274"/>
      <c r="G110" s="1687" t="s">
        <v>1434</v>
      </c>
      <c r="H110" s="2339" t="str">
        <f>IF(H109="——","——",ROUND(H109*10000/'数据-汇总表'!E3,0))</f>
        <v>——</v>
      </c>
      <c r="I110" s="121"/>
    </row>
    <row r="111" spans="1:35" ht="18.75" customHeight="1">
      <c r="A111" s="121"/>
      <c r="B111" s="121"/>
      <c r="C111" s="121"/>
      <c r="D111" s="121"/>
      <c r="E111" s="3307" t="str">
        <f>IF(项目基本情况!E9="抵押净值",IF(OR(项目基本情况!E8="已注销",项目基本情况!E8="房地产抵押价值"),"4.抵押净值","5.抵押净值"),"——")</f>
        <v>——</v>
      </c>
      <c r="F111" s="3293"/>
      <c r="G111" s="1687" t="s">
        <v>1432</v>
      </c>
      <c r="H111" s="2379" t="str">
        <f>IF(E111="——","——",N59)</f>
        <v>——</v>
      </c>
      <c r="I111" s="121"/>
    </row>
    <row r="112" spans="1:35" ht="18.75" customHeight="1" thickBot="1">
      <c r="A112" s="121"/>
      <c r="B112" s="121"/>
      <c r="C112" s="121"/>
      <c r="D112" s="121"/>
      <c r="E112" s="3308"/>
      <c r="F112" s="3309"/>
      <c r="G112" s="1690" t="s">
        <v>1434</v>
      </c>
      <c r="H112" s="2383"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1" t="s">
        <v>1443</v>
      </c>
      <c r="B116" s="3285" t="s">
        <v>1444</v>
      </c>
      <c r="C116" s="3285" t="s">
        <v>1445</v>
      </c>
      <c r="D116" s="3291" t="s">
        <v>1446</v>
      </c>
      <c r="E116" s="3292"/>
      <c r="F116" s="3323" t="s">
        <v>1447</v>
      </c>
      <c r="G116" s="3323"/>
      <c r="H116" s="3281" t="s">
        <v>1448</v>
      </c>
      <c r="I116" s="3281"/>
    </row>
    <row r="117" spans="1:27" ht="18.75" customHeight="1">
      <c r="A117" s="3281"/>
      <c r="B117" s="3286"/>
      <c r="C117" s="3286"/>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263.11</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81" t="s">
        <v>1452</v>
      </c>
      <c r="B119" s="3281"/>
      <c r="C119" s="3281"/>
      <c r="D119" s="3287" t="e">
        <f ca="1">NUMBERSTRING(INT(D118*10000),2)&amp;"元整"</f>
        <v>#REF!</v>
      </c>
      <c r="E119" s="3288"/>
      <c r="F119" s="3287" t="e">
        <f ca="1">NUMBERSTRING(INT(F118*10000),2)&amp;"元整"</f>
        <v>#REF!</v>
      </c>
      <c r="G119" s="3288"/>
      <c r="H119" s="3287" t="e">
        <f ca="1">NUMBERSTRING(INT(H118*10000),2)&amp;"元整"</f>
        <v>#REF!</v>
      </c>
      <c r="I119" s="3288"/>
    </row>
    <row r="120" spans="1:27" ht="18.75" customHeight="1">
      <c r="A120" s="3282" t="str">
        <f>IF(项目基本情况!B9="房地产市场价值","",MID(E103,3,LEN(E103)-2))</f>
        <v/>
      </c>
      <c r="B120" s="3283"/>
      <c r="C120" s="3284"/>
      <c r="D120" s="3282">
        <f>H103</f>
        <v>0</v>
      </c>
      <c r="E120" s="3283"/>
      <c r="F120" s="3283"/>
      <c r="G120" s="3283"/>
      <c r="H120" s="3283"/>
      <c r="I120" s="3284"/>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87" t="s">
        <v>1452</v>
      </c>
      <c r="B121" s="3289"/>
      <c r="C121" s="3288"/>
      <c r="D121" s="3287" t="str">
        <f>IF(D120=0,"零元整",NUMBERSTRING(INT(D120*10000),2)&amp;"元整")</f>
        <v>零元整</v>
      </c>
      <c r="E121" s="3289"/>
      <c r="F121" s="3289"/>
      <c r="G121" s="3289"/>
      <c r="H121" s="3289"/>
      <c r="I121" s="3288"/>
      <c r="AA121" s="684"/>
    </row>
    <row r="122" spans="1:27" ht="18.75" customHeight="1">
      <c r="A122" s="3293" t="str">
        <f>IF(项目基本情况!B9="房地产市场价值","",MID(E107,3,LEN(E107)-2))</f>
        <v/>
      </c>
      <c r="B122" s="3293"/>
      <c r="C122" s="3293"/>
      <c r="D122" s="3282" t="e">
        <f ca="1">H107</f>
        <v>#REF!</v>
      </c>
      <c r="E122" s="3283"/>
      <c r="F122" s="3283"/>
      <c r="G122" s="3283"/>
      <c r="H122" s="3283"/>
      <c r="I122" s="3284"/>
      <c r="AA122" s="684"/>
    </row>
    <row r="123" spans="1:27" ht="18.75" customHeight="1">
      <c r="A123" s="3281" t="s">
        <v>1452</v>
      </c>
      <c r="B123" s="3281"/>
      <c r="C123" s="3281"/>
      <c r="D123" s="3287" t="e">
        <f ca="1">NUMBERSTRING(INT(D122*10000),2)&amp;"元整"</f>
        <v>#REF!</v>
      </c>
      <c r="E123" s="3289"/>
      <c r="F123" s="3289"/>
      <c r="G123" s="3289"/>
      <c r="H123" s="3289"/>
      <c r="I123" s="3288"/>
      <c r="AA123" s="684"/>
    </row>
    <row r="124" spans="1:27" ht="18.75" customHeight="1">
      <c r="A124" s="3293" t="str">
        <f>IF(项目基本情况!B9="房地产市场价值","",MID(E109,3,LEN(E109)-2))</f>
        <v/>
      </c>
      <c r="B124" s="3293"/>
      <c r="C124" s="3293"/>
      <c r="D124" s="3282" t="str">
        <f>H109</f>
        <v>——</v>
      </c>
      <c r="E124" s="3283"/>
      <c r="F124" s="3283"/>
      <c r="G124" s="3283"/>
      <c r="H124" s="3283"/>
      <c r="I124" s="3284"/>
      <c r="AA124" s="684"/>
    </row>
    <row r="125" spans="1:27" ht="18.75" customHeight="1">
      <c r="A125" s="3281" t="s">
        <v>1452</v>
      </c>
      <c r="B125" s="3281"/>
      <c r="C125" s="3281"/>
      <c r="D125" s="3287" t="e">
        <f>NUMBERSTRING(INT(D124*10000),2)&amp;"元整"</f>
        <v>#VALUE!</v>
      </c>
      <c r="E125" s="3289"/>
      <c r="F125" s="3289"/>
      <c r="G125" s="3289"/>
      <c r="H125" s="3289"/>
      <c r="I125" s="3288"/>
      <c r="AA125" s="684"/>
    </row>
    <row r="126" spans="1:27" ht="18.75" customHeight="1">
      <c r="A126" s="3293" t="str">
        <f>IF(项目基本情况!B9="房地产市场价值","",MID(E111,3,LEN(E111)-2))</f>
        <v/>
      </c>
      <c r="B126" s="3293"/>
      <c r="C126" s="3293"/>
      <c r="D126" s="3282" t="str">
        <f>H111</f>
        <v>——</v>
      </c>
      <c r="E126" s="3283"/>
      <c r="F126" s="3283"/>
      <c r="G126" s="3283"/>
      <c r="H126" s="3283"/>
      <c r="I126" s="3284"/>
      <c r="AA126" s="684"/>
    </row>
    <row r="127" spans="1:27" ht="18.75" customHeight="1">
      <c r="A127" s="3281" t="s">
        <v>1452</v>
      </c>
      <c r="B127" s="3281"/>
      <c r="C127" s="3281"/>
      <c r="D127" s="3287" t="e">
        <f>NUMBERSTRING(INT(D126*10000),2)&amp;"元整"</f>
        <v>#VALUE!</v>
      </c>
      <c r="E127" s="3289"/>
      <c r="F127" s="3289"/>
      <c r="G127" s="3289"/>
      <c r="H127" s="3289"/>
      <c r="I127" s="3288"/>
      <c r="AA127" s="684"/>
    </row>
    <row r="128" spans="1:27" ht="21.75" customHeight="1">
      <c r="A128" s="3290" t="s">
        <v>1453</v>
      </c>
      <c r="B128" s="3290"/>
      <c r="C128" s="3290"/>
      <c r="D128" s="3290"/>
      <c r="E128" s="3290"/>
      <c r="F128" s="3290"/>
      <c r="G128" s="3290"/>
      <c r="H128" s="3290"/>
      <c r="I128" s="329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24" priority="3" stopIfTrue="1">
      <formula>$H$88&lt;&gt;"仅含出让金"</formula>
    </cfRule>
  </conditionalFormatting>
  <conditionalFormatting sqref="C91">
    <cfRule type="expression" dxfId="23" priority="2" stopIfTrue="1">
      <formula>$H$91="由企业提供"</formula>
    </cfRule>
  </conditionalFormatting>
  <conditionalFormatting sqref="C5:D7">
    <cfRule type="cellIs" dxfId="22" priority="6" stopIfTrue="1" operator="equal">
      <formula>25</formula>
    </cfRule>
  </conditionalFormatting>
  <conditionalFormatting sqref="C8:D13">
    <cfRule type="cellIs" dxfId="21" priority="5" stopIfTrue="1" operator="equal">
      <formula>15</formula>
    </cfRule>
  </conditionalFormatting>
  <conditionalFormatting sqref="C14:D16">
    <cfRule type="cellIs" dxfId="20" priority="4" stopIfTrue="1" operator="equal">
      <formula>30</formula>
    </cfRule>
  </conditionalFormatting>
  <conditionalFormatting sqref="E36">
    <cfRule type="expression" dxfId="19" priority="1" stopIfTrue="1">
      <formula>$D$36="同一抵押权人同一抵押物续贷"</formula>
    </cfRule>
  </conditionalFormatting>
  <dataValidations count="23">
    <dataValidation type="list" allowBlank="1" showInputMessage="1" showErrorMessage="1" sqref="D92" xr:uid="{B954D10A-F81E-41EB-BCF6-79A5592E25CC}">
      <formula1>"0,5%,10%"</formula1>
    </dataValidation>
    <dataValidation type="list" allowBlank="1" showInputMessage="1" showErrorMessage="1" sqref="H59" xr:uid="{98712F64-F7BB-470A-AEF9-4CBB32701C9C}">
      <formula1>"非个人房产,个人住宅（满五唯一有凭证）,个人其他（有凭证）,个人其他（无凭证）"</formula1>
    </dataValidation>
    <dataValidation type="list" allowBlank="1" showInputMessage="1" showErrorMessage="1" sqref="E103" xr:uid="{3E8AAD3F-022F-4E29-BA36-E83CD48D7841}">
      <formula1>"2.估价师知悉的法定优先受偿款,2.估价师知悉的除抵押担保权以外的法定优先受偿款"</formula1>
    </dataValidation>
    <dataValidation type="list" allowBlank="1" showInputMessage="1" showErrorMessage="1" sqref="G77" xr:uid="{13CECAC4-7372-4A78-BD20-F5C92EA780B4}">
      <formula1>"个人住宅,2016年5月1日前购买,2016年5月1日后购买"</formula1>
    </dataValidation>
    <dataValidation type="list" allowBlank="1" showInputMessage="1" showErrorMessage="1" sqref="C1" xr:uid="{49F477A1-3B5F-4AB8-A658-260A549FC49E}">
      <formula1>项目类型</formula1>
    </dataValidation>
    <dataValidation type="list" allowBlank="1" showInputMessage="1" showErrorMessage="1" sqref="I1" xr:uid="{47864DDF-8C1D-45AA-B468-1CE7A16FA51D}">
      <formula1>"项目局部,项目全部,——"</formula1>
    </dataValidation>
    <dataValidation type="list" showInputMessage="1" showErrorMessage="1" sqref="G1" xr:uid="{643C64B5-61E7-461E-94E8-54A7F263F135}">
      <formula1>"现房,在建,土地,-"</formula1>
    </dataValidation>
    <dataValidation type="list" allowBlank="1" showInputMessage="1" showErrorMessage="1" sqref="C129" xr:uid="{A296CC88-B504-44BD-845A-2579F76B955E}">
      <formula1>"无,有"</formula1>
    </dataValidation>
    <dataValidation type="list" allowBlank="1" showInputMessage="1" showErrorMessage="1" sqref="F116:G116" xr:uid="{98222ED3-8590-4345-A942-E21AB39F2088}">
      <formula1>"建筑物价值,在建建筑物价值,建筑物/在建建筑物价值"</formula1>
    </dataValidation>
    <dataValidation type="list" allowBlank="1" showInputMessage="1" showErrorMessage="1" sqref="D116:E116" xr:uid="{96F3A4D6-B74E-4B83-857B-B5C21A95864E}">
      <formula1>"出让国有建设用地使用权价值,划拨国有建设用地使用权价值"</formula1>
    </dataValidation>
    <dataValidation type="list" allowBlank="1" showInputMessage="1" showErrorMessage="1" sqref="C116:C117" xr:uid="{A1B86B38-589C-41F3-A2AD-5873773B6B03}">
      <formula1>"土地面积,分摊土地面积,（分摊）土地面积"</formula1>
    </dataValidation>
    <dataValidation type="list" allowBlank="1" showInputMessage="1" showErrorMessage="1" sqref="B116:B117" xr:uid="{B19D6697-0396-4E31-9DF4-D7671684E6B9}">
      <formula1>"建筑面积,规划建筑面积,（规划）建筑面积"</formula1>
    </dataValidation>
    <dataValidation type="list" allowBlank="1" showInputMessage="1" showErrorMessage="1" sqref="D36" xr:uid="{048DFC3E-9533-44F4-AC29-9120E6140EDD}">
      <formula1>"同一抵押权人同一抵押物续贷,注销后放款,正常操作"</formula1>
    </dataValidation>
    <dataValidation type="list" allowBlank="1" showInputMessage="1" showErrorMessage="1" sqref="F75" xr:uid="{072E245B-A3E9-4A8D-961E-41C95326EF4B}">
      <formula1>"买卖合同,购房发票"</formula1>
    </dataValidation>
    <dataValidation type="list" allowBlank="1" showInputMessage="1" showErrorMessage="1" sqref="H88" xr:uid="{D526D4ED-9075-493C-A422-E4B34F8DA48A}">
      <formula1>"仅含出让金,出让金+开发费"</formula1>
    </dataValidation>
    <dataValidation type="list" allowBlank="1" showInputMessage="1" showErrorMessage="1" sqref="H91" xr:uid="{F7DC94A3-9C27-482B-80CB-1229D64BBB04}">
      <formula1>"企业提供（在右侧录入）,——"</formula1>
    </dataValidation>
    <dataValidation type="list" allowBlank="1" showInputMessage="1" showErrorMessage="1" sqref="C33" xr:uid="{CDCFAAEA-E583-49B8-BCE2-10B0E8372470}">
      <formula1>"成本比率,收益比率,自定义"</formula1>
    </dataValidation>
    <dataValidation type="list" allowBlank="1" showInputMessage="1" showErrorMessage="1" sqref="F45" xr:uid="{51CB519F-345D-478F-BAD1-53B8DFBE2C15}">
      <formula1>"100%,70%,56%"</formula1>
    </dataValidation>
    <dataValidation type="list" allowBlank="1" showInputMessage="1" showErrorMessage="1" sqref="D32" xr:uid="{25DBFFEF-C4DF-4BF8-AFB3-6C2B4B37462C}">
      <formula1>"总价,楼面单价"</formula1>
    </dataValidation>
    <dataValidation type="list" allowBlank="1" showInputMessage="1" showErrorMessage="1" sqref="H58" xr:uid="{AB2EABAC-C777-4E8D-A2A5-994A833BF5D6}">
      <formula1>"转让取得,自行开发建设"</formula1>
    </dataValidation>
    <dataValidation type="list" allowBlank="1" showInputMessage="1" showErrorMessage="1" sqref="H48" xr:uid="{E64F503F-D03F-47C5-B74A-229B15E93150}">
      <formula1>"情况1,情况2,情况3,情况4"</formula1>
    </dataValidation>
    <dataValidation type="list" allowBlank="1" showInputMessage="1" showErrorMessage="1" sqref="H55:H56" xr:uid="{7818862F-D8FF-4473-A48E-A9227CE695E1}">
      <formula1>"个人住宅,正常"</formula1>
    </dataValidation>
    <dataValidation type="list" allowBlank="1" showInputMessage="1" showErrorMessage="1" sqref="C4:D4 D33" xr:uid="{776544B9-7C1F-40BC-BBC9-53ADFE4B44AE}">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F20B6-A344-46D8-9190-3E7FAFBD5F21}">
  <sheetPr>
    <tabColor rgb="FF92D050"/>
  </sheetPr>
  <dimension ref="A1:AK83"/>
  <sheetViews>
    <sheetView view="pageBreakPreview" zoomScaleNormal="70" zoomScaleSheetLayoutView="100" workbookViewId="0">
      <selection activeCell="K44" sqref="K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3459</v>
      </c>
      <c r="D1" s="1271" t="s">
        <v>43</v>
      </c>
      <c r="E1" s="1272" t="s">
        <v>678</v>
      </c>
      <c r="F1" s="999">
        <f ca="1">J53</f>
        <v>25</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2">
        <f ca="1">ROUND(D2/10000,4)</f>
        <v>22.5837</v>
      </c>
      <c r="C2" s="1289" t="s">
        <v>805</v>
      </c>
      <c r="D2" s="1375">
        <f ca="1">C40+J29+L46</f>
        <v>225837</v>
      </c>
      <c r="E2" s="1295" t="s">
        <v>880</v>
      </c>
      <c r="F2" s="1296"/>
      <c r="G2" s="2477"/>
      <c r="H2" s="2467"/>
      <c r="I2" s="2467"/>
      <c r="J2" s="2467"/>
      <c r="K2" s="2468"/>
      <c r="L2" s="2467"/>
      <c r="M2" s="2467"/>
    </row>
    <row r="3" spans="1:37" ht="18" customHeight="1" thickBot="1">
      <c r="A3" s="1297" t="s">
        <v>806</v>
      </c>
      <c r="B3" s="1298">
        <f ca="1">IF(ISERROR(D2/F43),0,ROUND(D2/F43,0))</f>
        <v>18154</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12015</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ROUND(F6*F8*F7*(1-F9),0)</f>
        <v>12000</v>
      </c>
      <c r="D6" s="147" t="s">
        <v>2106</v>
      </c>
      <c r="E6" s="294" t="s">
        <v>696</v>
      </c>
      <c r="F6" s="295">
        <f ca="1">INDIRECT("'数据-取费表'!u"&amp;$G$1)</f>
        <v>1000</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1</v>
      </c>
      <c r="G7" s="1292"/>
      <c r="H7" s="296"/>
      <c r="I7" s="3366"/>
      <c r="J7" s="298"/>
      <c r="K7" s="299"/>
      <c r="L7" s="294" t="s">
        <v>697</v>
      </c>
      <c r="M7" s="295">
        <f ca="1">F7</f>
        <v>1</v>
      </c>
    </row>
    <row r="8" spans="1:37" ht="18" customHeight="1">
      <c r="A8" s="296"/>
      <c r="B8" s="3366"/>
      <c r="C8" s="298"/>
      <c r="D8" s="299"/>
      <c r="E8" s="294" t="s">
        <v>698</v>
      </c>
      <c r="F8" s="295">
        <f ca="1">INDIRECT("'数据-取费表'!ai"&amp;$G$1)</f>
        <v>12</v>
      </c>
      <c r="G8" s="1292"/>
      <c r="H8" s="296"/>
      <c r="I8" s="3366"/>
      <c r="J8" s="298"/>
      <c r="K8" s="299"/>
      <c r="L8" s="294" t="s">
        <v>698</v>
      </c>
      <c r="M8" s="295">
        <f ca="1">INDIRECT("'数据-取费表'!ai"&amp;$G$1)</f>
        <v>12</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15</v>
      </c>
      <c r="D10" s="150" t="s">
        <v>2116</v>
      </c>
      <c r="E10" s="305" t="s">
        <v>701</v>
      </c>
      <c r="F10" s="1053" t="s">
        <v>3437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46840</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43540</v>
      </c>
      <c r="D14" s="1257" t="s">
        <v>708</v>
      </c>
      <c r="E14" s="1255"/>
      <c r="F14" s="311"/>
      <c r="G14" s="1292"/>
      <c r="H14" s="928" t="s">
        <v>398</v>
      </c>
      <c r="I14" s="294" t="s">
        <v>709</v>
      </c>
      <c r="J14" s="21">
        <f ca="1">C29</f>
        <v>58550</v>
      </c>
      <c r="K14" s="12"/>
      <c r="L14" s="759"/>
      <c r="M14" s="760"/>
    </row>
    <row r="15" spans="1:37" s="1304" customFormat="1" ht="18" customHeight="1" thickBot="1">
      <c r="A15" s="928" t="s">
        <v>399</v>
      </c>
      <c r="B15" s="294" t="s">
        <v>710</v>
      </c>
      <c r="C15" s="21">
        <f ca="1">ROUND(C14*F15,0)</f>
        <v>2177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59</v>
      </c>
      <c r="K16" s="1024" t="s">
        <v>715</v>
      </c>
      <c r="L16" s="1025"/>
      <c r="M16" s="1009"/>
    </row>
    <row r="17" spans="1:37" s="1304" customFormat="1" ht="18" customHeight="1">
      <c r="A17" s="928" t="s">
        <v>681</v>
      </c>
      <c r="B17" s="294" t="s">
        <v>716</v>
      </c>
      <c r="C17" s="21">
        <f ca="1">ROUND(F17*(F43+INDIRECT("'数据-取费表'!S"&amp;$G$1)),0)</f>
        <v>2488</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871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49076</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491</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59</v>
      </c>
      <c r="K22" s="1256" t="s">
        <v>739</v>
      </c>
      <c r="L22" s="294" t="s">
        <v>712</v>
      </c>
      <c r="M22" s="320">
        <f ca="1">INDIRECT("'数据-取费表'!Ak"&amp;$G$1)</f>
        <v>1E-3</v>
      </c>
    </row>
    <row r="23" spans="1:37" s="1304" customFormat="1" ht="18" customHeight="1">
      <c r="A23" s="928" t="s">
        <v>397</v>
      </c>
      <c r="B23" s="294" t="s">
        <v>740</v>
      </c>
      <c r="C23" s="21">
        <f ca="1">IF('数据-取费表'!B22&lt;=1,ROUND(C19*F24*F23/2,0)+ROUND(C20*F24*F23/2,0),ROUND(C19*(POWER((1+F24),F23/2)-1),0)+ROUND(C20*(POWER((1+F24),F23/2)-1),0))</f>
        <v>1487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683</v>
      </c>
      <c r="I24" s="1027" t="s">
        <v>728</v>
      </c>
      <c r="J24" s="1028">
        <f ca="1">ROUND(J5*M24,0)</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-59</v>
      </c>
      <c r="K25" s="1032" t="s">
        <v>753</v>
      </c>
      <c r="L25" s="1033"/>
      <c r="M25" s="1034"/>
    </row>
    <row r="26" spans="1:37" ht="18" customHeight="1">
      <c r="A26" s="928" t="s">
        <v>397</v>
      </c>
      <c r="B26" s="294" t="s">
        <v>754</v>
      </c>
      <c r="C26" s="21">
        <f ca="1">ROUND((C19+C20)*F26,0)</f>
        <v>2478</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2.5000000000000001E-2</v>
      </c>
    </row>
    <row r="27" spans="1:37" ht="18" customHeight="1">
      <c r="A27" s="928" t="s">
        <v>399</v>
      </c>
      <c r="B27" s="294" t="s">
        <v>760</v>
      </c>
      <c r="C27" s="21">
        <f ca="1">ROUND(F21*F26,4)</f>
        <v>1.5E-3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58550</v>
      </c>
      <c r="D29" s="1029"/>
      <c r="E29" s="1027"/>
      <c r="F29" s="1030"/>
      <c r="G29" s="1303"/>
      <c r="H29" s="325" t="s">
        <v>396</v>
      </c>
      <c r="I29" s="326" t="s">
        <v>768</v>
      </c>
      <c r="J29" s="327">
        <f ca="1">ROUND(J26/(1+F40)^F41,0)</f>
        <v>0</v>
      </c>
      <c r="K29" s="328" t="s">
        <v>769</v>
      </c>
      <c r="L29" s="329"/>
      <c r="M29" s="330">
        <f ca="1">INDIRECT("'数据-取费表'!k"&amp;$G$1)</f>
        <v>12.44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1026</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ROUND(IF(AND(项目基本情况!B11="自然人",项目基本情况!B10="北京市"),C6*F31/(1+'数据-取费表'!C42),C32+C33+C34),0)</f>
        <v>800</v>
      </c>
      <c r="D31" s="1257" t="s">
        <v>720</v>
      </c>
      <c r="E31" s="1256" t="s">
        <v>770</v>
      </c>
      <c r="F31" s="2137">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1305">
        <f>'数据-汇总表'!G20</f>
        <v>12.44</v>
      </c>
      <c r="I34" s="1305">
        <f ca="1">ROUND(H34*$B$3/10000,0)</f>
        <v>23</v>
      </c>
      <c r="J34" s="1306"/>
      <c r="K34" s="2474"/>
      <c r="L34" s="2475"/>
      <c r="M34" s="2475"/>
    </row>
    <row r="35" spans="1:18" ht="18" customHeight="1">
      <c r="A35" s="1040"/>
      <c r="B35" s="1038"/>
      <c r="C35" s="26"/>
      <c r="D35" s="319"/>
      <c r="E35" s="294" t="s">
        <v>736</v>
      </c>
      <c r="F35" s="295">
        <f ca="1">INDIRECT("'数据-取费表'!r"&amp;$G$1)</f>
        <v>0</v>
      </c>
      <c r="G35" s="1292"/>
      <c r="H35" s="1305">
        <f>'数据-汇总表'!G21</f>
        <v>12.85</v>
      </c>
      <c r="I35" s="1305">
        <f ca="1">ROUND(H35*$B$3/10000,0)</f>
        <v>23</v>
      </c>
      <c r="J35" s="1306"/>
      <c r="K35" s="2473" t="s">
        <v>3463</v>
      </c>
      <c r="L35" s="2472"/>
      <c r="M35" s="2472"/>
    </row>
    <row r="36" spans="1:18" ht="18" customHeight="1">
      <c r="A36" s="1039" t="s">
        <v>402</v>
      </c>
      <c r="B36" s="294" t="s">
        <v>738</v>
      </c>
      <c r="C36" s="21">
        <f ca="1">ROUND(C29*F36,0)</f>
        <v>59</v>
      </c>
      <c r="D36" s="1256" t="s">
        <v>771</v>
      </c>
      <c r="E36" s="294" t="s">
        <v>712</v>
      </c>
      <c r="F36" s="320">
        <f ca="1">INDIRECT("'数据-取费表'!Ak"&amp;$G$1)</f>
        <v>1E-3</v>
      </c>
      <c r="G36" s="1292"/>
      <c r="H36" s="2472"/>
      <c r="I36" s="1305"/>
      <c r="J36" s="1306"/>
      <c r="K36" s="2329"/>
      <c r="L36" s="2472"/>
      <c r="M36" s="2472"/>
    </row>
    <row r="37" spans="1:18" ht="18" customHeight="1">
      <c r="A37" s="928" t="s">
        <v>437</v>
      </c>
      <c r="B37" s="294" t="s">
        <v>742</v>
      </c>
      <c r="C37" s="21">
        <f ca="1">ROUND(C13*F37,0)</f>
        <v>47</v>
      </c>
      <c r="D37" s="1256" t="s">
        <v>743</v>
      </c>
      <c r="E37" s="294" t="s">
        <v>712</v>
      </c>
      <c r="F37" s="321">
        <f ca="1">INDIRECT("'数据-取费表'!Al"&amp;$G$1)</f>
        <v>1E-3</v>
      </c>
      <c r="G37" s="1292"/>
      <c r="H37" s="2472"/>
      <c r="I37" s="1305"/>
      <c r="J37" s="1306"/>
      <c r="K37" s="2329"/>
      <c r="L37" s="2472"/>
      <c r="M37" s="2472"/>
    </row>
    <row r="38" spans="1:18" ht="18" customHeight="1" thickBot="1">
      <c r="A38" s="1026" t="s">
        <v>683</v>
      </c>
      <c r="B38" s="1027" t="s">
        <v>728</v>
      </c>
      <c r="C38" s="1028">
        <f ca="1">ROUND(C5*F38,0)</f>
        <v>120</v>
      </c>
      <c r="D38" s="1029" t="s">
        <v>748</v>
      </c>
      <c r="E38" s="1027" t="s">
        <v>712</v>
      </c>
      <c r="F38" s="1023">
        <f ca="1">INDIRECT("'数据-取费表'!Am"&amp;$G$1)</f>
        <v>0.01</v>
      </c>
      <c r="G38" s="1292"/>
      <c r="H38" s="2472"/>
      <c r="I38" s="1305"/>
      <c r="J38" s="1306"/>
      <c r="K38" s="2470"/>
      <c r="L38" s="2472"/>
      <c r="M38" s="2472"/>
    </row>
    <row r="39" spans="1:18" ht="24.6" customHeight="1" thickTop="1">
      <c r="A39" s="1016" t="s">
        <v>394</v>
      </c>
      <c r="B39" s="1031" t="s">
        <v>752</v>
      </c>
      <c r="C39" s="302">
        <f ca="1">C5-C30</f>
        <v>10989</v>
      </c>
      <c r="D39" s="1032" t="s">
        <v>753</v>
      </c>
      <c r="E39" s="1033"/>
      <c r="F39" s="1034"/>
      <c r="G39" s="1292"/>
      <c r="H39" s="2472"/>
      <c r="I39" s="1305"/>
      <c r="J39" s="1306"/>
      <c r="K39" s="2470"/>
      <c r="L39" s="2472"/>
      <c r="M39" s="2472"/>
    </row>
    <row r="40" spans="1:18" ht="18" customHeight="1">
      <c r="A40" s="291" t="s">
        <v>395</v>
      </c>
      <c r="B40" s="292" t="s">
        <v>774</v>
      </c>
      <c r="C40" s="293">
        <f ca="1">ROUND(C39*(1-((1+F42)/(1+F40))^F41)/(F40-F42),0)</f>
        <v>225837</v>
      </c>
      <c r="D40" s="316" t="s">
        <v>758</v>
      </c>
      <c r="E40" s="294" t="s">
        <v>759</v>
      </c>
      <c r="F40" s="304">
        <f ca="1">INDIRECT("'数据-取费表'!I"&amp;$G$1)</f>
        <v>2.5000000000000001E-2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25</v>
      </c>
      <c r="G41" s="1292"/>
      <c r="H41" s="121"/>
      <c r="I41" s="1305"/>
      <c r="J41" s="1306"/>
      <c r="K41" s="2329"/>
      <c r="L41" s="121"/>
      <c r="M41" s="121"/>
    </row>
    <row r="42" spans="1:18" ht="18" customHeight="1">
      <c r="A42" s="300"/>
      <c r="B42" s="301"/>
      <c r="C42" s="302"/>
      <c r="D42" s="319"/>
      <c r="E42" s="294" t="s">
        <v>766</v>
      </c>
      <c r="F42" s="304">
        <f ca="1">INDIRECT("'数据-取费表'!v"&amp;$G$1)</f>
        <v>0.01</v>
      </c>
      <c r="G42" s="1292"/>
      <c r="H42" s="121"/>
      <c r="I42" s="1305"/>
      <c r="J42" s="1306"/>
      <c r="K42" s="2329"/>
      <c r="L42" s="121"/>
      <c r="M42" s="121"/>
    </row>
    <row r="43" spans="1:18" ht="18" customHeight="1" thickBot="1">
      <c r="A43" s="325" t="s">
        <v>396</v>
      </c>
      <c r="B43" s="326" t="s">
        <v>776</v>
      </c>
      <c r="C43" s="327">
        <f ca="1">ROUND(C40/F43,0)</f>
        <v>18154</v>
      </c>
      <c r="D43" s="328" t="s">
        <v>777</v>
      </c>
      <c r="E43" s="329" t="s">
        <v>778</v>
      </c>
      <c r="F43" s="330">
        <f ca="1">INDIRECT("'数据-取费表'!k"&amp;$G$1)</f>
        <v>12.44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-22.779</v>
      </c>
      <c r="D45" s="3129" t="s">
        <v>3353</v>
      </c>
      <c r="E45" s="1307"/>
      <c r="F45" s="1307"/>
      <c r="O45" s="1310" t="s">
        <v>808</v>
      </c>
      <c r="P45" s="1366"/>
      <c r="Q45" s="1366"/>
      <c r="R45" s="1366"/>
    </row>
    <row r="46" spans="1:18" s="1292" customFormat="1" ht="13.5" thickBot="1">
      <c r="A46" s="1311" t="s">
        <v>809</v>
      </c>
      <c r="C46" s="1312">
        <f ca="1">ROUND(C45,0)</f>
        <v>-23</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3435</v>
      </c>
      <c r="K47" s="1323" t="s">
        <v>816</v>
      </c>
      <c r="L47" s="1324">
        <f ca="1">INDIRECT("'数据-取费表'!d"&amp;$G$1)</f>
        <v>50</v>
      </c>
      <c r="M47" s="1288" t="str">
        <f>IF(ISNUMBER(FIND("住宅",C1)),"住宅","非住宅")</f>
        <v>非住宅</v>
      </c>
      <c r="O47" s="1325" t="s">
        <v>403</v>
      </c>
      <c r="P47" s="1326" t="s">
        <v>817</v>
      </c>
      <c r="Q47" s="1327">
        <f ca="1">C40+J29</f>
        <v>225837</v>
      </c>
      <c r="R47" s="1327" t="s">
        <v>818</v>
      </c>
    </row>
    <row r="48" spans="1:18" s="1292" customFormat="1" ht="28.5" thickBot="1">
      <c r="A48" s="1047" t="s">
        <v>438</v>
      </c>
      <c r="B48" s="292" t="s">
        <v>692</v>
      </c>
      <c r="C48" s="1268">
        <f ca="1">C49+C53+C55</f>
        <v>0</v>
      </c>
      <c r="D48" s="1049"/>
      <c r="E48" s="1050"/>
      <c r="F48" s="908"/>
      <c r="G48" s="681"/>
      <c r="H48" s="682"/>
      <c r="I48" s="1328" t="s">
        <v>819</v>
      </c>
      <c r="J48" s="1329" t="s">
        <v>3436</v>
      </c>
      <c r="K48" s="1330" t="s">
        <v>820</v>
      </c>
      <c r="L48" s="1331">
        <f ca="1">INDIRECT("'数据-取费表'!f"&amp;$G$1)</f>
        <v>25</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2004</v>
      </c>
      <c r="K49" s="1330" t="s">
        <v>824</v>
      </c>
      <c r="L49" s="1333"/>
      <c r="O49" s="1334" t="s">
        <v>405</v>
      </c>
      <c r="P49" s="1326" t="s">
        <v>825</v>
      </c>
      <c r="Q49" s="1327">
        <f ca="1">C29</f>
        <v>58550</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39</v>
      </c>
      <c r="K51" s="1339" t="s">
        <v>830</v>
      </c>
      <c r="L51" s="1340">
        <f ca="1">ROUND(-PV(INDIRECT("'数据-取费表'!h"&amp;$G$1),J51,(C39-C13*C76),0),0)</f>
        <v>139176</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25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25</v>
      </c>
      <c r="K53" s="3363" t="s">
        <v>837</v>
      </c>
      <c r="L53" s="3364"/>
      <c r="O53" s="1325" t="s">
        <v>409</v>
      </c>
      <c r="P53" s="1326" t="s">
        <v>838</v>
      </c>
      <c r="Q53" s="1327">
        <f ca="1">Q47+Q48</f>
        <v>225837</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46840</v>
      </c>
      <c r="D56" s="1352"/>
      <c r="E56" s="1353"/>
      <c r="F56" s="1345"/>
      <c r="I56" s="1354" t="s">
        <v>842</v>
      </c>
      <c r="J56" s="1355" t="s">
        <v>3431</v>
      </c>
      <c r="K56" s="1328" t="s">
        <v>843</v>
      </c>
      <c r="L56" s="1331" t="str">
        <f ca="1">IF(L48&lt;J51,"——",L48-J51)</f>
        <v>——</v>
      </c>
      <c r="O56" s="1325" t="s">
        <v>403</v>
      </c>
      <c r="P56" s="1326" t="s">
        <v>817</v>
      </c>
      <c r="Q56" s="1327">
        <f ca="1">C40+J29</f>
        <v>225837</v>
      </c>
      <c r="R56" s="1327" t="s">
        <v>818</v>
      </c>
    </row>
    <row r="57" spans="1:18" s="1292" customFormat="1" ht="24.75" thickBot="1">
      <c r="A57" s="1356"/>
      <c r="B57" s="896" t="s">
        <v>767</v>
      </c>
      <c r="C57" s="230">
        <f ca="1">C29</f>
        <v>58550</v>
      </c>
      <c r="D57" s="1357"/>
      <c r="E57" s="1358"/>
      <c r="F57" s="1359"/>
      <c r="I57" s="1360" t="s">
        <v>844</v>
      </c>
      <c r="J57" s="1361" t="str">
        <f ca="1">IF(OR(M47="住宅",J51&lt;L48,J56="是"),"——",J51-L48)</f>
        <v>——</v>
      </c>
      <c r="K57" s="1328" t="s">
        <v>892</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106</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t="str">
        <f ca="1">IF(项目基本情况!B11="自然人","——",IF(D61="按租金收入计税",ROUND(C49*F61/(1+'数据-取费表'!C42),0),IF(D61="按房产原值计税",ROUND(C57*F61*0.7,0),INDIRECT("'数据-取费表'!Aj"&amp;$G$1))))</f>
        <v>——</v>
      </c>
      <c r="D61" s="1278" t="s">
        <v>3336</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t="str">
        <f>IF(项目基本情况!B11="自然人","——",ROUND(F62*F63,0))</f>
        <v>——</v>
      </c>
      <c r="D62" s="911" t="s">
        <v>731</v>
      </c>
      <c r="E62" s="896" t="s">
        <v>732</v>
      </c>
      <c r="F62" s="317">
        <f t="shared" si="0"/>
        <v>0</v>
      </c>
      <c r="I62" s="1367" t="s">
        <v>858</v>
      </c>
      <c r="J62" s="610" t="s">
        <v>859</v>
      </c>
      <c r="K62" s="610" t="s">
        <v>860</v>
      </c>
      <c r="L62" s="610" t="s">
        <v>861</v>
      </c>
      <c r="M62" s="1368" t="s">
        <v>862</v>
      </c>
      <c r="O62" s="1325" t="s">
        <v>409</v>
      </c>
      <c r="P62" s="1326" t="s">
        <v>838</v>
      </c>
      <c r="Q62" s="1327">
        <f ca="1">Q56+Q57</f>
        <v>225837</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ROUND(C57*F64,0)</f>
        <v>59</v>
      </c>
      <c r="D64" s="910" t="s">
        <v>771</v>
      </c>
      <c r="E64" s="896" t="s">
        <v>712</v>
      </c>
      <c r="F64" s="320">
        <f t="shared" ca="1" si="0"/>
        <v>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47</v>
      </c>
      <c r="D65" s="910" t="s">
        <v>743</v>
      </c>
      <c r="E65" s="896" t="s">
        <v>712</v>
      </c>
      <c r="F65" s="321">
        <f t="shared" ca="1" si="0"/>
        <v>1E-3</v>
      </c>
      <c r="I65" s="1367" t="s">
        <v>867</v>
      </c>
      <c r="J65" s="610">
        <v>40</v>
      </c>
      <c r="K65" s="610">
        <v>30</v>
      </c>
      <c r="L65" s="610">
        <v>50</v>
      </c>
      <c r="M65" s="1369">
        <v>0.02</v>
      </c>
      <c r="O65" s="1325" t="s">
        <v>403</v>
      </c>
      <c r="P65" s="1326" t="s">
        <v>817</v>
      </c>
      <c r="Q65" s="1327">
        <f ca="1">C40+J29</f>
        <v>225837</v>
      </c>
      <c r="R65" s="1327" t="s">
        <v>818</v>
      </c>
    </row>
    <row r="66" spans="1:18" s="1292" customFormat="1" ht="16.5" thickBot="1">
      <c r="A66" s="928" t="s">
        <v>793</v>
      </c>
      <c r="B66" s="896" t="s">
        <v>728</v>
      </c>
      <c r="C66" s="21">
        <f ca="1">ROUND(C48*F66,0)</f>
        <v>0</v>
      </c>
      <c r="D66" s="910" t="s">
        <v>748</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-106</v>
      </c>
      <c r="D67" s="909" t="s">
        <v>753</v>
      </c>
      <c r="E67" s="914"/>
      <c r="F67" s="915"/>
      <c r="O67" s="1334" t="s">
        <v>405</v>
      </c>
      <c r="P67" s="1326" t="s">
        <v>850</v>
      </c>
      <c r="Q67" s="1370">
        <f ca="1">L51</f>
        <v>139176</v>
      </c>
      <c r="R67" s="1327" t="s">
        <v>870</v>
      </c>
    </row>
    <row r="68" spans="1:18" s="1292" customFormat="1" ht="16.5" thickBot="1">
      <c r="A68" s="893" t="s">
        <v>395</v>
      </c>
      <c r="B68" s="894" t="s">
        <v>774</v>
      </c>
      <c r="C68" s="293">
        <f ca="1">ROUND(C67*(1-((1+F70)/(1+F68))^F69)/(F68-F70),0)</f>
        <v>-1953</v>
      </c>
      <c r="D68" s="911" t="s">
        <v>758</v>
      </c>
      <c r="E68" s="896" t="s">
        <v>759</v>
      </c>
      <c r="F68" s="304">
        <f ca="1">F40</f>
        <v>2.5000000000000001E-2</v>
      </c>
      <c r="O68" s="1334" t="s">
        <v>406</v>
      </c>
      <c r="P68" s="1371" t="s">
        <v>871</v>
      </c>
      <c r="Q68" s="1327">
        <f ca="1">ROUND(Q69-Q70*Q71,0)</f>
        <v>8179</v>
      </c>
      <c r="R68" s="1327" t="s">
        <v>414</v>
      </c>
    </row>
    <row r="69" spans="1:18" s="1292" customFormat="1" ht="13.5" thickBot="1">
      <c r="A69" s="897"/>
      <c r="B69" s="898"/>
      <c r="C69" s="298"/>
      <c r="D69" s="916" t="s">
        <v>762</v>
      </c>
      <c r="E69" s="896" t="s">
        <v>763</v>
      </c>
      <c r="F69" s="324">
        <f ca="1">F41</f>
        <v>25</v>
      </c>
      <c r="O69" s="1334" t="s">
        <v>411</v>
      </c>
      <c r="P69" s="1371" t="s">
        <v>872</v>
      </c>
      <c r="Q69" s="1327">
        <f ca="1">C39</f>
        <v>10989</v>
      </c>
      <c r="R69" s="1327" t="s">
        <v>818</v>
      </c>
    </row>
    <row r="70" spans="1:18" s="1292" customFormat="1" ht="13.5" thickBot="1">
      <c r="A70" s="900"/>
      <c r="B70" s="901"/>
      <c r="C70" s="302"/>
      <c r="D70" s="912"/>
      <c r="E70" s="896" t="s">
        <v>766</v>
      </c>
      <c r="F70" s="991"/>
      <c r="O70" s="1334" t="s">
        <v>412</v>
      </c>
      <c r="P70" s="1371" t="s">
        <v>873</v>
      </c>
      <c r="Q70" s="1327">
        <f ca="1">C13</f>
        <v>46840</v>
      </c>
      <c r="R70" s="1327" t="s">
        <v>818</v>
      </c>
    </row>
    <row r="71" spans="1:18" s="1292" customFormat="1" ht="13.5" thickBot="1">
      <c r="A71" s="917" t="s">
        <v>396</v>
      </c>
      <c r="B71" s="918" t="s">
        <v>776</v>
      </c>
      <c r="C71" s="327">
        <f ca="1">ROUND(C68/F71,0)</f>
        <v>-157</v>
      </c>
      <c r="D71" s="919" t="s">
        <v>777</v>
      </c>
      <c r="E71" s="920" t="s">
        <v>778</v>
      </c>
      <c r="F71" s="330">
        <f ca="1">F43</f>
        <v>12.44</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2810</v>
      </c>
      <c r="D75" s="1292"/>
      <c r="E75" s="1292"/>
      <c r="F75" s="1292"/>
      <c r="K75" s="1309"/>
      <c r="L75" s="1292"/>
      <c r="O75" s="1325" t="s">
        <v>409</v>
      </c>
      <c r="P75" s="1326" t="s">
        <v>838</v>
      </c>
      <c r="Q75" s="1327">
        <f ca="1">Q65+Q66</f>
        <v>225837</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0.74399999999999999</v>
      </c>
    </row>
    <row r="80" spans="1:18">
      <c r="B80" s="331" t="s">
        <v>800</v>
      </c>
      <c r="C80" s="266">
        <f ca="1">ROUND(C75/C39,3)</f>
        <v>0.25600000000000001</v>
      </c>
    </row>
    <row r="81" spans="2:3">
      <c r="B81" s="262" t="s">
        <v>801</v>
      </c>
      <c r="C81" s="230"/>
    </row>
    <row r="82" spans="2:3">
      <c r="B82" s="265" t="s">
        <v>802</v>
      </c>
      <c r="C82" s="267">
        <f ca="1">1-C83</f>
        <v>0.79300000000000004</v>
      </c>
    </row>
    <row r="83" spans="2:3">
      <c r="B83" s="265" t="s">
        <v>803</v>
      </c>
      <c r="C83" s="266">
        <f ca="1">ROUND(C13/C40,3)</f>
        <v>0.20699999999999999</v>
      </c>
    </row>
  </sheetData>
  <sheetProtection formatCells="0" formatColumns="0" formatRows="0"/>
  <mergeCells count="3">
    <mergeCell ref="B6:B9"/>
    <mergeCell ref="I6:I9"/>
    <mergeCell ref="K53:L53"/>
  </mergeCells>
  <phoneticPr fontId="134" type="noConversion"/>
  <conditionalFormatting sqref="C11">
    <cfRule type="expression" dxfId="18" priority="3">
      <formula>$F$10="自定义"</formula>
    </cfRule>
  </conditionalFormatting>
  <conditionalFormatting sqref="C54">
    <cfRule type="expression" dxfId="17" priority="1">
      <formula>$F$53="自定义"</formula>
    </cfRule>
  </conditionalFormatting>
  <conditionalFormatting sqref="I55 I60">
    <cfRule type="expression" dxfId="16" priority="5">
      <formula>$J$51&gt;$L$48</formula>
    </cfRule>
  </conditionalFormatting>
  <conditionalFormatting sqref="J11">
    <cfRule type="expression" dxfId="15" priority="2">
      <formula>$M$10="自定义"</formula>
    </cfRule>
  </conditionalFormatting>
  <conditionalFormatting sqref="K55 K60">
    <cfRule type="expression" dxfId="14" priority="4">
      <formula>$L$48&gt;$J$51</formula>
    </cfRule>
  </conditionalFormatting>
  <dataValidations count="9">
    <dataValidation type="list" allowBlank="1" showInputMessage="1" showErrorMessage="1" sqref="D1" xr:uid="{2BF9918E-3F0E-4C0F-9B2F-AAC9D01AA06F}">
      <formula1>"在建（套用方法）,土地（套用方法）,——"</formula1>
    </dataValidation>
    <dataValidation type="list" allowBlank="1" showInputMessage="1" showErrorMessage="1" sqref="F10 F53 M10" xr:uid="{209B4911-9223-48F4-94B1-8DC40E311612}">
      <formula1>"押一,押二,押三,自定义"</formula1>
    </dataValidation>
    <dataValidation type="list" allowBlank="1" showInputMessage="1" showErrorMessage="1" sqref="K19" xr:uid="{350A7CF4-0C2E-41BB-BB9C-78E6BD784007}">
      <formula1>"按租金收入计税,按房产原值计税"</formula1>
    </dataValidation>
    <dataValidation type="list" allowBlank="1" showInputMessage="1" showErrorMessage="1" sqref="D33 D61" xr:uid="{864F078F-175D-4A2D-87F5-8ED87EA7D99E}">
      <formula1>"按租金收入计税,按房产原值计税,按票据"</formula1>
    </dataValidation>
    <dataValidation type="list" allowBlank="1" showInputMessage="1" showErrorMessage="1" sqref="C1" xr:uid="{E0C7FEE6-E9B0-442A-BD00-384590E02561}">
      <formula1>项目类型</formula1>
    </dataValidation>
    <dataValidation type="list" allowBlank="1" showInputMessage="1" showErrorMessage="1" sqref="J47" xr:uid="{F52F3FE1-BD92-407F-A8BE-0FCF0F8EF21E}">
      <formula1>"钢,钢混,砖混"</formula1>
    </dataValidation>
    <dataValidation type="list" allowBlank="1" showInputMessage="1" showErrorMessage="1" sqref="J48" xr:uid="{A91E156C-8803-471E-9681-C9780B765881}">
      <formula1>"非生产用房,生产用房,受腐蚀的生产用房"</formula1>
    </dataValidation>
    <dataValidation type="list" allowBlank="1" showInputMessage="1" showErrorMessage="1" sqref="J56" xr:uid="{C1F0BA24-20AA-4F14-9BB4-2C0BD16C3EB4}">
      <formula1>估价范围判定</formula1>
    </dataValidation>
    <dataValidation type="list" allowBlank="1" showInputMessage="1" showErrorMessage="1" sqref="L55" xr:uid="{ED07407A-AD24-40B8-9D91-899F448A39ED}">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F0EA2-4BEC-4777-83E5-565614C42E62}">
  <sheetPr>
    <tabColor rgb="FF92D050"/>
    <pageSetUpPr fitToPage="1"/>
  </sheetPr>
  <dimension ref="A1:H57"/>
  <sheetViews>
    <sheetView view="pageBreakPreview" zoomScale="130" zoomScaleNormal="70" zoomScaleSheetLayoutView="130" workbookViewId="0">
      <selection activeCell="B3" sqref="B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3459</v>
      </c>
      <c r="C1" s="1717" t="s">
        <v>1563</v>
      </c>
      <c r="D1" s="190"/>
      <c r="E1" s="190"/>
      <c r="F1" s="190"/>
      <c r="G1" s="1062">
        <f>MATCH(B1,'数据-取费表'!A6:A16,0)+5</f>
        <v>7</v>
      </c>
      <c r="H1" s="998" t="str">
        <f>IF(ISERROR(FIND("住宅",B1)),"非住宅","住宅")</f>
        <v>非住宅</v>
      </c>
    </row>
    <row r="2" spans="1:8" s="192" customFormat="1" ht="18" customHeight="1">
      <c r="A2" s="193" t="s">
        <v>685</v>
      </c>
      <c r="B2" s="3121">
        <f ca="1">ROUND(IF(D2="——",C52/10000,C52/10000-E2),4)</f>
        <v>12.8027</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f ca="1">ROUND(B2*10000/(IF(B1="",'数据-汇总表'!E3,INDIRECT("'数据-取费表'!k"&amp;$G$1))),0)</f>
        <v>10292</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f ca="1">C6+C7+C8</f>
        <v>66174.92</v>
      </c>
      <c r="D5" s="203" t="s">
        <v>1469</v>
      </c>
      <c r="E5" s="204" t="s">
        <v>1470</v>
      </c>
      <c r="F5" s="204" t="s">
        <v>1471</v>
      </c>
      <c r="G5" s="205"/>
    </row>
    <row r="6" spans="1:8" s="206" customFormat="1" ht="13.5" customHeight="1">
      <c r="A6" s="732" t="s">
        <v>346</v>
      </c>
      <c r="B6" s="207" t="s">
        <v>1473</v>
      </c>
      <c r="C6" s="208">
        <f>基准地价修正!C42*'数据-汇总表'!G20</f>
        <v>61801.919999999998</v>
      </c>
      <c r="D6" s="209"/>
      <c r="E6" s="210"/>
      <c r="F6" s="210"/>
      <c r="G6" s="211"/>
    </row>
    <row r="7" spans="1:8" s="206" customFormat="1" ht="13.5" customHeight="1">
      <c r="A7" s="732" t="s">
        <v>347</v>
      </c>
      <c r="B7" s="207" t="s">
        <v>1475</v>
      </c>
      <c r="C7" s="212">
        <f>ROUND(C6*F7,0)</f>
        <v>1885</v>
      </c>
      <c r="D7" s="212"/>
      <c r="E7" s="210"/>
      <c r="F7" s="213">
        <f>IF(项目基本情况!B8="出让",0,'数据-取费表'!B48+'数据-取费表'!B49)</f>
        <v>3.0499999999999999E-2</v>
      </c>
      <c r="G7" s="211"/>
    </row>
    <row r="8" spans="1:8" s="215" customFormat="1">
      <c r="A8" s="732" t="s">
        <v>348</v>
      </c>
      <c r="B8" s="207" t="s">
        <v>1477</v>
      </c>
      <c r="C8" s="212">
        <f ca="1">IF(G8="已包含在土地购买价格中",0,C9+C10)</f>
        <v>2488</v>
      </c>
      <c r="D8" s="214"/>
      <c r="E8" s="212"/>
      <c r="F8" s="213"/>
      <c r="G8" s="1714" t="s">
        <v>3441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2488</v>
      </c>
      <c r="D10" s="795">
        <f ca="1">IF(B1="",'数据-汇总表'!E6,IF(INDIRECT("'数据-取费表'!c"&amp;$G$1)="住宅",INDIRECT("'数据-取费表'!s"&amp;$G$1),INDIRECT("'数据-取费表'!k"&amp;$G$1)+INDIRECT("'数据-取费表'!s"&amp;$G$1)))</f>
        <v>12.44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12.44</v>
      </c>
      <c r="E19" s="203">
        <f>'数据-取费表'!B31</f>
        <v>200</v>
      </c>
      <c r="F19" s="223"/>
      <c r="G19" s="1714" t="s">
        <v>3442</v>
      </c>
    </row>
    <row r="20" spans="1:7" s="206" customFormat="1" ht="13.5" customHeight="1">
      <c r="A20" s="247" t="s">
        <v>1493</v>
      </c>
      <c r="B20" s="202" t="s">
        <v>1494</v>
      </c>
      <c r="C20" s="224">
        <f ca="1">ROUND((C5+C19)*F20,0)</f>
        <v>662</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224">
        <f ca="1">ROUND(SUM(C23:C25),0)</f>
        <v>4050</v>
      </c>
      <c r="D22" s="227">
        <f ca="1">C26</f>
        <v>8.9999999999999998E-4</v>
      </c>
      <c r="E22" s="228" t="s">
        <v>1498</v>
      </c>
      <c r="F22" s="229">
        <f ca="1">'数据-取费表'!B40</f>
        <v>0.03</v>
      </c>
      <c r="G22" s="226" t="str">
        <f>IF('数据-取费表'!B22&lt;=1,"单利计息","复利计息")</f>
        <v>复利计息</v>
      </c>
    </row>
    <row r="23" spans="1:7" s="206" customFormat="1" ht="13.5" customHeight="1">
      <c r="A23" s="734" t="s">
        <v>346</v>
      </c>
      <c r="B23" s="207" t="s">
        <v>1503</v>
      </c>
      <c r="C23" s="230">
        <f ca="1">ROUND(IF('数据-取费表'!B22&lt;=1,C5*F22*'数据-取费表'!B22,C5*(POWER((1+F22),'数据-取费表'!B22)-1)),0)</f>
        <v>4030</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f ca="1">ROUND(IF('数据-取费表'!B22&lt;=1,C20*F22*'数据-取费表'!B22/2,C20*(POWER((1+F22),'数据-取费表'!B22/2)-1)),0)</f>
        <v>20</v>
      </c>
      <c r="D25" s="230"/>
      <c r="E25" s="233"/>
      <c r="F25" s="231"/>
      <c r="G25" s="234" t="s">
        <v>1510</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3342</v>
      </c>
      <c r="D27" s="227">
        <f ca="1">C29</f>
        <v>1.5E-3</v>
      </c>
      <c r="E27" s="228" t="s">
        <v>1498</v>
      </c>
      <c r="F27" s="238">
        <f ca="1">IF(B1="",'数据-取费表'!Q16,INDIRECT("'数据-取费表'!q"&amp;$G$1))</f>
        <v>0.05</v>
      </c>
      <c r="G27" s="239" t="s">
        <v>1515</v>
      </c>
    </row>
    <row r="28" spans="1:7" s="206" customFormat="1" ht="13.5" customHeight="1">
      <c r="A28" s="734" t="s">
        <v>346</v>
      </c>
      <c r="B28" s="240" t="s">
        <v>1516</v>
      </c>
      <c r="C28" s="241">
        <f ca="1">ROUND((C5+C19+C20)*F27,0)</f>
        <v>3342</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81187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49076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43540</v>
      </c>
      <c r="D34" s="209"/>
      <c r="E34" s="212"/>
      <c r="F34" s="249"/>
      <c r="G34" s="211"/>
    </row>
    <row r="35" spans="1:7" ht="13.5" customHeight="1">
      <c r="A35" s="734" t="s">
        <v>351</v>
      </c>
      <c r="B35" s="207" t="s">
        <v>1527</v>
      </c>
      <c r="C35" s="212">
        <f ca="1">ROUND(C34*F35,0)</f>
        <v>2177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4" t="s">
        <v>353</v>
      </c>
      <c r="B37" s="207" t="s">
        <v>1531</v>
      </c>
      <c r="C37" s="241">
        <f ca="1">ROUND(E37*D37,0)</f>
        <v>2488</v>
      </c>
      <c r="D37" s="209">
        <f ca="1">D19</f>
        <v>12.44</v>
      </c>
      <c r="E37" s="241">
        <f>'数据-取费表'!B35</f>
        <v>200</v>
      </c>
      <c r="F37" s="251"/>
      <c r="G37" s="253"/>
    </row>
    <row r="38" spans="1:7" ht="13.5" customHeight="1">
      <c r="A38" s="734" t="s">
        <v>354</v>
      </c>
      <c r="B38" s="207" t="s">
        <v>1533</v>
      </c>
      <c r="C38" s="212">
        <f ca="1">ROUND(C34*F38,0)</f>
        <v>871</v>
      </c>
      <c r="D38" s="212"/>
      <c r="E38" s="212"/>
      <c r="F38" s="251">
        <f>'数据-取费表'!B36</f>
        <v>0.02</v>
      </c>
      <c r="G38" s="211" t="s">
        <v>1528</v>
      </c>
    </row>
    <row r="39" spans="1:7" s="206" customFormat="1" ht="13.5" customHeight="1">
      <c r="A39" s="247" t="s">
        <v>1491</v>
      </c>
      <c r="B39" s="202" t="s">
        <v>1494</v>
      </c>
      <c r="C39" s="224">
        <f ca="1">ROUND(C33*F20,0)</f>
        <v>491</v>
      </c>
      <c r="D39" s="224"/>
      <c r="E39" s="224"/>
      <c r="F39" s="225">
        <f>F20</f>
        <v>0.01</v>
      </c>
      <c r="G39" s="226" t="s">
        <v>1536</v>
      </c>
    </row>
    <row r="40" spans="1:7" s="206" customFormat="1" ht="13.5" customHeight="1">
      <c r="A40" s="247" t="s">
        <v>1493</v>
      </c>
      <c r="B40" s="202" t="s">
        <v>1497</v>
      </c>
      <c r="C40" s="227">
        <f>F21</f>
        <v>0.03</v>
      </c>
      <c r="D40" s="228" t="s">
        <v>1539</v>
      </c>
      <c r="E40" s="224"/>
      <c r="F40" s="225">
        <f>F21</f>
        <v>0.03</v>
      </c>
      <c r="G40" s="226" t="s">
        <v>1540</v>
      </c>
    </row>
    <row r="41" spans="1:7" s="206" customFormat="1" ht="13.5" customHeight="1">
      <c r="A41" s="247" t="s">
        <v>1496</v>
      </c>
      <c r="B41" s="202" t="s">
        <v>1501</v>
      </c>
      <c r="C41" s="224">
        <f ca="1">ROUND(SUM(C42:C43),0)</f>
        <v>1487</v>
      </c>
      <c r="D41" s="227">
        <f ca="1">C44</f>
        <v>8.9999999999999998E-4</v>
      </c>
      <c r="E41" s="228" t="s">
        <v>1539</v>
      </c>
      <c r="F41" s="229">
        <f ca="1">F22</f>
        <v>0.03</v>
      </c>
      <c r="G41" s="226" t="str">
        <f>IF('数据-取费表'!B22&lt;=1,"单利计息","复利计息")</f>
        <v>复利计息</v>
      </c>
    </row>
    <row r="42" spans="1:7" ht="13.5" customHeight="1">
      <c r="A42" s="734" t="s">
        <v>346</v>
      </c>
      <c r="B42" s="207" t="s">
        <v>1503</v>
      </c>
      <c r="C42" s="230">
        <f ca="1">ROUND(IF('数据-取费表'!B22&lt;=1,C33*F22*'数据-取费表'!B20/2,C33*(POWER((1+F22),'数据-取费表'!B20/2)-1)),0)</f>
        <v>1472</v>
      </c>
      <c r="D42" s="230"/>
      <c r="E42" s="230"/>
      <c r="F42" s="231"/>
      <c r="G42" s="3360" t="s">
        <v>1591</v>
      </c>
    </row>
    <row r="43" spans="1:7" ht="13.5" customHeight="1">
      <c r="A43" s="734" t="s">
        <v>347</v>
      </c>
      <c r="B43" s="207" t="s">
        <v>1506</v>
      </c>
      <c r="C43" s="230">
        <f ca="1">ROUND(IF('数据-取费表'!B22&lt;=1,C39*F22*'数据-取费表'!B20/2,C39*(POWER((1+F22),'数据-取费表'!B20/2)-1)),0)</f>
        <v>15</v>
      </c>
      <c r="D43" s="230"/>
      <c r="E43" s="230"/>
      <c r="F43" s="231"/>
      <c r="G43" s="3361"/>
    </row>
    <row r="44" spans="1:7" ht="13.5" customHeight="1">
      <c r="A44" s="734" t="s">
        <v>348</v>
      </c>
      <c r="B44" s="207" t="s">
        <v>1509</v>
      </c>
      <c r="C44" s="230">
        <f ca="1">ROUND(IF('数据-取费表'!B22&lt;=1,C40*F22*'数据-取费表'!B20/2,C40*(POWER((1+F22),'数据-取费表'!B20/2)-1)),4)</f>
        <v>8.9999999999999998E-4</v>
      </c>
      <c r="D44" s="230"/>
      <c r="E44" s="230"/>
      <c r="F44" s="231"/>
      <c r="G44" s="3362"/>
    </row>
    <row r="45" spans="1:7" s="206" customFormat="1" ht="13.5" customHeight="1">
      <c r="A45" s="247" t="s">
        <v>1500</v>
      </c>
      <c r="B45" s="236" t="s">
        <v>1513</v>
      </c>
      <c r="C45" s="237">
        <f ca="1">C46</f>
        <v>2478</v>
      </c>
      <c r="D45" s="227">
        <f ca="1">C47</f>
        <v>1.5E-3</v>
      </c>
      <c r="E45" s="228" t="s">
        <v>1539</v>
      </c>
      <c r="F45" s="238">
        <f ca="1">F27</f>
        <v>0.05</v>
      </c>
      <c r="G45" s="239" t="s">
        <v>1548</v>
      </c>
    </row>
    <row r="46" spans="1:7" s="206" customFormat="1" ht="13.5" customHeight="1">
      <c r="A46" s="734" t="s">
        <v>346</v>
      </c>
      <c r="B46" s="240" t="s">
        <v>1549</v>
      </c>
      <c r="C46" s="241">
        <f ca="1">ROUND((C33+C39)*F27,0)</f>
        <v>2478</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58550</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46840</v>
      </c>
      <c r="D51" s="224"/>
      <c r="E51" s="224"/>
      <c r="F51" s="256"/>
      <c r="G51" s="226" t="s">
        <v>1560</v>
      </c>
    </row>
    <row r="52" spans="1:7" s="200" customFormat="1" ht="16.5" thickBot="1">
      <c r="A52" s="257" t="s">
        <v>1561</v>
      </c>
      <c r="B52" s="258"/>
      <c r="C52" s="259">
        <f ca="1">C31+C51</f>
        <v>128027</v>
      </c>
      <c r="D52" s="258"/>
      <c r="E52" s="258"/>
      <c r="F52" s="258"/>
      <c r="G52" s="260"/>
    </row>
    <row r="55" spans="1:7" ht="15">
      <c r="B55" s="262" t="s">
        <v>1562</v>
      </c>
      <c r="C55" s="263"/>
    </row>
    <row r="56" spans="1:7">
      <c r="B56" s="265" t="s">
        <v>802</v>
      </c>
      <c r="C56" s="267">
        <f ca="1">1-C57</f>
        <v>0.63400000000000001</v>
      </c>
    </row>
    <row r="57" spans="1:7">
      <c r="B57" s="265" t="s">
        <v>803</v>
      </c>
      <c r="C57" s="266">
        <f ca="1">ROUND(C51/C52,3)</f>
        <v>0.36599999999999999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C2876EAC-4A81-4CA1-B3DB-B9450AD4BF9C}">
      <formula1>"需扣减承租人权益,——"</formula1>
    </dataValidation>
    <dataValidation type="list" allowBlank="1" showInputMessage="1" showErrorMessage="1" sqref="G2" xr:uid="{915A6707-9AC2-4E0C-88D7-253CE2D92AB7}">
      <formula1>估价方法</formula1>
    </dataValidation>
    <dataValidation type="list" allowBlank="1" showInputMessage="1" showErrorMessage="1" sqref="B1" xr:uid="{5A6212DC-5134-4938-AF41-836D6A00BE80}">
      <formula1>项目类型</formula1>
    </dataValidation>
    <dataValidation type="list" allowBlank="1" showInputMessage="1" showErrorMessage="1" sqref="G19" xr:uid="{16BB007C-E210-44B3-81AF-C23B4DADE132}">
      <formula1>"已包含在土地取得成本中,未包含在土地取得成本中"</formula1>
    </dataValidation>
    <dataValidation type="list" allowBlank="1" showInputMessage="1" showErrorMessage="1" sqref="G8" xr:uid="{498C31A5-CD61-4E75-A903-2785BE4705F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B3" zoomScale="115" zoomScaleNormal="60" zoomScaleSheetLayoutView="115" workbookViewId="0">
      <selection activeCell="N21" sqref="N2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#N/A</v>
      </c>
      <c r="N3" s="2503"/>
      <c r="O3" s="2503"/>
      <c r="P3" s="1086"/>
      <c r="Q3" s="341"/>
      <c r="R3" s="341"/>
      <c r="S3" s="341"/>
      <c r="T3" s="341"/>
      <c r="U3" s="341"/>
      <c r="V3" s="341"/>
      <c r="W3" s="341"/>
      <c r="X3" s="341"/>
      <c r="Y3" s="341"/>
      <c r="Z3" s="341"/>
      <c r="AA3" s="341"/>
      <c r="AB3" s="676"/>
      <c r="AC3" s="663"/>
    </row>
    <row r="4" spans="1:29" ht="15">
      <c r="A4" s="345" t="s">
        <v>1769</v>
      </c>
      <c r="B4" s="346"/>
      <c r="C4" s="3407" t="s">
        <v>1770</v>
      </c>
      <c r="D4" s="3408"/>
      <c r="E4" s="3409" t="s">
        <v>1771</v>
      </c>
      <c r="F4" s="3410"/>
      <c r="G4" s="3407" t="s">
        <v>1772</v>
      </c>
      <c r="H4" s="3408"/>
      <c r="I4" s="3407" t="s">
        <v>1773</v>
      </c>
      <c r="J4" s="3408"/>
      <c r="K4" s="537" t="s">
        <v>1774</v>
      </c>
      <c r="L4" s="2485"/>
      <c r="M4" s="2486"/>
      <c r="N4" s="2486"/>
      <c r="O4" s="2486"/>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ht="15">
      <c r="A5" s="348"/>
      <c r="B5" s="349"/>
      <c r="C5" s="3400" t="s">
        <v>1673</v>
      </c>
      <c r="D5" s="3401"/>
      <c r="E5" s="3398" t="s">
        <v>1674</v>
      </c>
      <c r="F5" s="3399"/>
      <c r="G5" s="3400" t="s">
        <v>1675</v>
      </c>
      <c r="H5" s="3401"/>
      <c r="I5" s="3400" t="s">
        <v>1676</v>
      </c>
      <c r="J5" s="3401"/>
      <c r="K5" s="537"/>
      <c r="L5" s="2485"/>
      <c r="M5" s="2486"/>
      <c r="N5" s="2486"/>
      <c r="O5" s="2486"/>
      <c r="P5" s="3413"/>
      <c r="Q5" s="3414"/>
      <c r="R5" s="3396"/>
      <c r="S5" s="3397"/>
      <c r="T5" s="3396"/>
      <c r="U5" s="3397"/>
      <c r="V5" s="3419"/>
      <c r="W5" s="3419"/>
      <c r="X5" s="1265"/>
      <c r="Y5" s="3396"/>
      <c r="Z5" s="3397"/>
      <c r="AA5" s="3390"/>
      <c r="AB5" s="3390"/>
      <c r="AC5" s="3390"/>
    </row>
    <row r="6" spans="1:29" ht="15.75" thickBot="1">
      <c r="A6" s="350"/>
      <c r="B6" s="351"/>
      <c r="C6" s="3402" t="s">
        <v>1677</v>
      </c>
      <c r="D6" s="3403"/>
      <c r="E6" s="3404" t="s">
        <v>1677</v>
      </c>
      <c r="F6" s="3405"/>
      <c r="G6" s="3402" t="s">
        <v>1677</v>
      </c>
      <c r="H6" s="3403"/>
      <c r="I6" s="3402" t="s">
        <v>1677</v>
      </c>
      <c r="J6" s="3403"/>
      <c r="K6" s="537" t="s">
        <v>1678</v>
      </c>
      <c r="L6" s="2485"/>
      <c r="M6" s="2486"/>
      <c r="N6" s="2486"/>
      <c r="O6" s="2486"/>
      <c r="P6" s="3415"/>
      <c r="Q6" s="3416"/>
      <c r="R6" s="3396"/>
      <c r="S6" s="3397"/>
      <c r="T6" s="3417"/>
      <c r="U6" s="3418"/>
      <c r="V6" s="3419"/>
      <c r="W6" s="3419"/>
      <c r="X6" s="1265"/>
      <c r="Y6" s="3417"/>
      <c r="Z6" s="3418"/>
      <c r="AA6" s="3391"/>
      <c r="AB6" s="3391"/>
      <c r="AC6" s="3391"/>
    </row>
    <row r="7" spans="1:29" s="102" customFormat="1" ht="15.75" thickBot="1">
      <c r="A7" s="352" t="s">
        <v>1679</v>
      </c>
      <c r="B7" s="353"/>
      <c r="C7" s="354">
        <f>'数据-取费表'!B2</f>
        <v>45875</v>
      </c>
      <c r="D7" s="355">
        <v>100</v>
      </c>
      <c r="E7" s="356">
        <v>45870</v>
      </c>
      <c r="F7" s="357">
        <f>SUMIF(48:48,YEAR(E7)&amp;"-"&amp;MONTH(E7),49:49)</f>
        <v>100</v>
      </c>
      <c r="G7" s="356">
        <v>45870</v>
      </c>
      <c r="H7" s="355">
        <f>SUMIF(48:48,YEAR(G7)&amp;"-"&amp;MONTH(G7),49:49)</f>
        <v>100</v>
      </c>
      <c r="I7" s="356">
        <v>45870</v>
      </c>
      <c r="J7" s="355">
        <f>SUMIF(48:48,YEAR(I7)&amp;"-"&amp;MONTH(I7),49:49)</f>
        <v>100</v>
      </c>
      <c r="K7" s="38"/>
      <c r="L7" s="2487"/>
      <c r="M7" s="2438"/>
      <c r="N7" s="2438"/>
      <c r="O7" s="2438"/>
      <c r="P7" s="3392" t="s">
        <v>1680</v>
      </c>
      <c r="Q7" s="3420"/>
      <c r="R7" s="664" t="s">
        <v>14</v>
      </c>
      <c r="S7" s="665">
        <f t="shared" ref="S7:S14" si="0">F7</f>
        <v>100</v>
      </c>
      <c r="T7" s="664" t="s">
        <v>14</v>
      </c>
      <c r="U7" s="665">
        <f t="shared" ref="U7:U14" si="1">H7</f>
        <v>100</v>
      </c>
      <c r="V7" s="664" t="s">
        <v>14</v>
      </c>
      <c r="W7" s="665">
        <f t="shared" ref="W7:W14" si="2">J7</f>
        <v>100</v>
      </c>
      <c r="X7" s="666"/>
      <c r="Y7" s="3392" t="s">
        <v>1680</v>
      </c>
      <c r="Z7" s="3393"/>
      <c r="AA7" s="50">
        <f>D7/F7</f>
        <v>1</v>
      </c>
      <c r="AB7" s="50">
        <f>D7/H7</f>
        <v>1</v>
      </c>
      <c r="AC7" s="50">
        <f>D7/J7</f>
        <v>1</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92" t="s">
        <v>1683</v>
      </c>
      <c r="Q8" s="3393"/>
      <c r="R8" s="664" t="s">
        <v>14</v>
      </c>
      <c r="S8" s="665">
        <f t="shared" si="0"/>
        <v>100</v>
      </c>
      <c r="T8" s="664" t="s">
        <v>14</v>
      </c>
      <c r="U8" s="665">
        <f t="shared" si="1"/>
        <v>100</v>
      </c>
      <c r="V8" s="664" t="s">
        <v>14</v>
      </c>
      <c r="W8" s="665">
        <f t="shared" si="2"/>
        <v>100</v>
      </c>
      <c r="X8" s="666"/>
      <c r="Y8" s="3392" t="s">
        <v>1683</v>
      </c>
      <c r="Z8" s="339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24"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24"/>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24"/>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25" t="s">
        <v>1691</v>
      </c>
      <c r="Q14" s="1263" t="str">
        <f t="shared" si="6"/>
        <v>交通便捷度</v>
      </c>
      <c r="R14" s="667" t="s">
        <v>14</v>
      </c>
      <c r="S14" s="668">
        <f t="shared" si="0"/>
        <v>100</v>
      </c>
      <c r="T14" s="667" t="s">
        <v>14</v>
      </c>
      <c r="U14" s="668">
        <f t="shared" si="1"/>
        <v>100</v>
      </c>
      <c r="V14" s="667" t="s">
        <v>14</v>
      </c>
      <c r="W14" s="668">
        <f t="shared" si="2"/>
        <v>100</v>
      </c>
      <c r="X14" s="1265"/>
      <c r="Y14" s="342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26"/>
      <c r="Q15" s="1263"/>
      <c r="R15" s="667"/>
      <c r="S15" s="668"/>
      <c r="T15" s="667"/>
      <c r="U15" s="668"/>
      <c r="V15" s="667"/>
      <c r="W15" s="668"/>
      <c r="X15" s="1265"/>
      <c r="Y15" s="3426"/>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26"/>
      <c r="Q16" s="1263" t="str">
        <f>B16</f>
        <v>公共配套设施</v>
      </c>
      <c r="R16" s="667" t="s">
        <v>14</v>
      </c>
      <c r="S16" s="668">
        <f>F16</f>
        <v>100</v>
      </c>
      <c r="T16" s="667" t="s">
        <v>14</v>
      </c>
      <c r="U16" s="668">
        <f>H16</f>
        <v>100</v>
      </c>
      <c r="V16" s="667" t="s">
        <v>14</v>
      </c>
      <c r="W16" s="668">
        <f>J16</f>
        <v>100</v>
      </c>
      <c r="X16" s="1265"/>
      <c r="Y16" s="342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26"/>
      <c r="Q17" s="1263"/>
      <c r="R17" s="667"/>
      <c r="S17" s="668"/>
      <c r="T17" s="667"/>
      <c r="U17" s="668"/>
      <c r="V17" s="667"/>
      <c r="W17" s="668"/>
      <c r="X17" s="1265"/>
      <c r="Y17" s="3426"/>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26"/>
      <c r="Q18" s="1263" t="str">
        <f>B18</f>
        <v>基础设施水平</v>
      </c>
      <c r="R18" s="667" t="s">
        <v>14</v>
      </c>
      <c r="S18" s="668">
        <f>F18</f>
        <v>100</v>
      </c>
      <c r="T18" s="667" t="s">
        <v>14</v>
      </c>
      <c r="U18" s="668">
        <f>H18</f>
        <v>100</v>
      </c>
      <c r="V18" s="667" t="s">
        <v>14</v>
      </c>
      <c r="W18" s="668">
        <f>J18</f>
        <v>100</v>
      </c>
      <c r="X18" s="1265"/>
      <c r="Y18" s="342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26"/>
      <c r="Q19" s="1263"/>
      <c r="R19" s="667"/>
      <c r="S19" s="668"/>
      <c r="T19" s="667"/>
      <c r="U19" s="668"/>
      <c r="V19" s="667"/>
      <c r="W19" s="668"/>
      <c r="X19" s="1265"/>
      <c r="Y19" s="3426"/>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26"/>
      <c r="Q20" s="1263" t="str">
        <f>B20</f>
        <v>自然及人文环境</v>
      </c>
      <c r="R20" s="667" t="s">
        <v>14</v>
      </c>
      <c r="S20" s="668">
        <f>F20</f>
        <v>100</v>
      </c>
      <c r="T20" s="667" t="s">
        <v>14</v>
      </c>
      <c r="U20" s="668">
        <f>H20</f>
        <v>100</v>
      </c>
      <c r="V20" s="667" t="s">
        <v>14</v>
      </c>
      <c r="W20" s="668">
        <f>J20</f>
        <v>100</v>
      </c>
      <c r="X20" s="1265"/>
      <c r="Y20" s="342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26"/>
      <c r="Q21" s="1263"/>
      <c r="R21" s="667"/>
      <c r="S21" s="668"/>
      <c r="T21" s="667"/>
      <c r="U21" s="668"/>
      <c r="V21" s="667"/>
      <c r="W21" s="668"/>
      <c r="X21" s="1265"/>
      <c r="Y21" s="342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26"/>
      <c r="Q22" s="1263" t="str">
        <f>B22</f>
        <v>楼层</v>
      </c>
      <c r="R22" s="667" t="s">
        <v>14</v>
      </c>
      <c r="S22" s="668">
        <f>F22</f>
        <v>100</v>
      </c>
      <c r="T22" s="667" t="s">
        <v>14</v>
      </c>
      <c r="U22" s="668">
        <f>H22</f>
        <v>100</v>
      </c>
      <c r="V22" s="667" t="s">
        <v>14</v>
      </c>
      <c r="W22" s="668">
        <f>J22</f>
        <v>100</v>
      </c>
      <c r="X22" s="1265"/>
      <c r="Y22" s="342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26"/>
      <c r="Q23" s="1263">
        <f>B23</f>
        <v>111</v>
      </c>
      <c r="R23" s="667" t="s">
        <v>14</v>
      </c>
      <c r="S23" s="668">
        <f>F23</f>
        <v>100</v>
      </c>
      <c r="T23" s="667" t="s">
        <v>14</v>
      </c>
      <c r="U23" s="668">
        <f>H23</f>
        <v>100</v>
      </c>
      <c r="V23" s="667" t="s">
        <v>14</v>
      </c>
      <c r="W23" s="668">
        <f>J23</f>
        <v>100</v>
      </c>
      <c r="X23" s="1265"/>
      <c r="Y23" s="342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26"/>
      <c r="Q24" s="1263">
        <f t="shared" ref="Q24:Q36" si="11">B24</f>
        <v>111</v>
      </c>
      <c r="R24" s="667" t="s">
        <v>14</v>
      </c>
      <c r="S24" s="668">
        <f>F24</f>
        <v>100</v>
      </c>
      <c r="T24" s="667" t="s">
        <v>14</v>
      </c>
      <c r="U24" s="668">
        <f>H24</f>
        <v>100</v>
      </c>
      <c r="V24" s="667" t="s">
        <v>14</v>
      </c>
      <c r="W24" s="668">
        <f>J24</f>
        <v>100</v>
      </c>
      <c r="X24" s="1265"/>
      <c r="Y24" s="342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26"/>
      <c r="Q25" s="530">
        <f t="shared" si="11"/>
        <v>111</v>
      </c>
      <c r="R25" s="664" t="s">
        <v>14</v>
      </c>
      <c r="S25" s="665">
        <f>F25</f>
        <v>100</v>
      </c>
      <c r="T25" s="664" t="s">
        <v>14</v>
      </c>
      <c r="U25" s="665">
        <f>H25</f>
        <v>100</v>
      </c>
      <c r="V25" s="664" t="s">
        <v>14</v>
      </c>
      <c r="W25" s="665">
        <f>J25</f>
        <v>100</v>
      </c>
      <c r="X25" s="666"/>
      <c r="Y25" s="3426"/>
      <c r="Z25" s="50">
        <f>Q25</f>
        <v>111</v>
      </c>
      <c r="AA25" s="1264">
        <f>D25/F25</f>
        <v>1</v>
      </c>
      <c r="AB25" s="1264">
        <f>D25/H25</f>
        <v>1</v>
      </c>
      <c r="AC25" s="1264">
        <f>D25/J25</f>
        <v>1</v>
      </c>
    </row>
    <row r="26" spans="1:29" ht="28.5">
      <c r="A26" s="574" t="s">
        <v>1694</v>
      </c>
      <c r="B26" s="59" t="s">
        <v>1836</v>
      </c>
      <c r="C26" s="1818" t="str">
        <f>B1</f>
        <v>车库</v>
      </c>
      <c r="D26" s="387">
        <v>100</v>
      </c>
      <c r="E26" s="386" t="s">
        <v>3333</v>
      </c>
      <c r="F26" s="388">
        <f>SUMIF(79:79,E26,80:80)-SUMIF(79:79,C26,80:80)+100</f>
        <v>100</v>
      </c>
      <c r="G26" s="386" t="s">
        <v>3333</v>
      </c>
      <c r="H26" s="387">
        <f>SUMIF(79:79,G26,80:80)-SUMIF(79:79,C26,80:80)+100</f>
        <v>100</v>
      </c>
      <c r="I26" s="386" t="s">
        <v>3333</v>
      </c>
      <c r="J26" s="387">
        <f>SUMIF(79:79,I26,80:80)-SUMIF(79:79,C26,80:80)+100</f>
        <v>100</v>
      </c>
      <c r="K26" s="538"/>
      <c r="L26" s="2491"/>
      <c r="M26" s="2486"/>
      <c r="N26" s="2486"/>
      <c r="O26" s="2486"/>
      <c r="P26" s="3449"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430" t="s">
        <v>1696</v>
      </c>
      <c r="Z26" s="1264" t="str">
        <f t="shared" ref="Z26:Z36" si="15">Q26</f>
        <v>配套类型</v>
      </c>
      <c r="AA26" s="1264">
        <f t="shared" si="3"/>
        <v>1</v>
      </c>
      <c r="AB26" s="1264">
        <f t="shared" si="4"/>
        <v>1</v>
      </c>
      <c r="AC26" s="1264">
        <f t="shared" si="5"/>
        <v>1</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30"/>
      <c r="Q27" s="531" t="str">
        <f t="shared" si="11"/>
        <v>项目停车位配比</v>
      </c>
      <c r="R27" s="669" t="s">
        <v>14</v>
      </c>
      <c r="S27" s="670">
        <f t="shared" si="12"/>
        <v>100</v>
      </c>
      <c r="T27" s="669" t="s">
        <v>14</v>
      </c>
      <c r="U27" s="670">
        <f t="shared" si="13"/>
        <v>100</v>
      </c>
      <c r="V27" s="669" t="s">
        <v>14</v>
      </c>
      <c r="W27" s="670">
        <f t="shared" si="14"/>
        <v>100</v>
      </c>
      <c r="X27" s="671"/>
      <c r="Y27" s="343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30"/>
      <c r="Q28" s="1263" t="str">
        <f t="shared" si="11"/>
        <v>公共部分装修</v>
      </c>
      <c r="R28" s="667" t="s">
        <v>14</v>
      </c>
      <c r="S28" s="668">
        <f t="shared" si="12"/>
        <v>100</v>
      </c>
      <c r="T28" s="667" t="s">
        <v>14</v>
      </c>
      <c r="U28" s="668">
        <f t="shared" si="13"/>
        <v>100</v>
      </c>
      <c r="V28" s="667" t="s">
        <v>14</v>
      </c>
      <c r="W28" s="668">
        <f t="shared" si="14"/>
        <v>100</v>
      </c>
      <c r="X28" s="1265"/>
      <c r="Y28" s="343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30"/>
      <c r="Q29" s="1263" t="str">
        <f t="shared" si="11"/>
        <v>成新率</v>
      </c>
      <c r="R29" s="667" t="s">
        <v>14</v>
      </c>
      <c r="S29" s="668" t="e">
        <f t="shared" si="12"/>
        <v>#N/A</v>
      </c>
      <c r="T29" s="667" t="s">
        <v>14</v>
      </c>
      <c r="U29" s="668" t="e">
        <f t="shared" si="13"/>
        <v>#N/A</v>
      </c>
      <c r="V29" s="667" t="s">
        <v>14</v>
      </c>
      <c r="W29" s="668" t="e">
        <f t="shared" si="14"/>
        <v>#N/A</v>
      </c>
      <c r="X29" s="1265"/>
      <c r="Y29" s="343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30"/>
      <c r="Q30" s="1263" t="str">
        <f t="shared" si="11"/>
        <v>物业等级</v>
      </c>
      <c r="R30" s="667" t="s">
        <v>14</v>
      </c>
      <c r="S30" s="668">
        <f t="shared" si="12"/>
        <v>100</v>
      </c>
      <c r="T30" s="667" t="s">
        <v>14</v>
      </c>
      <c r="U30" s="668">
        <f t="shared" si="13"/>
        <v>100</v>
      </c>
      <c r="V30" s="667" t="s">
        <v>14</v>
      </c>
      <c r="W30" s="668">
        <f t="shared" si="14"/>
        <v>100</v>
      </c>
      <c r="X30" s="1265"/>
      <c r="Y30" s="343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30"/>
      <c r="Q31" s="530" t="str">
        <f t="shared" si="11"/>
        <v>停车位面积</v>
      </c>
      <c r="R31" s="664" t="s">
        <v>14</v>
      </c>
      <c r="S31" s="665" t="e">
        <f t="shared" si="12"/>
        <v>#N/A</v>
      </c>
      <c r="T31" s="664" t="s">
        <v>14</v>
      </c>
      <c r="U31" s="665" t="e">
        <f t="shared" si="13"/>
        <v>#N/A</v>
      </c>
      <c r="V31" s="664" t="s">
        <v>14</v>
      </c>
      <c r="W31" s="665" t="e">
        <f t="shared" si="14"/>
        <v>#N/A</v>
      </c>
      <c r="X31" s="666"/>
      <c r="Y31" s="343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30" t="s">
        <v>1696</v>
      </c>
      <c r="Q32" s="1263" t="str">
        <f t="shared" si="11"/>
        <v>车位类型</v>
      </c>
      <c r="R32" s="667" t="s">
        <v>14</v>
      </c>
      <c r="S32" s="668">
        <f t="shared" si="12"/>
        <v>100</v>
      </c>
      <c r="T32" s="667" t="s">
        <v>14</v>
      </c>
      <c r="U32" s="668">
        <f t="shared" si="13"/>
        <v>100</v>
      </c>
      <c r="V32" s="667" t="s">
        <v>14</v>
      </c>
      <c r="W32" s="668">
        <f t="shared" si="14"/>
        <v>100</v>
      </c>
      <c r="X32" s="1265"/>
      <c r="Y32" s="343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30"/>
      <c r="Q33" s="1263" t="str">
        <f t="shared" si="11"/>
        <v>是否直接入户</v>
      </c>
      <c r="R33" s="667" t="s">
        <v>14</v>
      </c>
      <c r="S33" s="668">
        <f t="shared" si="12"/>
        <v>100</v>
      </c>
      <c r="T33" s="667" t="s">
        <v>14</v>
      </c>
      <c r="U33" s="668">
        <f t="shared" si="13"/>
        <v>100</v>
      </c>
      <c r="V33" s="667" t="s">
        <v>14</v>
      </c>
      <c r="W33" s="668">
        <f t="shared" si="14"/>
        <v>100</v>
      </c>
      <c r="X33" s="1265"/>
      <c r="Y33" s="343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30"/>
      <c r="Q34" s="1263">
        <f t="shared" si="11"/>
        <v>111</v>
      </c>
      <c r="R34" s="667" t="s">
        <v>14</v>
      </c>
      <c r="S34" s="668">
        <f t="shared" si="12"/>
        <v>100</v>
      </c>
      <c r="T34" s="667" t="s">
        <v>14</v>
      </c>
      <c r="U34" s="668">
        <f t="shared" si="13"/>
        <v>100</v>
      </c>
      <c r="V34" s="667" t="s">
        <v>14</v>
      </c>
      <c r="W34" s="668">
        <f t="shared" si="14"/>
        <v>100</v>
      </c>
      <c r="X34" s="1265"/>
      <c r="Y34" s="343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30"/>
      <c r="Q35" s="531">
        <f t="shared" si="11"/>
        <v>111</v>
      </c>
      <c r="R35" s="669" t="s">
        <v>14</v>
      </c>
      <c r="S35" s="670">
        <f t="shared" si="12"/>
        <v>100</v>
      </c>
      <c r="T35" s="669" t="s">
        <v>14</v>
      </c>
      <c r="U35" s="670">
        <f t="shared" si="13"/>
        <v>100</v>
      </c>
      <c r="V35" s="669" t="s">
        <v>14</v>
      </c>
      <c r="W35" s="670">
        <f t="shared" si="14"/>
        <v>100</v>
      </c>
      <c r="X35" s="671"/>
      <c r="Y35" s="343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30"/>
      <c r="Q36" s="1263">
        <f t="shared" si="11"/>
        <v>111</v>
      </c>
      <c r="R36" s="667" t="s">
        <v>14</v>
      </c>
      <c r="S36" s="668">
        <f t="shared" si="12"/>
        <v>100</v>
      </c>
      <c r="T36" s="667" t="s">
        <v>14</v>
      </c>
      <c r="U36" s="668">
        <f t="shared" si="13"/>
        <v>100</v>
      </c>
      <c r="V36" s="667" t="s">
        <v>14</v>
      </c>
      <c r="W36" s="668">
        <f t="shared" si="14"/>
        <v>100</v>
      </c>
      <c r="X36" s="1265"/>
      <c r="Y36" s="3430"/>
      <c r="Z36" s="1264">
        <f t="shared" si="15"/>
        <v>111</v>
      </c>
      <c r="AA36" s="1264">
        <f t="shared" si="3"/>
        <v>1</v>
      </c>
      <c r="AB36" s="1264">
        <f t="shared" si="4"/>
        <v>1</v>
      </c>
      <c r="AC36" s="1264">
        <f t="shared" si="5"/>
        <v>1</v>
      </c>
    </row>
    <row r="37" spans="1:29" ht="15">
      <c r="A37" s="416" t="s">
        <v>1844</v>
      </c>
      <c r="B37" s="1819" t="s">
        <v>3354</v>
      </c>
      <c r="C37" s="1081" t="s">
        <v>0</v>
      </c>
      <c r="D37" s="418"/>
      <c r="E37" s="419"/>
      <c r="F37" s="420"/>
      <c r="G37" s="421"/>
      <c r="H37" s="422"/>
      <c r="I37" s="419"/>
      <c r="J37" s="422"/>
      <c r="K37" s="545"/>
      <c r="L37" s="2493"/>
      <c r="M37" s="2486"/>
      <c r="N37" s="2486"/>
      <c r="O37" s="2486"/>
      <c r="P37" s="3424" t="str">
        <f>A37</f>
        <v>成交单价</v>
      </c>
      <c r="Q37" s="3424"/>
      <c r="R37" s="3419">
        <f>E37</f>
        <v>0</v>
      </c>
      <c r="S37" s="3419"/>
      <c r="T37" s="3419">
        <f>G37</f>
        <v>0</v>
      </c>
      <c r="U37" s="3419"/>
      <c r="V37" s="3419">
        <f>I37</f>
        <v>0</v>
      </c>
      <c r="W37" s="3419"/>
      <c r="X37" s="385"/>
      <c r="Y37" s="673"/>
      <c r="Z37" s="385"/>
      <c r="AA37" s="385"/>
      <c r="AB37" s="385"/>
      <c r="AC37" s="385"/>
    </row>
    <row r="38" spans="1:29" ht="15.75" thickBot="1">
      <c r="A38" s="423" t="s">
        <v>1845</v>
      </c>
      <c r="B38" s="424" t="str">
        <f>B37</f>
        <v>元/平方米</v>
      </c>
      <c r="C38" s="1082" t="e">
        <f>R39</f>
        <v>#N/A</v>
      </c>
      <c r="D38" s="2139" t="s">
        <v>2138</v>
      </c>
      <c r="E38" s="1083" t="e">
        <f>R38</f>
        <v>#N/A</v>
      </c>
      <c r="F38" s="2140"/>
      <c r="G38" s="1082" t="e">
        <f>T38</f>
        <v>#N/A</v>
      </c>
      <c r="H38" s="2140"/>
      <c r="I38" s="1083" t="e">
        <f>V38</f>
        <v>#N/A</v>
      </c>
      <c r="J38" s="2140"/>
      <c r="K38" s="2142">
        <f>F38+H38+J38</f>
        <v>0</v>
      </c>
      <c r="L38" s="2493"/>
      <c r="M38" s="2486"/>
      <c r="N38" s="2486"/>
      <c r="O38" s="2486"/>
      <c r="P38" s="3424" t="str">
        <f>A38</f>
        <v>比较价值（元/平方米）</v>
      </c>
      <c r="Q38" s="3424"/>
      <c r="R38" s="3419" t="e">
        <f>IF(F1="售价",ROUND(PRODUCT(R37,AA7:AA36),0),ROUND(PRODUCT(R37,AA7:AA36),1))</f>
        <v>#N/A</v>
      </c>
      <c r="S38" s="3419"/>
      <c r="T38" s="3419" t="e">
        <f>IF(F1="售价",ROUND(PRODUCT(T37,AB7:AB36),0),ROUND(PRODUCT(T37,AB7:AB36),1))</f>
        <v>#N/A</v>
      </c>
      <c r="U38" s="3419"/>
      <c r="V38" s="3419" t="e">
        <f>IF(F1="售价",ROUND(PRODUCT(V37,AC7:AC36),0),ROUND(PRODUCT(V37,AC7:AC36),1))</f>
        <v>#N/A</v>
      </c>
      <c r="W38" s="3419"/>
      <c r="X38" s="385"/>
      <c r="Y38" s="385"/>
      <c r="Z38" s="385"/>
      <c r="AA38" s="385"/>
      <c r="AB38" s="385"/>
      <c r="AC38" s="385"/>
    </row>
    <row r="39" spans="1:29" ht="15.75" thickBot="1">
      <c r="A39" s="427" t="s">
        <v>1846</v>
      </c>
      <c r="B39" s="428"/>
      <c r="C39" s="351" t="e">
        <f>R39</f>
        <v>#N/A</v>
      </c>
      <c r="D39" s="351"/>
      <c r="E39" s="351"/>
      <c r="F39" s="351"/>
      <c r="G39" s="351"/>
      <c r="H39" s="351"/>
      <c r="I39" s="351"/>
      <c r="J39" s="351"/>
      <c r="K39" s="546"/>
      <c r="L39" s="2493"/>
      <c r="M39" s="2486"/>
      <c r="N39" s="2486"/>
      <c r="O39" s="2486"/>
      <c r="P39" s="3421" t="str">
        <f>A39</f>
        <v>估价对象XX用房的比较价值（楼面单价，元/平方米）</v>
      </c>
      <c r="Q39" s="3422"/>
      <c r="R39" s="3450" t="e">
        <f>IF(F1="售价",ROUND(IF(D38="简单平均",AVERAGE(R38:W38),R38*F38+T38*H38+V38*J38),0),ROUND(IF(D38="简单平均",AVERAGE(R38:V38),R38*F38+T38*H38+V38*J38),1))</f>
        <v>#N/A</v>
      </c>
      <c r="S39" s="3450"/>
      <c r="T39" s="3450"/>
      <c r="U39" s="3450"/>
      <c r="V39" s="3450"/>
      <c r="W39" s="345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#N/A</v>
      </c>
      <c r="F42" s="435" t="e">
        <f>IF(OR(E42&gt;=0.3,E42&lt;=-0.3),"超过30%","")</f>
        <v>#N/A</v>
      </c>
      <c r="G42" s="434" t="e">
        <f>IF(G37&lt;G38,G38/G37-1,G37/G38-1)</f>
        <v>#N/A</v>
      </c>
      <c r="H42" s="435" t="e">
        <f>IF(OR(G42&gt;=0.3,G42&lt;=-0.3),"超过30%","")</f>
        <v>#N/A</v>
      </c>
      <c r="I42" s="434" t="e">
        <f>IF(I37&lt;I38,I38/I37-1,I37/I38-1)</f>
        <v>#N/A</v>
      </c>
      <c r="J42" s="435" t="e">
        <f>IF(OR(I42&gt;=0.3,I42&lt;=-0.3),"超过30%","")</f>
        <v>#N/A</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#N/A</v>
      </c>
      <c r="F43" s="435" t="e">
        <f>IF(OR(E43&gt;=0.2,E43&lt;=-0.2),"超过20%","")</f>
        <v>#N/A</v>
      </c>
      <c r="G43" s="434" t="e">
        <f>IF(G38&lt;I38,I38/G38-1,G38/I38-1)</f>
        <v>#N/A</v>
      </c>
      <c r="H43" s="435" t="e">
        <f>IF(OR(G43&gt;=0.2,G43&lt;=-0.2),"超过20%","")</f>
        <v>#N/A</v>
      </c>
      <c r="I43" s="434" t="e">
        <f>IF(I38&lt;E38,E38/I38-1,I38/E38-1)</f>
        <v>#N/A</v>
      </c>
      <c r="J43" s="435" t="e">
        <f>IF(OR(I43&gt;=0.2,I43&lt;=-0.2),"超过20%","")</f>
        <v>#N/A</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估价结果一览表（市场价值不需“结果表-1”）</v>
      </c>
      <c r="B3" s="3184"/>
      <c r="C3" s="3184"/>
      <c r="D3" s="3184"/>
      <c r="E3" s="3184"/>
    </row>
    <row r="4" spans="1:5" ht="19.5" thickBot="1">
      <c r="A4" s="1391"/>
      <c r="B4" s="3182" t="s">
        <v>917</v>
      </c>
      <c r="C4" s="3182"/>
      <c r="D4" s="3182"/>
      <c r="E4" s="1391"/>
    </row>
    <row r="5" spans="1:5" ht="16.5" thickTop="1">
      <c r="B5" s="3180" t="s">
        <v>909</v>
      </c>
      <c r="C5" s="1392" t="s">
        <v>910</v>
      </c>
      <c r="D5" s="797" t="e">
        <f ca="1">'结果表-住宅'!H101</f>
        <v>#REF!</v>
      </c>
    </row>
    <row r="6" spans="1:5" ht="15.75">
      <c r="B6" s="3180"/>
      <c r="C6" s="1392" t="s">
        <v>911</v>
      </c>
      <c r="D6" s="797" t="e">
        <f ca="1">NUMBERSTRING(INT(D5*10000),2)&amp;"元整"</f>
        <v>#REF!</v>
      </c>
    </row>
    <row r="7" spans="1:5" ht="15.75">
      <c r="B7" s="3185"/>
      <c r="C7" s="1393" t="s">
        <v>912</v>
      </c>
      <c r="D7" s="798" t="e">
        <f ca="1">'结果表-住宅'!H102</f>
        <v>#REF!</v>
      </c>
    </row>
    <row r="8" spans="1:5" ht="15.75">
      <c r="B8" s="3186" t="str">
        <f>'结果表-住宅'!E103</f>
        <v>2.估价师知悉的法定优先受偿款</v>
      </c>
      <c r="C8" s="1394" t="s">
        <v>913</v>
      </c>
      <c r="D8" s="798">
        <f>'结果表-住宅'!H103</f>
        <v>0</v>
      </c>
    </row>
    <row r="9" spans="1:5" ht="15.75">
      <c r="B9" s="3188"/>
      <c r="C9" s="1392" t="s">
        <v>911</v>
      </c>
      <c r="D9" s="797" t="str">
        <f>NUMBERSTRING(INT(D8*10000),2)&amp;"元整"</f>
        <v>零元整</v>
      </c>
    </row>
    <row r="10" spans="1:5" ht="15">
      <c r="B10" s="1395" t="s">
        <v>916</v>
      </c>
      <c r="C10" s="1396" t="s">
        <v>914</v>
      </c>
      <c r="D10" s="799">
        <f>'结果表-住宅'!H104</f>
        <v>0</v>
      </c>
    </row>
    <row r="11" spans="1:5" ht="15">
      <c r="B11" s="1395" t="s">
        <v>918</v>
      </c>
      <c r="C11" s="1396" t="s">
        <v>919</v>
      </c>
      <c r="D11" s="799">
        <f>'结果表-住宅'!H105</f>
        <v>0</v>
      </c>
    </row>
    <row r="12" spans="1:5" ht="15">
      <c r="B12" s="1395" t="s">
        <v>920</v>
      </c>
      <c r="C12" s="1396" t="s">
        <v>919</v>
      </c>
      <c r="D12" s="799">
        <f>'结果表-住宅'!H106</f>
        <v>0</v>
      </c>
    </row>
    <row r="13" spans="1:5" ht="15.75">
      <c r="B13" s="3179" t="str">
        <f>'结果表-住宅'!E107</f>
        <v>3.房地产抵押价值</v>
      </c>
      <c r="C13" s="1397" t="s">
        <v>910</v>
      </c>
      <c r="D13" s="800" t="e">
        <f ca="1">'结果表-住宅'!H107</f>
        <v>#REF!</v>
      </c>
    </row>
    <row r="14" spans="1:5" ht="15.75">
      <c r="B14" s="3180"/>
      <c r="C14" s="1392" t="s">
        <v>911</v>
      </c>
      <c r="D14" s="797" t="e">
        <f ca="1">NUMBERSTRING(INT(D13*10000),2)&amp;"元整"</f>
        <v>#REF!</v>
      </c>
    </row>
    <row r="15" spans="1:5" ht="15">
      <c r="B15" s="3185"/>
      <c r="C15" s="1393" t="s">
        <v>921</v>
      </c>
      <c r="D15" s="806" t="e">
        <f ca="1">'结果表-住宅'!H108</f>
        <v>#REF!</v>
      </c>
    </row>
    <row r="16" spans="1:5" ht="15">
      <c r="B16" s="3186" t="str">
        <f>'结果表-住宅'!E109</f>
        <v>——</v>
      </c>
      <c r="C16" s="1397" t="s">
        <v>922</v>
      </c>
      <c r="D16" s="1398" t="str">
        <f>'结果表-住宅'!H109</f>
        <v>——</v>
      </c>
    </row>
    <row r="17" spans="1:5" ht="15.75">
      <c r="B17" s="3187"/>
      <c r="C17" s="1392" t="s">
        <v>923</v>
      </c>
      <c r="D17" s="797" t="e">
        <f>NUMBERSTRING(INT(D16*10000),2)&amp;"元整"</f>
        <v>#VALUE!</v>
      </c>
    </row>
    <row r="18" spans="1:5" ht="15">
      <c r="B18" s="3188"/>
      <c r="C18" s="1393" t="s">
        <v>912</v>
      </c>
      <c r="D18" s="806" t="str">
        <f>'结果表-住宅'!H110</f>
        <v>——</v>
      </c>
    </row>
    <row r="19" spans="1:5" ht="15.75">
      <c r="B19" s="3179" t="str">
        <f>'结果表-住宅'!E111</f>
        <v>——</v>
      </c>
      <c r="C19" s="1397" t="s">
        <v>910</v>
      </c>
      <c r="D19" s="798" t="str">
        <f>'结果表-住宅'!H111</f>
        <v>——</v>
      </c>
    </row>
    <row r="20" spans="1:5" ht="15.75">
      <c r="B20" s="3180"/>
      <c r="C20" s="1392" t="s">
        <v>923</v>
      </c>
      <c r="D20" s="797" t="e">
        <f>NUMBERSTRING(INT(D19*10000),2)&amp;"元整"</f>
        <v>#VALUE!</v>
      </c>
    </row>
    <row r="21" spans="1:5" ht="15.75" thickBot="1">
      <c r="B21" s="3181"/>
      <c r="C21" s="1399" t="s">
        <v>921</v>
      </c>
      <c r="D21" s="807" t="str">
        <f>'结果表-住宅'!H112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B00FB-B919-48A9-BA8C-37D5B7096E75}">
  <dimension ref="U5:X30"/>
  <sheetViews>
    <sheetView workbookViewId="0">
      <selection activeCell="V5" sqref="V5:V7"/>
    </sheetView>
  </sheetViews>
  <sheetFormatPr defaultRowHeight="13.5"/>
  <sheetData>
    <row r="5" spans="21:24">
      <c r="U5">
        <v>242.43</v>
      </c>
      <c r="V5">
        <v>91573</v>
      </c>
      <c r="W5" s="1405" t="s">
        <v>3423</v>
      </c>
      <c r="X5" s="1405" t="s">
        <v>3426</v>
      </c>
    </row>
    <row r="6" spans="21:24">
      <c r="U6">
        <v>242.43</v>
      </c>
      <c r="V6">
        <v>96936</v>
      </c>
      <c r="W6" s="1405" t="s">
        <v>3423</v>
      </c>
      <c r="X6" s="1405" t="s">
        <v>3426</v>
      </c>
    </row>
    <row r="7" spans="21:24">
      <c r="U7">
        <v>242.2</v>
      </c>
      <c r="V7">
        <v>94138</v>
      </c>
      <c r="W7" s="1405" t="s">
        <v>3424</v>
      </c>
      <c r="X7" s="1405" t="s">
        <v>3426</v>
      </c>
    </row>
    <row r="8" spans="21:24">
      <c r="U8" s="3157">
        <v>241.61</v>
      </c>
      <c r="V8" s="3157">
        <v>110095</v>
      </c>
      <c r="W8" s="3169" t="s">
        <v>3424</v>
      </c>
      <c r="X8" s="3169" t="s">
        <v>3426</v>
      </c>
    </row>
    <row r="9" spans="21:24">
      <c r="U9" s="3157">
        <v>240.98</v>
      </c>
      <c r="V9" s="3157">
        <v>97519</v>
      </c>
      <c r="W9" s="3169" t="s">
        <v>3425</v>
      </c>
      <c r="X9" s="3169" t="s">
        <v>3426</v>
      </c>
    </row>
    <row r="10" spans="21:24">
      <c r="U10" s="3157">
        <v>238.9</v>
      </c>
      <c r="V10" s="3157">
        <v>108833</v>
      </c>
      <c r="W10" s="3169" t="s">
        <v>3423</v>
      </c>
      <c r="X10" s="3169" t="s">
        <v>3427</v>
      </c>
    </row>
    <row r="19" spans="21:23">
      <c r="U19">
        <v>304</v>
      </c>
      <c r="V19">
        <v>53000</v>
      </c>
      <c r="W19">
        <f>V19/U19</f>
        <v>174.34210526315789</v>
      </c>
    </row>
    <row r="20" spans="21:23">
      <c r="U20">
        <v>258</v>
      </c>
      <c r="V20">
        <v>45000</v>
      </c>
      <c r="W20">
        <f t="shared" ref="W20:W24" si="0">V20/U20</f>
        <v>174.41860465116278</v>
      </c>
    </row>
    <row r="21" spans="21:23">
      <c r="U21">
        <v>189.64</v>
      </c>
      <c r="V21">
        <v>37000</v>
      </c>
      <c r="W21">
        <f t="shared" si="0"/>
        <v>195.1065176123181</v>
      </c>
    </row>
    <row r="22" spans="21:23">
      <c r="U22">
        <v>171</v>
      </c>
      <c r="V22">
        <v>26500</v>
      </c>
      <c r="W22">
        <f t="shared" si="0"/>
        <v>154.97076023391813</v>
      </c>
    </row>
    <row r="23" spans="21:23">
      <c r="U23">
        <v>157.16999999999999</v>
      </c>
      <c r="V23">
        <v>25000</v>
      </c>
      <c r="W23">
        <f t="shared" si="0"/>
        <v>159.06343449767769</v>
      </c>
    </row>
    <row r="24" spans="21:23">
      <c r="U24">
        <v>125.99</v>
      </c>
      <c r="V24">
        <v>23000</v>
      </c>
      <c r="W24">
        <f t="shared" si="0"/>
        <v>182.55417096594968</v>
      </c>
    </row>
    <row r="28" spans="21:23">
      <c r="V28">
        <v>170</v>
      </c>
    </row>
    <row r="29" spans="21:23">
      <c r="V29">
        <v>237.82</v>
      </c>
    </row>
    <row r="30" spans="21:23">
      <c r="V30">
        <f>V28*V29</f>
        <v>40429.4</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3" t="s">
        <v>2607</v>
      </c>
      <c r="B20" s="3483" t="s">
        <v>2628</v>
      </c>
      <c r="C20" s="3167" t="s">
        <v>2439</v>
      </c>
      <c r="D20" s="3167"/>
      <c r="E20" s="2843">
        <v>1</v>
      </c>
      <c r="F20" s="2844" t="s">
        <v>2440</v>
      </c>
      <c r="G20" s="2844"/>
    </row>
    <row r="21" spans="1:13" ht="19.5" customHeight="1">
      <c r="A21" s="3494"/>
      <c r="B21" s="3484"/>
      <c r="C21" s="2856" t="s">
        <v>2441</v>
      </c>
      <c r="D21" s="2856"/>
      <c r="E21" s="2847">
        <v>1</v>
      </c>
      <c r="F21" s="2844" t="s">
        <v>2442</v>
      </c>
      <c r="G21" s="2844"/>
    </row>
    <row r="22" spans="1:13" ht="19.5" customHeight="1">
      <c r="A22" s="3494"/>
      <c r="B22" s="3484"/>
      <c r="C22" s="2856" t="s">
        <v>2443</v>
      </c>
      <c r="D22" s="2856"/>
      <c r="E22" s="2847">
        <v>0.9</v>
      </c>
      <c r="F22" s="2844" t="s">
        <v>2444</v>
      </c>
      <c r="G22" s="2844"/>
    </row>
    <row r="23" spans="1:13" ht="19.5" customHeight="1">
      <c r="A23" s="3494"/>
      <c r="B23" s="3484"/>
      <c r="C23" s="2856" t="s">
        <v>2445</v>
      </c>
      <c r="D23" s="2856"/>
      <c r="E23" s="2847">
        <v>0.9</v>
      </c>
      <c r="F23" s="2844" t="s">
        <v>2446</v>
      </c>
      <c r="G23" s="2844"/>
    </row>
    <row r="24" spans="1:13" ht="19.5" customHeight="1">
      <c r="A24" s="3494"/>
      <c r="B24" s="3484"/>
      <c r="C24" s="2856" t="s">
        <v>2447</v>
      </c>
      <c r="D24" s="2856"/>
      <c r="E24" s="2847">
        <v>0.8</v>
      </c>
      <c r="F24" s="2844" t="s">
        <v>2448</v>
      </c>
      <c r="G24" s="2844"/>
    </row>
    <row r="25" spans="1:13" ht="19.5" customHeight="1">
      <c r="A25" s="3494"/>
      <c r="B25" s="3484"/>
      <c r="C25" s="2856" t="s">
        <v>2449</v>
      </c>
      <c r="D25" s="2856"/>
      <c r="E25" s="2847">
        <v>0.8</v>
      </c>
      <c r="F25" s="2844"/>
      <c r="G25" s="2844"/>
    </row>
    <row r="26" spans="1:13" ht="19.5" customHeight="1">
      <c r="A26" s="3494"/>
      <c r="B26" s="3484"/>
      <c r="C26" s="2856" t="s">
        <v>3412</v>
      </c>
      <c r="D26" s="2856"/>
      <c r="E26" s="2847">
        <v>0.43</v>
      </c>
      <c r="F26" s="2844"/>
      <c r="G26" s="2844"/>
    </row>
    <row r="27" spans="1:13" ht="19.5" customHeight="1" thickBot="1">
      <c r="A27" s="3495"/>
      <c r="B27" s="3485"/>
      <c r="C27" s="3163" t="s">
        <v>3413</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86" t="s">
        <v>2631</v>
      </c>
      <c r="B29" s="3489" t="s">
        <v>2612</v>
      </c>
      <c r="C29" s="2841" t="s">
        <v>2452</v>
      </c>
      <c r="D29" s="2842"/>
      <c r="E29" s="2843">
        <v>1</v>
      </c>
      <c r="F29" s="2844" t="s">
        <v>2453</v>
      </c>
      <c r="G29" s="2844"/>
    </row>
    <row r="30" spans="1:13" ht="19.5" customHeight="1">
      <c r="A30" s="3487"/>
      <c r="B30" s="3490"/>
      <c r="C30" s="2845" t="s">
        <v>2454</v>
      </c>
      <c r="D30" s="2846"/>
      <c r="E30" s="2847">
        <v>1</v>
      </c>
      <c r="F30" s="2844" t="s">
        <v>2455</v>
      </c>
      <c r="G30" s="2844"/>
    </row>
    <row r="31" spans="1:13" ht="19.5" customHeight="1">
      <c r="A31" s="3487"/>
      <c r="B31" s="3490"/>
      <c r="C31" s="2845" t="s">
        <v>2456</v>
      </c>
      <c r="D31" s="2846"/>
      <c r="E31" s="2847">
        <v>0.8</v>
      </c>
      <c r="F31" s="2844" t="s">
        <v>2457</v>
      </c>
      <c r="G31" s="2844"/>
    </row>
    <row r="32" spans="1:13" ht="19.5" customHeight="1">
      <c r="A32" s="3487"/>
      <c r="B32" s="3490"/>
      <c r="C32" s="2845" t="s">
        <v>2458</v>
      </c>
      <c r="D32" s="2846"/>
      <c r="E32" s="2847">
        <v>0.8</v>
      </c>
      <c r="F32" s="2844" t="s">
        <v>2459</v>
      </c>
      <c r="G32" s="2844"/>
    </row>
    <row r="33" spans="1:7" ht="19.5" customHeight="1">
      <c r="A33" s="3487"/>
      <c r="B33" s="3490"/>
      <c r="C33" s="2845" t="s">
        <v>2460</v>
      </c>
      <c r="D33" s="2846"/>
      <c r="E33" s="2847">
        <v>0.8</v>
      </c>
      <c r="F33" s="2844" t="s">
        <v>2461</v>
      </c>
      <c r="G33" s="2844"/>
    </row>
    <row r="34" spans="1:7" ht="19.5" customHeight="1">
      <c r="A34" s="3487"/>
      <c r="B34" s="3490"/>
      <c r="C34" s="2845" t="s">
        <v>2462</v>
      </c>
      <c r="D34" s="2846"/>
      <c r="E34" s="2847">
        <v>0.7</v>
      </c>
      <c r="F34" s="2844" t="s">
        <v>2463</v>
      </c>
      <c r="G34" s="2844"/>
    </row>
    <row r="35" spans="1:7" ht="19.5" customHeight="1">
      <c r="A35" s="3487"/>
      <c r="B35" s="3490"/>
      <c r="C35" s="2845" t="s">
        <v>2464</v>
      </c>
      <c r="D35" s="2846"/>
      <c r="E35" s="2847">
        <v>0.8</v>
      </c>
      <c r="F35" s="2844" t="s">
        <v>2465</v>
      </c>
      <c r="G35" s="2844"/>
    </row>
    <row r="36" spans="1:7" ht="19.5" customHeight="1">
      <c r="A36" s="3487"/>
      <c r="B36" s="3490"/>
      <c r="C36" s="2845" t="s">
        <v>2466</v>
      </c>
      <c r="D36" s="2846"/>
      <c r="E36" s="2847">
        <v>0.6</v>
      </c>
      <c r="F36" s="2844" t="s">
        <v>2467</v>
      </c>
      <c r="G36" s="2844"/>
    </row>
    <row r="37" spans="1:7" ht="19.5" customHeight="1">
      <c r="A37" s="3487"/>
      <c r="B37" s="3490"/>
      <c r="C37" s="2845" t="s">
        <v>2468</v>
      </c>
      <c r="D37" s="2846"/>
      <c r="E37" s="2847">
        <v>0.2</v>
      </c>
      <c r="F37" s="2844" t="s">
        <v>2469</v>
      </c>
      <c r="G37" s="2844"/>
    </row>
    <row r="38" spans="1:7" ht="19.5" customHeight="1">
      <c r="A38" s="3487"/>
      <c r="B38" s="3490"/>
      <c r="C38" s="2845" t="s">
        <v>2470</v>
      </c>
      <c r="D38" s="2846"/>
      <c r="E38" s="2847">
        <v>0.2</v>
      </c>
      <c r="F38" s="2844" t="s">
        <v>2471</v>
      </c>
      <c r="G38" s="2844"/>
    </row>
    <row r="39" spans="1:7" ht="19.5" customHeight="1">
      <c r="A39" s="3487"/>
      <c r="B39" s="3491" t="s">
        <v>2632</v>
      </c>
      <c r="C39" s="2845" t="s">
        <v>2472</v>
      </c>
      <c r="D39" s="2846"/>
      <c r="E39" s="2847">
        <v>0.6</v>
      </c>
      <c r="F39" s="2844" t="s">
        <v>2473</v>
      </c>
      <c r="G39" s="2844"/>
    </row>
    <row r="40" spans="1:7" ht="19.5" customHeight="1">
      <c r="A40" s="3487"/>
      <c r="B40" s="3490"/>
      <c r="C40" s="2845" t="s">
        <v>2474</v>
      </c>
      <c r="D40" s="2846"/>
      <c r="E40" s="2847">
        <v>0.6</v>
      </c>
      <c r="F40" s="2844" t="s">
        <v>2475</v>
      </c>
      <c r="G40" s="2844"/>
    </row>
    <row r="41" spans="1:7" ht="19.5" customHeight="1" thickBot="1">
      <c r="A41" s="3488"/>
      <c r="B41" s="3492"/>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3" t="s">
        <v>2610</v>
      </c>
      <c r="B43" s="3489" t="s">
        <v>2634</v>
      </c>
      <c r="C43" s="2841" t="s">
        <v>2479</v>
      </c>
      <c r="D43" s="2842"/>
      <c r="E43" s="2843">
        <v>1</v>
      </c>
      <c r="F43" s="2844" t="s">
        <v>2480</v>
      </c>
      <c r="G43" s="2844"/>
    </row>
    <row r="44" spans="1:7" ht="19.5" customHeight="1">
      <c r="A44" s="3494"/>
      <c r="B44" s="3490"/>
      <c r="C44" s="2845" t="s">
        <v>2481</v>
      </c>
      <c r="D44" s="2846"/>
      <c r="E44" s="2847">
        <v>1</v>
      </c>
      <c r="F44" s="2844" t="s">
        <v>2482</v>
      </c>
      <c r="G44" s="2844"/>
    </row>
    <row r="45" spans="1:7" ht="19.5" customHeight="1">
      <c r="A45" s="3494"/>
      <c r="B45" s="3496"/>
      <c r="C45" s="2845" t="s">
        <v>2483</v>
      </c>
      <c r="D45" s="2846"/>
      <c r="E45" s="2847">
        <v>1.5</v>
      </c>
      <c r="F45" s="2844" t="s">
        <v>2484</v>
      </c>
      <c r="G45" s="2844"/>
    </row>
    <row r="46" spans="1:7" ht="19.5" customHeight="1">
      <c r="A46" s="3494"/>
      <c r="B46" s="2856" t="s">
        <v>2635</v>
      </c>
      <c r="C46" s="2845" t="s">
        <v>2636</v>
      </c>
      <c r="D46" s="2846"/>
      <c r="E46" s="2847">
        <v>2</v>
      </c>
      <c r="F46" s="2844" t="s">
        <v>2485</v>
      </c>
      <c r="G46" s="2844"/>
    </row>
    <row r="47" spans="1:7" ht="19.5" customHeight="1">
      <c r="A47" s="3494"/>
      <c r="B47" s="3491" t="s">
        <v>2637</v>
      </c>
      <c r="C47" s="2845" t="s">
        <v>2486</v>
      </c>
      <c r="D47" s="2846"/>
      <c r="E47" s="2847">
        <v>1</v>
      </c>
      <c r="F47" s="2844" t="s">
        <v>2487</v>
      </c>
      <c r="G47" s="2844"/>
    </row>
    <row r="48" spans="1:7" ht="19.5" customHeight="1">
      <c r="A48" s="3494"/>
      <c r="B48" s="3490"/>
      <c r="C48" s="2845" t="s">
        <v>2488</v>
      </c>
      <c r="D48" s="2846"/>
      <c r="E48" s="2847">
        <v>1</v>
      </c>
      <c r="F48" s="2844" t="s">
        <v>2489</v>
      </c>
      <c r="G48" s="2844"/>
    </row>
    <row r="49" spans="1:7" ht="19.5" customHeight="1">
      <c r="A49" s="3494"/>
      <c r="B49" s="3490"/>
      <c r="C49" s="2845" t="s">
        <v>2490</v>
      </c>
      <c r="D49" s="2846"/>
      <c r="E49" s="2847">
        <v>1</v>
      </c>
      <c r="F49" s="2844" t="s">
        <v>2491</v>
      </c>
      <c r="G49" s="2844"/>
    </row>
    <row r="50" spans="1:7" ht="19.5" customHeight="1">
      <c r="A50" s="3494"/>
      <c r="B50" s="3490"/>
      <c r="C50" s="2845" t="s">
        <v>2492</v>
      </c>
      <c r="D50" s="2846"/>
      <c r="E50" s="2847">
        <v>1</v>
      </c>
      <c r="F50" s="2844" t="s">
        <v>2493</v>
      </c>
      <c r="G50" s="2844"/>
    </row>
    <row r="51" spans="1:7" ht="19.5" customHeight="1">
      <c r="A51" s="3494"/>
      <c r="B51" s="3490"/>
      <c r="C51" s="2845" t="s">
        <v>2494</v>
      </c>
      <c r="D51" s="2846"/>
      <c r="E51" s="2847">
        <v>1</v>
      </c>
      <c r="F51" s="2844" t="s">
        <v>2495</v>
      </c>
      <c r="G51" s="2844"/>
    </row>
    <row r="52" spans="1:7" ht="19.5" customHeight="1">
      <c r="A52" s="3494"/>
      <c r="B52" s="3490"/>
      <c r="C52" s="2845" t="s">
        <v>2496</v>
      </c>
      <c r="D52" s="2846"/>
      <c r="E52" s="2847">
        <v>1</v>
      </c>
      <c r="F52" s="2844" t="s">
        <v>2497</v>
      </c>
      <c r="G52" s="2844"/>
    </row>
    <row r="53" spans="1:7" ht="19.5" customHeight="1" thickBot="1">
      <c r="A53" s="3495"/>
      <c r="B53" s="3492"/>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3.5">
      <c r="A74" s="2856"/>
      <c r="B74" s="2856"/>
      <c r="C74" s="2856" t="s">
        <v>2650</v>
      </c>
      <c r="D74" s="2856"/>
      <c r="E74" s="2856" t="s">
        <v>2621</v>
      </c>
      <c r="F74" s="2856" t="s">
        <v>2621</v>
      </c>
    </row>
    <row r="75" spans="1:7" ht="13.5">
      <c r="A75" s="2856">
        <v>1</v>
      </c>
      <c r="B75" s="3491" t="s">
        <v>2651</v>
      </c>
      <c r="C75" s="2830" t="s">
        <v>2652</v>
      </c>
      <c r="D75" s="2830" t="s">
        <v>2653</v>
      </c>
      <c r="E75" s="2856">
        <v>0.2</v>
      </c>
      <c r="F75" s="2856">
        <v>25</v>
      </c>
    </row>
    <row r="76" spans="1:7" ht="24">
      <c r="A76" s="2856">
        <v>2</v>
      </c>
      <c r="B76" s="3490"/>
      <c r="C76" s="2830" t="s">
        <v>2654</v>
      </c>
      <c r="D76" s="2830" t="s">
        <v>2655</v>
      </c>
      <c r="E76" s="2856">
        <v>0.2</v>
      </c>
      <c r="F76" s="2856">
        <v>25</v>
      </c>
    </row>
    <row r="77" spans="1:7" ht="24">
      <c r="A77" s="2856">
        <v>3</v>
      </c>
      <c r="B77" s="3490"/>
      <c r="C77" s="2830" t="s">
        <v>2656</v>
      </c>
      <c r="D77" s="2830" t="s">
        <v>2657</v>
      </c>
      <c r="E77" s="2856">
        <v>0.2</v>
      </c>
      <c r="F77" s="2856">
        <v>25</v>
      </c>
    </row>
    <row r="78" spans="1:7" ht="13.5">
      <c r="A78" s="2856">
        <v>4</v>
      </c>
      <c r="B78" s="3490"/>
      <c r="C78" s="2830" t="s">
        <v>2658</v>
      </c>
      <c r="D78" s="2830" t="s">
        <v>2659</v>
      </c>
      <c r="E78" s="2856">
        <v>0.15</v>
      </c>
      <c r="F78" s="2856">
        <v>20</v>
      </c>
    </row>
    <row r="79" spans="1:7" ht="24">
      <c r="A79" s="2856">
        <v>5</v>
      </c>
      <c r="B79" s="3490"/>
      <c r="C79" s="2830" t="s">
        <v>2660</v>
      </c>
      <c r="D79" s="2830" t="s">
        <v>2661</v>
      </c>
      <c r="E79" s="2856">
        <v>0.15</v>
      </c>
      <c r="F79" s="2856">
        <v>20</v>
      </c>
    </row>
    <row r="80" spans="1:7" ht="24">
      <c r="A80" s="2856">
        <v>6</v>
      </c>
      <c r="B80" s="3490"/>
      <c r="C80" s="2830" t="s">
        <v>2662</v>
      </c>
      <c r="D80" s="2830" t="s">
        <v>2663</v>
      </c>
      <c r="E80" s="2856">
        <v>0.15</v>
      </c>
      <c r="F80" s="2856">
        <v>20</v>
      </c>
    </row>
    <row r="81" spans="1:6" ht="24">
      <c r="A81" s="2856">
        <v>7</v>
      </c>
      <c r="B81" s="3490"/>
      <c r="C81" s="2830" t="s">
        <v>2664</v>
      </c>
      <c r="D81" s="2830" t="s">
        <v>2665</v>
      </c>
      <c r="E81" s="2856">
        <v>0.15</v>
      </c>
      <c r="F81" s="2856">
        <v>20</v>
      </c>
    </row>
    <row r="82" spans="1:6" ht="24">
      <c r="A82" s="2856">
        <v>8</v>
      </c>
      <c r="B82" s="3490"/>
      <c r="C82" s="2830" t="s">
        <v>2666</v>
      </c>
      <c r="D82" s="2830" t="s">
        <v>2667</v>
      </c>
      <c r="E82" s="2856">
        <v>0.1</v>
      </c>
      <c r="F82" s="2856">
        <v>15</v>
      </c>
    </row>
    <row r="83" spans="1:6" ht="24">
      <c r="A83" s="2856">
        <v>9</v>
      </c>
      <c r="B83" s="3490"/>
      <c r="C83" s="2830" t="s">
        <v>2668</v>
      </c>
      <c r="D83" s="2830" t="s">
        <v>2669</v>
      </c>
      <c r="E83" s="2856">
        <v>0.1</v>
      </c>
      <c r="F83" s="2856">
        <v>15</v>
      </c>
    </row>
    <row r="84" spans="1:6" ht="24">
      <c r="A84" s="2856">
        <v>10</v>
      </c>
      <c r="B84" s="3490"/>
      <c r="C84" s="2830" t="s">
        <v>2670</v>
      </c>
      <c r="D84" s="2830" t="s">
        <v>2671</v>
      </c>
      <c r="E84" s="2856">
        <v>0.1</v>
      </c>
      <c r="F84" s="2856">
        <v>15</v>
      </c>
    </row>
    <row r="85" spans="1:6" ht="24">
      <c r="A85" s="2856">
        <v>11</v>
      </c>
      <c r="B85" s="3490"/>
      <c r="C85" s="2830" t="s">
        <v>2672</v>
      </c>
      <c r="D85" s="2830" t="s">
        <v>2673</v>
      </c>
      <c r="E85" s="2856">
        <v>0.1</v>
      </c>
      <c r="F85" s="2856">
        <v>15</v>
      </c>
    </row>
    <row r="86" spans="1:6" ht="24">
      <c r="A86" s="2856">
        <v>12</v>
      </c>
      <c r="B86" s="3490"/>
      <c r="C86" s="2830" t="s">
        <v>2674</v>
      </c>
      <c r="D86" s="2830" t="s">
        <v>2675</v>
      </c>
      <c r="E86" s="2856">
        <v>0.1</v>
      </c>
      <c r="F86" s="2856">
        <v>15</v>
      </c>
    </row>
    <row r="87" spans="1:6" ht="13.5">
      <c r="A87" s="2856">
        <v>13</v>
      </c>
      <c r="B87" s="3490"/>
      <c r="C87" s="2830" t="s">
        <v>2676</v>
      </c>
      <c r="D87" s="2830" t="s">
        <v>2677</v>
      </c>
      <c r="E87" s="2856">
        <v>0.1</v>
      </c>
      <c r="F87" s="2856">
        <v>15</v>
      </c>
    </row>
    <row r="88" spans="1:6" ht="13.5">
      <c r="A88" s="2856">
        <v>14</v>
      </c>
      <c r="B88" s="3490"/>
      <c r="C88" s="2830" t="s">
        <v>2678</v>
      </c>
      <c r="D88" s="2830" t="s">
        <v>2679</v>
      </c>
      <c r="E88" s="2856">
        <v>0.1</v>
      </c>
      <c r="F88" s="2856">
        <v>15</v>
      </c>
    </row>
    <row r="89" spans="1:6" ht="13.5">
      <c r="A89" s="2856">
        <v>15</v>
      </c>
      <c r="B89" s="3490"/>
      <c r="C89" s="2830" t="s">
        <v>2680</v>
      </c>
      <c r="D89" s="2830" t="s">
        <v>2681</v>
      </c>
      <c r="E89" s="2856">
        <v>0.1</v>
      </c>
      <c r="F89" s="2856">
        <v>15</v>
      </c>
    </row>
    <row r="90" spans="1:6" ht="24">
      <c r="A90" s="2856">
        <v>16</v>
      </c>
      <c r="B90" s="3490"/>
      <c r="C90" s="2830" t="s">
        <v>2682</v>
      </c>
      <c r="D90" s="2830" t="s">
        <v>2683</v>
      </c>
      <c r="E90" s="2856">
        <v>0.1</v>
      </c>
      <c r="F90" s="2856">
        <v>15</v>
      </c>
    </row>
    <row r="91" spans="1:6" ht="24">
      <c r="A91" s="2856">
        <v>17</v>
      </c>
      <c r="B91" s="3496"/>
      <c r="C91" s="2830" t="s">
        <v>2684</v>
      </c>
      <c r="D91" s="2830" t="s">
        <v>2685</v>
      </c>
      <c r="E91" s="2856">
        <v>0.1</v>
      </c>
      <c r="F91" s="2856">
        <v>15</v>
      </c>
    </row>
    <row r="92" spans="1:6" ht="13.5">
      <c r="A92" s="2856">
        <v>18</v>
      </c>
      <c r="B92" s="3491" t="s">
        <v>2686</v>
      </c>
      <c r="C92" s="2830" t="s">
        <v>2687</v>
      </c>
      <c r="D92" s="2830" t="s">
        <v>2688</v>
      </c>
      <c r="E92" s="2856">
        <v>0.2</v>
      </c>
      <c r="F92" s="2856">
        <v>25</v>
      </c>
    </row>
    <row r="93" spans="1:6" ht="24">
      <c r="A93" s="2856">
        <v>19</v>
      </c>
      <c r="B93" s="3490"/>
      <c r="C93" s="2830" t="s">
        <v>2689</v>
      </c>
      <c r="D93" s="2830" t="s">
        <v>2690</v>
      </c>
      <c r="E93" s="2856">
        <v>0.2</v>
      </c>
      <c r="F93" s="2856">
        <v>25</v>
      </c>
    </row>
    <row r="94" spans="1:6" ht="13.5">
      <c r="A94" s="2856">
        <v>20</v>
      </c>
      <c r="B94" s="3490"/>
      <c r="C94" s="2830" t="s">
        <v>2691</v>
      </c>
      <c r="D94" s="2830" t="s">
        <v>2692</v>
      </c>
      <c r="E94" s="2856">
        <v>0.15</v>
      </c>
      <c r="F94" s="2856">
        <v>20</v>
      </c>
    </row>
    <row r="95" spans="1:6" ht="13.5">
      <c r="A95" s="2856">
        <v>21</v>
      </c>
      <c r="B95" s="3490"/>
      <c r="C95" s="2830" t="s">
        <v>2693</v>
      </c>
      <c r="D95" s="2830" t="s">
        <v>2694</v>
      </c>
      <c r="E95" s="2856">
        <v>0.15</v>
      </c>
      <c r="F95" s="2856">
        <v>20</v>
      </c>
    </row>
    <row r="96" spans="1:6" ht="13.5">
      <c r="A96" s="2856">
        <v>22</v>
      </c>
      <c r="B96" s="3490"/>
      <c r="C96" s="2830" t="s">
        <v>2695</v>
      </c>
      <c r="D96" s="2830" t="s">
        <v>2696</v>
      </c>
      <c r="E96" s="2856">
        <v>0.15</v>
      </c>
      <c r="F96" s="2856">
        <v>20</v>
      </c>
    </row>
    <row r="97" spans="1:6" ht="36">
      <c r="A97" s="2856">
        <v>23</v>
      </c>
      <c r="B97" s="3490"/>
      <c r="C97" s="2830" t="s">
        <v>2697</v>
      </c>
      <c r="D97" s="2830" t="s">
        <v>2698</v>
      </c>
      <c r="E97" s="2856">
        <v>0.15</v>
      </c>
      <c r="F97" s="2856">
        <v>20</v>
      </c>
    </row>
    <row r="98" spans="1:6" ht="13.5">
      <c r="A98" s="2856">
        <v>24</v>
      </c>
      <c r="B98" s="3490"/>
      <c r="C98" s="2830" t="s">
        <v>2699</v>
      </c>
      <c r="D98" s="2830" t="s">
        <v>2700</v>
      </c>
      <c r="E98" s="2856">
        <v>0.1</v>
      </c>
      <c r="F98" s="2856">
        <v>15</v>
      </c>
    </row>
    <row r="99" spans="1:6" ht="13.5">
      <c r="A99" s="2856">
        <v>25</v>
      </c>
      <c r="B99" s="3490"/>
      <c r="C99" s="2830" t="s">
        <v>2701</v>
      </c>
      <c r="D99" s="2830" t="s">
        <v>2702</v>
      </c>
      <c r="E99" s="2856">
        <v>0.1</v>
      </c>
      <c r="F99" s="2856">
        <v>15</v>
      </c>
    </row>
    <row r="100" spans="1:6" ht="24">
      <c r="A100" s="2856">
        <v>26</v>
      </c>
      <c r="B100" s="3490"/>
      <c r="C100" s="2830" t="s">
        <v>2703</v>
      </c>
      <c r="D100" s="2830" t="s">
        <v>2704</v>
      </c>
      <c r="E100" s="2856">
        <v>0.1</v>
      </c>
      <c r="F100" s="2856">
        <v>15</v>
      </c>
    </row>
    <row r="101" spans="1:6" ht="24">
      <c r="A101" s="2856">
        <v>27</v>
      </c>
      <c r="B101" s="3490"/>
      <c r="C101" s="2830" t="s">
        <v>2705</v>
      </c>
      <c r="D101" s="2830" t="s">
        <v>2706</v>
      </c>
      <c r="E101" s="2856">
        <v>0.1</v>
      </c>
      <c r="F101" s="2856">
        <v>15</v>
      </c>
    </row>
    <row r="102" spans="1:6" ht="13.5">
      <c r="A102" s="2856">
        <v>28</v>
      </c>
      <c r="B102" s="3490"/>
      <c r="C102" s="2830" t="s">
        <v>2707</v>
      </c>
      <c r="D102" s="2830" t="s">
        <v>2708</v>
      </c>
      <c r="E102" s="2856">
        <v>0.1</v>
      </c>
      <c r="F102" s="2856">
        <v>15</v>
      </c>
    </row>
    <row r="103" spans="1:6" ht="13.5">
      <c r="A103" s="2856">
        <v>29</v>
      </c>
      <c r="B103" s="3490"/>
      <c r="C103" s="2830" t="s">
        <v>2709</v>
      </c>
      <c r="D103" s="2830" t="s">
        <v>2710</v>
      </c>
      <c r="E103" s="2856">
        <v>0.1</v>
      </c>
      <c r="F103" s="2856">
        <v>15</v>
      </c>
    </row>
    <row r="104" spans="1:6" ht="13.5">
      <c r="A104" s="2856">
        <v>30</v>
      </c>
      <c r="B104" s="3490"/>
      <c r="C104" s="2830" t="s">
        <v>2711</v>
      </c>
      <c r="D104" s="2830" t="s">
        <v>2712</v>
      </c>
      <c r="E104" s="2856">
        <v>0.1</v>
      </c>
      <c r="F104" s="2856">
        <v>15</v>
      </c>
    </row>
    <row r="105" spans="1:6" ht="24">
      <c r="A105" s="2856">
        <v>31</v>
      </c>
      <c r="B105" s="3490"/>
      <c r="C105" s="2830" t="s">
        <v>2713</v>
      </c>
      <c r="D105" s="2830" t="s">
        <v>2714</v>
      </c>
      <c r="E105" s="2856">
        <v>0.1</v>
      </c>
      <c r="F105" s="2856">
        <v>15</v>
      </c>
    </row>
    <row r="106" spans="1:6" ht="24">
      <c r="A106" s="2856">
        <v>32</v>
      </c>
      <c r="B106" s="3490"/>
      <c r="C106" s="2830" t="s">
        <v>2715</v>
      </c>
      <c r="D106" s="2830" t="s">
        <v>2716</v>
      </c>
      <c r="E106" s="2856">
        <v>0.1</v>
      </c>
      <c r="F106" s="2856">
        <v>15</v>
      </c>
    </row>
    <row r="107" spans="1:6" ht="24">
      <c r="A107" s="2856">
        <v>33</v>
      </c>
      <c r="B107" s="3490"/>
      <c r="C107" s="2830" t="s">
        <v>2717</v>
      </c>
      <c r="D107" s="2830" t="s">
        <v>2718</v>
      </c>
      <c r="E107" s="2856">
        <v>0.1</v>
      </c>
      <c r="F107" s="2856">
        <v>15</v>
      </c>
    </row>
    <row r="108" spans="1:6" ht="24">
      <c r="A108" s="2856">
        <v>34</v>
      </c>
      <c r="B108" s="3496"/>
      <c r="C108" s="2830" t="s">
        <v>2719</v>
      </c>
      <c r="D108" s="2830" t="s">
        <v>2720</v>
      </c>
      <c r="E108" s="2856">
        <v>0.1</v>
      </c>
      <c r="F108" s="2856">
        <v>15</v>
      </c>
    </row>
    <row r="109" spans="1:6" ht="24">
      <c r="A109" s="2856">
        <v>35</v>
      </c>
      <c r="B109" s="3491" t="s">
        <v>2721</v>
      </c>
      <c r="C109" s="2856" t="s">
        <v>2722</v>
      </c>
      <c r="D109" s="2830" t="s">
        <v>2723</v>
      </c>
      <c r="E109" s="2856">
        <v>0.15</v>
      </c>
      <c r="F109" s="2856">
        <v>20</v>
      </c>
    </row>
    <row r="110" spans="1:6" ht="13.5">
      <c r="A110" s="2856">
        <v>36</v>
      </c>
      <c r="B110" s="3490"/>
      <c r="C110" s="2856" t="s">
        <v>2724</v>
      </c>
      <c r="D110" s="2830" t="s">
        <v>2725</v>
      </c>
      <c r="E110" s="2856">
        <v>0.15</v>
      </c>
      <c r="F110" s="2856">
        <v>20</v>
      </c>
    </row>
    <row r="111" spans="1:6" ht="13.5">
      <c r="A111" s="2856">
        <v>37</v>
      </c>
      <c r="B111" s="3490"/>
      <c r="C111" s="2856" t="s">
        <v>2726</v>
      </c>
      <c r="D111" s="2830" t="s">
        <v>2727</v>
      </c>
      <c r="E111" s="2856">
        <v>0.15</v>
      </c>
      <c r="F111" s="2856">
        <v>20</v>
      </c>
    </row>
    <row r="112" spans="1:6" ht="13.5">
      <c r="A112" s="2856">
        <v>38</v>
      </c>
      <c r="B112" s="3490"/>
      <c r="C112" s="2856" t="s">
        <v>2728</v>
      </c>
      <c r="D112" s="2830" t="s">
        <v>2729</v>
      </c>
      <c r="E112" s="2856">
        <v>0.1</v>
      </c>
      <c r="F112" s="2856">
        <v>15</v>
      </c>
    </row>
    <row r="113" spans="1:6" ht="24">
      <c r="A113" s="2856">
        <v>39</v>
      </c>
      <c r="B113" s="3490"/>
      <c r="C113" s="2856" t="s">
        <v>2730</v>
      </c>
      <c r="D113" s="2830" t="s">
        <v>2731</v>
      </c>
      <c r="E113" s="2856">
        <v>0.1</v>
      </c>
      <c r="F113" s="2856">
        <v>15</v>
      </c>
    </row>
    <row r="114" spans="1:6" ht="24">
      <c r="A114" s="2856">
        <v>40</v>
      </c>
      <c r="B114" s="3496"/>
      <c r="C114" s="2856" t="s">
        <v>2732</v>
      </c>
      <c r="D114" s="2830" t="s">
        <v>2733</v>
      </c>
      <c r="E114" s="2856">
        <v>0.1</v>
      </c>
      <c r="F114" s="2856">
        <v>15</v>
      </c>
    </row>
    <row r="115" spans="1:6" ht="13.5">
      <c r="A115" s="2856">
        <v>41</v>
      </c>
      <c r="B115" s="3484" t="s">
        <v>2734</v>
      </c>
      <c r="C115" s="2856" t="s">
        <v>2735</v>
      </c>
      <c r="D115" s="2830" t="s">
        <v>2736</v>
      </c>
      <c r="E115" s="2856">
        <v>0.1</v>
      </c>
      <c r="F115" s="2856">
        <v>15</v>
      </c>
    </row>
    <row r="116" spans="1:6" ht="13.5">
      <c r="A116" s="2856">
        <v>42</v>
      </c>
      <c r="B116" s="3484"/>
      <c r="C116" s="2856" t="s">
        <v>2737</v>
      </c>
      <c r="D116" s="2830" t="s">
        <v>2738</v>
      </c>
      <c r="E116" s="2856">
        <v>0.1</v>
      </c>
      <c r="F116" s="2856">
        <v>15</v>
      </c>
    </row>
    <row r="117" spans="1:6" ht="24">
      <c r="A117" s="2856">
        <v>43</v>
      </c>
      <c r="B117" s="3484"/>
      <c r="C117" s="2856" t="s">
        <v>2739</v>
      </c>
      <c r="D117" s="2830" t="s">
        <v>2740</v>
      </c>
      <c r="E117" s="2856">
        <v>0.1</v>
      </c>
      <c r="F117" s="2856">
        <v>15</v>
      </c>
    </row>
    <row r="118" spans="1:6" ht="13.5">
      <c r="A118" s="2856">
        <v>44</v>
      </c>
      <c r="B118" s="3491" t="s">
        <v>2741</v>
      </c>
      <c r="C118" s="2856" t="s">
        <v>2742</v>
      </c>
      <c r="D118" s="2830" t="s">
        <v>2743</v>
      </c>
      <c r="E118" s="2856">
        <v>0.1</v>
      </c>
      <c r="F118" s="2856">
        <v>15</v>
      </c>
    </row>
    <row r="119" spans="1:6" ht="24">
      <c r="A119" s="2856">
        <v>45</v>
      </c>
      <c r="B119" s="3496"/>
      <c r="C119" s="2830" t="s">
        <v>2744</v>
      </c>
      <c r="D119" s="2830" t="s">
        <v>2745</v>
      </c>
      <c r="E119" s="2856">
        <v>0.1</v>
      </c>
      <c r="F119" s="2856">
        <v>15</v>
      </c>
    </row>
    <row r="120" spans="1:6" ht="24">
      <c r="A120" s="2856">
        <v>46</v>
      </c>
      <c r="B120" s="3491" t="s">
        <v>2746</v>
      </c>
      <c r="C120" s="2856" t="s">
        <v>2747</v>
      </c>
      <c r="D120" s="2830" t="s">
        <v>2748</v>
      </c>
      <c r="E120" s="2856">
        <v>0.1</v>
      </c>
      <c r="F120" s="2856">
        <v>15</v>
      </c>
    </row>
    <row r="121" spans="1:6" ht="24">
      <c r="A121" s="2856">
        <v>47</v>
      </c>
      <c r="B121" s="3496"/>
      <c r="C121" s="2856" t="s">
        <v>2749</v>
      </c>
      <c r="D121" s="2830" t="s">
        <v>2750</v>
      </c>
      <c r="E121" s="2856">
        <v>0.1</v>
      </c>
      <c r="F121" s="2856">
        <v>15</v>
      </c>
    </row>
    <row r="122" spans="1:6" ht="13.5">
      <c r="A122" s="2856">
        <v>48</v>
      </c>
      <c r="B122" s="3491" t="s">
        <v>2751</v>
      </c>
      <c r="C122" s="2856" t="s">
        <v>2752</v>
      </c>
      <c r="D122" s="2830" t="s">
        <v>2753</v>
      </c>
      <c r="E122" s="2856">
        <v>0.1</v>
      </c>
      <c r="F122" s="2856">
        <v>15</v>
      </c>
    </row>
    <row r="123" spans="1:6" ht="13.5">
      <c r="A123" s="2856">
        <v>49</v>
      </c>
      <c r="B123" s="3496"/>
      <c r="C123" s="2856" t="s">
        <v>2754</v>
      </c>
      <c r="D123" s="2830" t="s">
        <v>2755</v>
      </c>
      <c r="E123" s="2856">
        <v>0.1</v>
      </c>
      <c r="F123" s="2856">
        <v>15</v>
      </c>
    </row>
    <row r="124" spans="1:6" ht="24">
      <c r="A124" s="2856">
        <v>50</v>
      </c>
      <c r="B124" s="3484" t="s">
        <v>2756</v>
      </c>
      <c r="C124" s="2856" t="s">
        <v>2757</v>
      </c>
      <c r="D124" s="2830" t="s">
        <v>2758</v>
      </c>
      <c r="E124" s="2856">
        <v>0.1</v>
      </c>
      <c r="F124" s="2856">
        <v>15</v>
      </c>
    </row>
    <row r="125" spans="1:6" ht="24">
      <c r="A125" s="2856">
        <v>51</v>
      </c>
      <c r="B125" s="3484"/>
      <c r="C125" s="2856" t="s">
        <v>2759</v>
      </c>
      <c r="D125" s="2830" t="s">
        <v>2760</v>
      </c>
      <c r="E125" s="2856">
        <v>0.1</v>
      </c>
      <c r="F125" s="2856">
        <v>15</v>
      </c>
    </row>
    <row r="126" spans="1:6" ht="24">
      <c r="A126" s="2856">
        <v>52</v>
      </c>
      <c r="B126" s="3484" t="s">
        <v>2761</v>
      </c>
      <c r="C126" s="2856" t="s">
        <v>2762</v>
      </c>
      <c r="D126" s="2830" t="s">
        <v>2763</v>
      </c>
      <c r="E126" s="2856">
        <v>0.1</v>
      </c>
      <c r="F126" s="2856">
        <v>15</v>
      </c>
    </row>
    <row r="127" spans="1:6" ht="24">
      <c r="A127" s="2856">
        <v>53</v>
      </c>
      <c r="B127" s="3484"/>
      <c r="C127" s="2856" t="s">
        <v>2764</v>
      </c>
      <c r="D127" s="2830" t="s">
        <v>2765</v>
      </c>
      <c r="E127" s="2856">
        <v>0.1</v>
      </c>
      <c r="F127" s="2856">
        <v>15</v>
      </c>
    </row>
    <row r="128" spans="1:6" ht="13.5">
      <c r="A128" s="2856">
        <v>54</v>
      </c>
      <c r="B128" s="2856" t="s">
        <v>2766</v>
      </c>
      <c r="C128" s="2856" t="s">
        <v>2767</v>
      </c>
      <c r="D128" s="2830" t="s">
        <v>2768</v>
      </c>
      <c r="E128" s="2856">
        <v>0.1</v>
      </c>
      <c r="F128" s="2856">
        <v>15</v>
      </c>
    </row>
    <row r="129" spans="1:6" ht="13.5">
      <c r="A129" s="2856">
        <v>55</v>
      </c>
      <c r="B129" s="3484" t="s">
        <v>2769</v>
      </c>
      <c r="C129" s="2856" t="s">
        <v>2770</v>
      </c>
      <c r="D129" s="2830" t="s">
        <v>2771</v>
      </c>
      <c r="E129" s="2856">
        <v>0.1</v>
      </c>
      <c r="F129" s="2856">
        <v>15</v>
      </c>
    </row>
    <row r="130" spans="1:6" ht="13.5">
      <c r="A130" s="2856">
        <v>56</v>
      </c>
      <c r="B130" s="3484"/>
      <c r="C130" s="2856" t="s">
        <v>2772</v>
      </c>
      <c r="D130" s="2830" t="s">
        <v>2773</v>
      </c>
      <c r="E130" s="2856">
        <v>0.1</v>
      </c>
      <c r="F130" s="2856">
        <v>15</v>
      </c>
    </row>
    <row r="131" spans="1:6" ht="24">
      <c r="A131" s="2856">
        <v>57</v>
      </c>
      <c r="B131" s="3484"/>
      <c r="C131" s="2856" t="s">
        <v>2774</v>
      </c>
      <c r="D131" s="2830" t="s">
        <v>2775</v>
      </c>
      <c r="E131" s="2856">
        <v>0.1</v>
      </c>
      <c r="F131" s="2856">
        <v>15</v>
      </c>
    </row>
    <row r="132" spans="1:6" ht="24">
      <c r="A132" s="2856">
        <v>58</v>
      </c>
      <c r="B132" s="3484" t="s">
        <v>2776</v>
      </c>
      <c r="C132" s="2856" t="s">
        <v>2777</v>
      </c>
      <c r="D132" s="2830" t="s">
        <v>2778</v>
      </c>
      <c r="E132" s="2856">
        <v>0.1</v>
      </c>
      <c r="F132" s="2856">
        <v>15</v>
      </c>
    </row>
    <row r="133" spans="1:6" ht="13.5">
      <c r="A133" s="2856">
        <v>59</v>
      </c>
      <c r="B133" s="3484"/>
      <c r="C133" s="2856" t="s">
        <v>2779</v>
      </c>
      <c r="D133" s="2830" t="s">
        <v>2780</v>
      </c>
      <c r="E133" s="2856">
        <v>0.1</v>
      </c>
      <c r="F133" s="2856">
        <v>15</v>
      </c>
    </row>
    <row r="134" spans="1:6" ht="13.5">
      <c r="A134" s="2856">
        <v>60</v>
      </c>
      <c r="B134" s="3491" t="s">
        <v>2781</v>
      </c>
      <c r="C134" s="2856" t="s">
        <v>2782</v>
      </c>
      <c r="D134" s="2830" t="s">
        <v>2783</v>
      </c>
      <c r="E134" s="2856">
        <v>0.1</v>
      </c>
      <c r="F134" s="2856">
        <v>15</v>
      </c>
    </row>
    <row r="135" spans="1:6" ht="13.5">
      <c r="A135" s="2856">
        <v>61</v>
      </c>
      <c r="B135" s="3496"/>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13.5">
      <c r="A137" s="2856">
        <v>63</v>
      </c>
      <c r="B137" s="3484" t="s">
        <v>2789</v>
      </c>
      <c r="C137" s="2856" t="s">
        <v>2790</v>
      </c>
      <c r="D137" s="2830" t="s">
        <v>2791</v>
      </c>
      <c r="E137" s="2856">
        <v>0.1</v>
      </c>
      <c r="F137" s="2856">
        <v>15</v>
      </c>
    </row>
    <row r="138" spans="1:6" ht="13.5">
      <c r="A138" s="2856">
        <v>64</v>
      </c>
      <c r="B138" s="3484"/>
      <c r="C138" s="2856" t="s">
        <v>2792</v>
      </c>
      <c r="D138" s="2830" t="s">
        <v>2793</v>
      </c>
      <c r="E138" s="2856">
        <v>0.1</v>
      </c>
      <c r="F138" s="2856">
        <v>15</v>
      </c>
    </row>
    <row r="139" spans="1:6" ht="13.5">
      <c r="A139" s="2856">
        <v>65</v>
      </c>
      <c r="B139" s="2856" t="s">
        <v>2794</v>
      </c>
      <c r="C139" s="2856" t="s">
        <v>2795</v>
      </c>
      <c r="D139" s="2830" t="s">
        <v>2796</v>
      </c>
      <c r="E139" s="2856">
        <v>0.1</v>
      </c>
      <c r="F139" s="2856">
        <v>15</v>
      </c>
    </row>
    <row r="140" spans="1:6" ht="13.5">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1.0229999999999999</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0.96889999999999998</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31153</v>
      </c>
      <c r="C2" s="2" t="s">
        <v>106</v>
      </c>
      <c r="D2" s="191"/>
      <c r="E2" s="191"/>
      <c r="F2" s="191"/>
      <c r="G2" s="191"/>
    </row>
    <row r="3" spans="1:7" s="192" customFormat="1" ht="18" customHeight="1" thickBot="1">
      <c r="A3" s="195" t="s">
        <v>58</v>
      </c>
      <c r="B3" s="196">
        <f ca="1">ROUND(B2*10000/'数据-汇总表'!E3,0)</f>
        <v>1184029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4</v>
      </c>
      <c r="D9" s="795">
        <f>'数据-汇总表'!E5</f>
        <v>237.82</v>
      </c>
      <c r="E9" s="217">
        <f>'数据-取费表'!B27</f>
        <v>160</v>
      </c>
      <c r="F9" s="213"/>
      <c r="G9" s="218"/>
    </row>
    <row r="10" spans="1:7" s="206" customFormat="1" ht="13.5" customHeight="1">
      <c r="A10" s="733" t="s">
        <v>356</v>
      </c>
      <c r="B10" s="216" t="s">
        <v>67</v>
      </c>
      <c r="C10" s="217">
        <f>ROUND(D10*E10/10000,0)</f>
        <v>1</v>
      </c>
      <c r="D10" s="795">
        <f>'数据-汇总表'!E6</f>
        <v>25.29000000000002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263.11</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1261</v>
      </c>
      <c r="D22" s="227">
        <f ca="1">C26</f>
        <v>8.9999999999999998E-4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6038</v>
      </c>
      <c r="D27" s="227">
        <f>C29</f>
        <v>8.6999999999999994E-3</v>
      </c>
      <c r="E27" s="228" t="s">
        <v>99</v>
      </c>
      <c r="F27" s="238">
        <f>'数据-取费表'!Q16</f>
        <v>0.28999999999999998</v>
      </c>
      <c r="G27" s="239" t="s">
        <v>431</v>
      </c>
    </row>
    <row r="28" spans="1:7" s="206" customFormat="1" ht="13.5" customHeight="1">
      <c r="A28" s="734" t="s">
        <v>349</v>
      </c>
      <c r="B28" s="240" t="s">
        <v>424</v>
      </c>
      <c r="C28" s="241">
        <f>ROUND((C5+C19+C20)*F27*'数据-取费表'!B21/'数据-取费表'!B20,0)</f>
        <v>6038</v>
      </c>
      <c r="D28" s="227"/>
      <c r="E28" s="228"/>
      <c r="F28" s="238"/>
      <c r="G28" s="239"/>
    </row>
    <row r="29" spans="1:7" s="206" customFormat="1" ht="13.5" customHeight="1">
      <c r="A29" s="734" t="s">
        <v>347</v>
      </c>
      <c r="B29" s="240" t="s">
        <v>425</v>
      </c>
      <c r="C29" s="230">
        <f>ROUND(C21*F27*'数据-取费表'!B21/'数据-取费表'!B20,4)</f>
        <v>8.6999999999999994E-3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31001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111</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5</v>
      </c>
      <c r="D36" s="212"/>
      <c r="E36" s="212"/>
      <c r="F36" s="251">
        <f>'数据-取费表'!B34</f>
        <v>0.05</v>
      </c>
      <c r="G36" s="252" t="s">
        <v>35</v>
      </c>
    </row>
    <row r="37" spans="1:7" s="250" customFormat="1" ht="13.5" customHeight="1">
      <c r="A37" s="734" t="s">
        <v>353</v>
      </c>
      <c r="B37" s="207" t="s">
        <v>91</v>
      </c>
      <c r="C37" s="241">
        <f>ROUND(E37*D37*F34/10000,0)</f>
        <v>5</v>
      </c>
      <c r="D37" s="209">
        <f>'数据-汇总表'!E3</f>
        <v>263.11</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4</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60" t="s">
        <v>94</v>
      </c>
    </row>
    <row r="43" spans="1:7" ht="13.5" customHeight="1">
      <c r="A43" s="734" t="s">
        <v>347</v>
      </c>
      <c r="B43" s="207" t="s">
        <v>426</v>
      </c>
      <c r="C43" s="230">
        <f ca="1">ROUND(IF('数据-取费表'!B22&lt;=1,C39*F22*'数据-取费表'!B21/2,C39*(POWER((1+F22),'数据-取费表'!B21/2)-1)),0)</f>
        <v>0</v>
      </c>
      <c r="D43" s="230"/>
      <c r="E43" s="230"/>
      <c r="F43" s="231"/>
      <c r="G43" s="3361"/>
    </row>
    <row r="44" spans="1:7" ht="13.5" customHeight="1">
      <c r="A44" s="734" t="s">
        <v>348</v>
      </c>
      <c r="B44" s="207" t="s">
        <v>428</v>
      </c>
      <c r="C44" s="230">
        <f ca="1">ROUND(IF('数据-取费表'!B22&lt;=1,C40*F22*'数据-取费表'!B21/2,C40*(POWER((1+F22),'数据-取费表'!B21/2)-1)),4)</f>
        <v>8.9999999999999998E-4</v>
      </c>
      <c r="D44" s="230"/>
      <c r="E44" s="230"/>
      <c r="F44" s="231"/>
      <c r="G44" s="3362"/>
    </row>
    <row r="45" spans="1:7" s="206" customFormat="1" ht="13.5" customHeight="1">
      <c r="A45" s="731" t="s">
        <v>341</v>
      </c>
      <c r="B45" s="236" t="s">
        <v>85</v>
      </c>
      <c r="C45" s="237">
        <f>C46</f>
        <v>38</v>
      </c>
      <c r="D45" s="227">
        <f>C47</f>
        <v>8.6999999999999994E-3</v>
      </c>
      <c r="E45" s="228" t="s">
        <v>102</v>
      </c>
      <c r="F45" s="238"/>
      <c r="G45" s="239" t="s">
        <v>434</v>
      </c>
    </row>
    <row r="46" spans="1:7" s="206" customFormat="1" ht="13.5" customHeight="1">
      <c r="A46" s="734" t="s">
        <v>349</v>
      </c>
      <c r="B46" s="240" t="s">
        <v>427</v>
      </c>
      <c r="C46" s="241">
        <f>ROUND((C33+C39)*F27,0)</f>
        <v>38</v>
      </c>
      <c r="D46" s="255"/>
      <c r="E46" s="228"/>
      <c r="F46" s="238"/>
      <c r="G46" s="239"/>
    </row>
    <row r="47" spans="1:7" s="206" customFormat="1" ht="13.5" customHeight="1">
      <c r="A47" s="734" t="s">
        <v>347</v>
      </c>
      <c r="B47" s="240" t="s">
        <v>429</v>
      </c>
      <c r="C47" s="230">
        <f>ROUND(C40*F27,4)</f>
        <v>8.6999999999999994E-3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190</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152</v>
      </c>
      <c r="D51" s="224"/>
      <c r="E51" s="224"/>
      <c r="F51" s="256"/>
      <c r="G51" s="226" t="s">
        <v>37</v>
      </c>
    </row>
    <row r="52" spans="1:7" s="200" customFormat="1" ht="16.5" thickBot="1">
      <c r="A52" s="257" t="s">
        <v>38</v>
      </c>
      <c r="B52" s="258"/>
      <c r="C52" s="259">
        <f ca="1">C31+C51</f>
        <v>31153</v>
      </c>
      <c r="D52" s="258"/>
      <c r="E52" s="258"/>
      <c r="F52" s="258"/>
      <c r="G52" s="260"/>
    </row>
    <row r="55" spans="1:7" ht="15">
      <c r="B55" s="262" t="s">
        <v>39</v>
      </c>
      <c r="C55" s="263"/>
    </row>
    <row r="56" spans="1:7">
      <c r="B56" s="265" t="s">
        <v>40</v>
      </c>
      <c r="C56" s="266">
        <f ca="1">ROUND(C51/C52,3)</f>
        <v>5.0000000000000001E-3</v>
      </c>
    </row>
    <row r="57" spans="1:7">
      <c r="B57" s="265" t="s">
        <v>41</v>
      </c>
      <c r="C57" s="267">
        <f ca="1">1-C56</f>
        <v>0.995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7" t="s">
        <v>3181</v>
      </c>
      <c r="B1" s="3497"/>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2"/>
  </cols>
  <sheetData>
    <row r="1" spans="1:6" ht="14.25">
      <c r="A1" s="3498" t="s">
        <v>3232</v>
      </c>
      <c r="B1" s="3498"/>
      <c r="C1" s="3498"/>
      <c r="D1" s="3498"/>
      <c r="E1" s="3498"/>
      <c r="F1" s="3499"/>
    </row>
    <row r="2" spans="1:6" ht="14.25">
      <c r="A2" s="3001" t="s">
        <v>3233</v>
      </c>
    </row>
    <row r="3" spans="1:6" ht="14.25">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6">
        <f>基准地价修正!G23</f>
        <v>45875</v>
      </c>
      <c r="B1" s="2928" t="s">
        <v>3378</v>
      </c>
      <c r="C1" s="2929"/>
      <c r="D1" s="2929"/>
      <c r="E1" s="2929"/>
      <c r="F1" s="2929"/>
      <c r="G1" s="2929"/>
      <c r="H1" s="2929"/>
      <c r="I1" s="2929"/>
      <c r="J1" s="2895"/>
      <c r="K1" s="2929" t="s">
        <v>454</v>
      </c>
      <c r="L1" s="2929"/>
      <c r="M1" s="2929"/>
      <c r="N1" s="2929"/>
      <c r="O1" s="2929"/>
      <c r="P1" s="2929"/>
      <c r="Q1" s="2895"/>
      <c r="R1" s="3500" t="s">
        <v>456</v>
      </c>
      <c r="S1" s="3501"/>
      <c r="T1" s="3501"/>
      <c r="U1" s="3501"/>
      <c r="V1" s="3501"/>
      <c r="W1" s="3501"/>
      <c r="X1" s="2895"/>
      <c r="Y1" s="3500" t="s">
        <v>457</v>
      </c>
      <c r="Z1" s="3501"/>
      <c r="AA1" s="3501"/>
      <c r="AB1" s="3501"/>
      <c r="AC1" s="3501"/>
      <c r="AD1" s="3501"/>
    </row>
    <row r="2" spans="1:44" s="2008" customFormat="1" ht="14.25" thickBot="1">
      <c r="B2" s="2880"/>
      <c r="C2" s="2881"/>
      <c r="D2" s="2009" t="s">
        <v>2810</v>
      </c>
      <c r="E2" s="2010" t="s">
        <v>2811</v>
      </c>
      <c r="F2" s="2010" t="s">
        <v>2812</v>
      </c>
      <c r="G2" s="2010" t="s">
        <v>2813</v>
      </c>
      <c r="H2" s="2010" t="s">
        <v>2814</v>
      </c>
      <c r="I2" s="2010" t="s">
        <v>2631</v>
      </c>
      <c r="J2" s="2882"/>
      <c r="K2" s="2009" t="s">
        <v>2810</v>
      </c>
      <c r="L2" s="2010" t="s">
        <v>2811</v>
      </c>
      <c r="M2" s="2010" t="s">
        <v>2812</v>
      </c>
      <c r="N2" s="2010" t="s">
        <v>2813</v>
      </c>
      <c r="O2" s="2010" t="s">
        <v>2815</v>
      </c>
      <c r="P2" s="2010" t="s">
        <v>2631</v>
      </c>
      <c r="Q2" s="2882"/>
      <c r="R2" s="2009" t="s">
        <v>2810</v>
      </c>
      <c r="S2" s="2010" t="s">
        <v>2811</v>
      </c>
      <c r="T2" s="2010" t="s">
        <v>2812</v>
      </c>
      <c r="U2" s="2010" t="s">
        <v>2816</v>
      </c>
      <c r="V2" s="2010" t="s">
        <v>2817</v>
      </c>
      <c r="W2" s="2010" t="s">
        <v>2631</v>
      </c>
      <c r="X2" s="2882"/>
      <c r="Y2" s="2009" t="s">
        <v>2810</v>
      </c>
      <c r="Z2" s="2010" t="s">
        <v>2811</v>
      </c>
      <c r="AA2" s="2010" t="s">
        <v>2812</v>
      </c>
      <c r="AB2" s="2010" t="s">
        <v>2818</v>
      </c>
      <c r="AC2" s="2010" t="s">
        <v>2817</v>
      </c>
      <c r="AD2" s="2010" t="s">
        <v>2631</v>
      </c>
      <c r="AF2" t="s">
        <v>3405</v>
      </c>
      <c r="AG2" t="s">
        <v>673</v>
      </c>
      <c r="AH2" t="s">
        <v>21</v>
      </c>
      <c r="AI2" t="s">
        <v>3406</v>
      </c>
      <c r="AJ2" t="s">
        <v>3</v>
      </c>
      <c r="AK2" t="s">
        <v>3407</v>
      </c>
      <c r="AM2" t="s">
        <v>3405</v>
      </c>
      <c r="AN2" t="s">
        <v>673</v>
      </c>
      <c r="AO2" t="s">
        <v>21</v>
      </c>
      <c r="AP2" t="s">
        <v>3406</v>
      </c>
      <c r="AQ2" t="s">
        <v>3</v>
      </c>
      <c r="AR2" t="s">
        <v>3407</v>
      </c>
    </row>
    <row r="3" spans="1:44" s="2885" customFormat="1" ht="12.75">
      <c r="A3" s="2883" t="s">
        <v>2819</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44" s="2043" customFormat="1">
      <c r="A5" s="2038" t="s">
        <v>3404</v>
      </c>
      <c r="B5" s="2029">
        <v>2025</v>
      </c>
      <c r="C5" s="2040">
        <v>4</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 t="shared" ref="P5:P11" si="10">M5</f>
        <v>0</v>
      </c>
      <c r="Q5" s="2905"/>
      <c r="R5" s="2025">
        <f>ROUND(IF(项目基本情况!$B$8="出让",SUMPRODUCT(PRODUCT(1+K5:$K$24)),SUMPRODUCT(PRODUCT(1+K5:$K$23))),4)</f>
        <v>1.0577000000000001</v>
      </c>
      <c r="S5" s="2025">
        <f>ROUND(IF(项目基本情况!$B$8="出让",SUMPRODUCT(PRODUCT(1+L5:$L$24)),SUMPRODUCT(PRODUCT(1+L5:$L$23))),4)</f>
        <v>1.0275000000000001</v>
      </c>
      <c r="T5" s="2025">
        <f>ROUND(IF(项目基本情况!$B$8="出让",SUMPRODUCT(PRODUCT(1+M5:$M$24)),SUMPRODUCT(PRODUCT(1+M5:$M$23))),4)</f>
        <v>0.98089999999999999</v>
      </c>
      <c r="U5" s="2025">
        <f>ROUND(IF(项目基本情况!$B$8="出让",SUMPRODUCT(PRODUCT(1+N5:$N$24)),SUMPRODUCT(PRODUCT(1+N5:$N$23))),4)</f>
        <v>1.0689</v>
      </c>
      <c r="V5" s="2025">
        <f>ROUND(IF(项目基本情况!$B$8="出让",SUMPRODUCT(PRODUCT(1+O5:$O$24)),SUMPRODUCT(PRODUCT(1+O5:$O$23))),4)</f>
        <v>1.0891</v>
      </c>
      <c r="W5" s="2025">
        <f t="shared" ref="W5:W11" si="11">T5</f>
        <v>0.98089999999999999</v>
      </c>
      <c r="X5" s="2905"/>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3" customFormat="1" ht="12.75">
      <c r="A6" s="2038" t="s">
        <v>3403</v>
      </c>
      <c r="B6" s="2029">
        <v>2025</v>
      </c>
      <c r="C6" s="2040">
        <v>3</v>
      </c>
      <c r="D6" s="2005">
        <v>0</v>
      </c>
      <c r="E6" s="2005">
        <v>0</v>
      </c>
      <c r="F6" s="2005">
        <v>0</v>
      </c>
      <c r="G6" s="2005">
        <v>0</v>
      </c>
      <c r="H6" s="2005">
        <v>0</v>
      </c>
      <c r="I6" s="2006">
        <f t="shared" ref="I6" si="19">F6</f>
        <v>0</v>
      </c>
      <c r="J6" s="2905"/>
      <c r="K6" s="2041">
        <f t="shared" ref="K6" si="20">D6/100</f>
        <v>0</v>
      </c>
      <c r="L6" s="2026">
        <f t="shared" ref="L6" si="21">E6/100</f>
        <v>0</v>
      </c>
      <c r="M6" s="2026">
        <f t="shared" ref="M6" si="22">F6/100</f>
        <v>0</v>
      </c>
      <c r="N6" s="2026">
        <f t="shared" ref="N6" si="23">G6/100</f>
        <v>0</v>
      </c>
      <c r="O6" s="2026">
        <f t="shared" ref="O6" si="24">H6/100</f>
        <v>0</v>
      </c>
      <c r="P6" s="2026">
        <f t="shared" si="10"/>
        <v>0</v>
      </c>
      <c r="Q6" s="2905"/>
      <c r="R6" s="2025">
        <f>ROUND(IF(项目基本情况!$B$8="出让",SUMPRODUCT(PRODUCT(1+K6:$K$24)),SUMPRODUCT(PRODUCT(1+K6:$K$23))),4)</f>
        <v>1.0577000000000001</v>
      </c>
      <c r="S6" s="2025">
        <f>ROUND(IF(项目基本情况!$B$8="出让",SUMPRODUCT(PRODUCT(1+L6:$L$24)),SUMPRODUCT(PRODUCT(1+L6:$L$23))),4)</f>
        <v>1.0275000000000001</v>
      </c>
      <c r="T6" s="2025">
        <f>ROUND(IF(项目基本情况!$B$8="出让",SUMPRODUCT(PRODUCT(1+M6:$M$24)),SUMPRODUCT(PRODUCT(1+M6:$M$23))),4)</f>
        <v>0.98089999999999999</v>
      </c>
      <c r="U6" s="2025">
        <f>ROUND(IF(项目基本情况!$B$8="出让",SUMPRODUCT(PRODUCT(1+N6:$N$24)),SUMPRODUCT(PRODUCT(1+N6:$N$23))),4)</f>
        <v>1.0689</v>
      </c>
      <c r="V6" s="2025">
        <f>ROUND(IF(项目基本情况!$B$8="出让",SUMPRODUCT(PRODUCT(1+O6:$O$24)),SUMPRODUCT(PRODUCT(1+O6:$O$23))),4)</f>
        <v>1.0891</v>
      </c>
      <c r="W6" s="2025">
        <f t="shared" si="11"/>
        <v>0.98089999999999999</v>
      </c>
      <c r="X6" s="2905"/>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2.75">
      <c r="A7" s="2906" t="s">
        <v>3402</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3" customFormat="1" ht="12.75">
      <c r="A8" s="2038" t="s">
        <v>3410</v>
      </c>
      <c r="B8" s="2029">
        <v>2025</v>
      </c>
      <c r="C8" s="2040">
        <v>1</v>
      </c>
      <c r="D8" s="2005">
        <v>0.56999999999999995</v>
      </c>
      <c r="E8" s="2005">
        <v>-0.56999999999999995</v>
      </c>
      <c r="F8" s="2005">
        <v>-0.9</v>
      </c>
      <c r="G8" s="2005">
        <v>1.1200000000000001</v>
      </c>
      <c r="H8" s="2005">
        <v>0.42</v>
      </c>
      <c r="I8" s="2006">
        <f t="shared" ref="I8" si="54">F8</f>
        <v>-0.9</v>
      </c>
      <c r="J8" s="2905"/>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5"/>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5"/>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3" customFormat="1" ht="12.75">
      <c r="A9" s="2038" t="s">
        <v>3409</v>
      </c>
      <c r="B9" s="2029">
        <v>2024</v>
      </c>
      <c r="C9" s="2040">
        <v>4</v>
      </c>
      <c r="D9" s="2005">
        <v>-1.02</v>
      </c>
      <c r="E9" s="2005">
        <v>-0.48</v>
      </c>
      <c r="F9" s="2005">
        <v>-0.75</v>
      </c>
      <c r="G9" s="2005">
        <v>-1.05</v>
      </c>
      <c r="H9" s="2005">
        <v>0.08</v>
      </c>
      <c r="I9" s="2006">
        <f t="shared" ref="I9" si="65">F9</f>
        <v>-0.75</v>
      </c>
      <c r="J9" s="2905"/>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5"/>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5"/>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3" customFormat="1" ht="12.75">
      <c r="A10" s="2038" t="s">
        <v>3382</v>
      </c>
      <c r="B10" s="2029">
        <v>2024</v>
      </c>
      <c r="C10" s="2040">
        <v>3</v>
      </c>
      <c r="D10" s="2005">
        <v>-1.19</v>
      </c>
      <c r="E10" s="2005">
        <v>-0.47</v>
      </c>
      <c r="F10" s="2005">
        <v>-0.28999999999999998</v>
      </c>
      <c r="G10" s="2005">
        <v>-0.74</v>
      </c>
      <c r="H10" s="2005">
        <v>-0.21</v>
      </c>
      <c r="I10" s="2006">
        <f t="shared" ref="I10" si="76">F10</f>
        <v>-0.28999999999999998</v>
      </c>
      <c r="J10" s="2905"/>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5"/>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5"/>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3" customFormat="1" ht="12.75">
      <c r="A11" s="2904" t="s">
        <v>3376</v>
      </c>
      <c r="B11" s="2029">
        <v>2024</v>
      </c>
      <c r="C11" s="2040">
        <v>2</v>
      </c>
      <c r="D11" s="2005">
        <v>-0.59</v>
      </c>
      <c r="E11" s="2005">
        <v>-0.21</v>
      </c>
      <c r="F11" s="2005">
        <v>-1.38</v>
      </c>
      <c r="G11" s="2005">
        <v>-1.24</v>
      </c>
      <c r="H11" s="2916">
        <v>0.34</v>
      </c>
      <c r="I11" s="2006">
        <f t="shared" ref="I11:I24" si="87">F11</f>
        <v>-1.38</v>
      </c>
      <c r="J11" s="2905"/>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5"/>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5"/>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3" customFormat="1" ht="12.75">
      <c r="A12" s="2904" t="s">
        <v>3375</v>
      </c>
      <c r="B12" s="2029">
        <v>2024</v>
      </c>
      <c r="C12" s="2040">
        <v>1</v>
      </c>
      <c r="D12" s="2005">
        <v>0.08</v>
      </c>
      <c r="E12" s="2005">
        <v>0.46</v>
      </c>
      <c r="F12" s="2005">
        <v>-0.16</v>
      </c>
      <c r="G12" s="2005">
        <v>0.26</v>
      </c>
      <c r="H12" s="2916">
        <v>0.59</v>
      </c>
      <c r="I12" s="2006">
        <f t="shared" si="87"/>
        <v>-0.16</v>
      </c>
      <c r="J12" s="2905"/>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5"/>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5"/>
      <c r="Y12" s="2026"/>
      <c r="Z12" s="2026"/>
      <c r="AA12" s="2026"/>
      <c r="AB12" s="2026"/>
      <c r="AC12" s="2026"/>
      <c r="AD12" s="2026"/>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3" customFormat="1" ht="12.75">
      <c r="A13" s="2904" t="s">
        <v>3371</v>
      </c>
      <c r="B13" s="2029">
        <v>2023</v>
      </c>
      <c r="C13" s="2040">
        <v>4</v>
      </c>
      <c r="D13" s="2005">
        <v>0.19</v>
      </c>
      <c r="E13" s="2005">
        <v>0.24</v>
      </c>
      <c r="F13" s="2005">
        <v>-0.16</v>
      </c>
      <c r="G13" s="2005">
        <v>0.17</v>
      </c>
      <c r="H13" s="2916">
        <v>0.61</v>
      </c>
      <c r="I13" s="2006">
        <f>F13</f>
        <v>-0.16</v>
      </c>
      <c r="J13" s="2905"/>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5"/>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5"/>
      <c r="Y13" s="2026"/>
      <c r="Z13" s="2026"/>
      <c r="AA13" s="2026"/>
      <c r="AB13" s="2026"/>
      <c r="AC13" s="2026"/>
      <c r="AD13" s="2026"/>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3" customFormat="1" ht="12.75">
      <c r="A14" s="2904" t="s">
        <v>3370</v>
      </c>
      <c r="B14" s="2029">
        <v>2023</v>
      </c>
      <c r="C14" s="2040">
        <v>3</v>
      </c>
      <c r="D14" s="2005">
        <v>0.25</v>
      </c>
      <c r="E14" s="2005">
        <v>0.5</v>
      </c>
      <c r="F14" s="2005">
        <v>0.31</v>
      </c>
      <c r="G14" s="2005">
        <v>0.21</v>
      </c>
      <c r="H14" s="2916">
        <v>0.43</v>
      </c>
      <c r="I14" s="2006">
        <f t="shared" si="87"/>
        <v>0.31</v>
      </c>
      <c r="J14" s="2905"/>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5"/>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5"/>
      <c r="Y14" s="2026"/>
      <c r="Z14" s="2026"/>
      <c r="AA14" s="2026"/>
      <c r="AB14" s="2026"/>
      <c r="AC14" s="2026"/>
      <c r="AD14" s="2026"/>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3" customFormat="1" ht="12.75">
      <c r="A15" s="2904" t="s">
        <v>3368</v>
      </c>
      <c r="B15" s="2029">
        <v>2023</v>
      </c>
      <c r="C15" s="2040">
        <v>2</v>
      </c>
      <c r="D15" s="2005">
        <v>0.91</v>
      </c>
      <c r="E15" s="2005">
        <v>0.66</v>
      </c>
      <c r="F15" s="2005">
        <v>0.47</v>
      </c>
      <c r="G15" s="2005">
        <v>0.96</v>
      </c>
      <c r="H15" s="2916">
        <v>0.71</v>
      </c>
      <c r="I15" s="2006">
        <f t="shared" si="87"/>
        <v>0.47</v>
      </c>
      <c r="J15" s="2905"/>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5"/>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5"/>
      <c r="Y15" s="2026"/>
      <c r="Z15" s="2026"/>
      <c r="AA15" s="2026"/>
      <c r="AB15" s="2026"/>
      <c r="AC15" s="2026"/>
      <c r="AD15" s="2026"/>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3" customFormat="1" ht="12.75">
      <c r="A16" s="2904" t="s">
        <v>3367</v>
      </c>
      <c r="B16" s="2029">
        <v>2023</v>
      </c>
      <c r="C16" s="2040">
        <v>1</v>
      </c>
      <c r="D16" s="2005">
        <v>0.89</v>
      </c>
      <c r="E16" s="2005">
        <v>0.74</v>
      </c>
      <c r="F16" s="2005">
        <v>0.56999999999999995</v>
      </c>
      <c r="G16" s="2005">
        <v>0.92</v>
      </c>
      <c r="H16" s="2916">
        <v>0.5</v>
      </c>
      <c r="I16" s="2006">
        <f t="shared" si="87"/>
        <v>0.56999999999999995</v>
      </c>
      <c r="J16" s="2905"/>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5"/>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5"/>
      <c r="Y16" s="2026"/>
      <c r="Z16" s="2026"/>
      <c r="AA16" s="2026"/>
      <c r="AB16" s="2026"/>
      <c r="AC16" s="2026"/>
      <c r="AD16" s="2026"/>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3" customFormat="1" ht="12.75">
      <c r="A17" s="2904" t="s">
        <v>3366</v>
      </c>
      <c r="B17" s="2029">
        <v>2022</v>
      </c>
      <c r="C17" s="2040">
        <v>4</v>
      </c>
      <c r="D17" s="2005">
        <v>0.62</v>
      </c>
      <c r="E17" s="2005">
        <v>0.2</v>
      </c>
      <c r="F17" s="2005">
        <v>0.11</v>
      </c>
      <c r="G17" s="2005">
        <v>0.69</v>
      </c>
      <c r="H17" s="2916">
        <v>0.53</v>
      </c>
      <c r="I17" s="2006">
        <f t="shared" si="87"/>
        <v>0.11</v>
      </c>
      <c r="J17" s="2905"/>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5"/>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5"/>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3" customFormat="1" ht="12.75">
      <c r="A18" s="2904" t="s">
        <v>3364</v>
      </c>
      <c r="B18" s="2029">
        <v>2022</v>
      </c>
      <c r="C18" s="2040">
        <v>3</v>
      </c>
      <c r="D18" s="2005">
        <v>0.66</v>
      </c>
      <c r="E18" s="2005">
        <v>0.32</v>
      </c>
      <c r="F18" s="2005">
        <v>0.23</v>
      </c>
      <c r="G18" s="2005">
        <v>0.72</v>
      </c>
      <c r="H18" s="2916">
        <v>0.63</v>
      </c>
      <c r="I18" s="2006">
        <f t="shared" si="87"/>
        <v>0.23</v>
      </c>
      <c r="J18" s="2905"/>
      <c r="K18" s="2041">
        <f t="shared" si="88"/>
        <v>6.6E-3</v>
      </c>
      <c r="L18" s="2026">
        <f t="shared" si="88"/>
        <v>3.2000000000000002E-3</v>
      </c>
      <c r="M18" s="2026">
        <f t="shared" si="88"/>
        <v>2.3E-3</v>
      </c>
      <c r="N18" s="2026">
        <f t="shared" si="88"/>
        <v>7.1999999999999998E-3</v>
      </c>
      <c r="O18" s="2026">
        <f t="shared" si="88"/>
        <v>6.3E-3</v>
      </c>
      <c r="P18" s="2026">
        <f t="shared" si="108"/>
        <v>2.3E-3</v>
      </c>
      <c r="Q18" s="2905"/>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5"/>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3" customFormat="1" ht="12.75">
      <c r="A19" s="2904" t="s">
        <v>3355</v>
      </c>
      <c r="B19" s="2029">
        <v>2022</v>
      </c>
      <c r="C19" s="2040">
        <v>2</v>
      </c>
      <c r="D19" s="2005">
        <v>0.93</v>
      </c>
      <c r="E19" s="2005">
        <v>0.15</v>
      </c>
      <c r="F19" s="2005">
        <v>0.01</v>
      </c>
      <c r="G19" s="2005">
        <v>1.05</v>
      </c>
      <c r="H19" s="2916">
        <v>1.08</v>
      </c>
      <c r="I19" s="2006">
        <f t="shared" si="87"/>
        <v>0.01</v>
      </c>
      <c r="J19" s="2905"/>
      <c r="K19" s="2041">
        <f t="shared" si="88"/>
        <v>9.300000000000001E-3</v>
      </c>
      <c r="L19" s="2026">
        <f t="shared" si="88"/>
        <v>1.5E-3</v>
      </c>
      <c r="M19" s="2026">
        <f t="shared" si="88"/>
        <v>1E-4</v>
      </c>
      <c r="N19" s="2026">
        <f t="shared" si="88"/>
        <v>1.0500000000000001E-2</v>
      </c>
      <c r="O19" s="2026">
        <f t="shared" si="88"/>
        <v>1.0800000000000001E-2</v>
      </c>
      <c r="P19" s="2026">
        <f t="shared" si="108"/>
        <v>1E-4</v>
      </c>
      <c r="Q19" s="2905"/>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5"/>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3" customFormat="1" ht="12.75">
      <c r="A20" s="2904" t="s">
        <v>2820</v>
      </c>
      <c r="B20" s="2029">
        <v>2022</v>
      </c>
      <c r="C20" s="2040">
        <v>1</v>
      </c>
      <c r="D20" s="2005">
        <v>0.89</v>
      </c>
      <c r="E20" s="2005">
        <v>0.44</v>
      </c>
      <c r="F20" s="2005">
        <v>0.37</v>
      </c>
      <c r="G20" s="2005">
        <v>0.96</v>
      </c>
      <c r="H20" s="2916">
        <v>0.64</v>
      </c>
      <c r="I20" s="2006">
        <f t="shared" si="87"/>
        <v>0.37</v>
      </c>
      <c r="J20" s="2905"/>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5"/>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5"/>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3" customFormat="1" ht="12.75">
      <c r="A21" s="2904" t="s">
        <v>2821</v>
      </c>
      <c r="B21" s="2029">
        <v>2021</v>
      </c>
      <c r="C21" s="2040">
        <v>4</v>
      </c>
      <c r="D21" s="2005">
        <v>1.03</v>
      </c>
      <c r="E21" s="2005">
        <v>0.24</v>
      </c>
      <c r="F21" s="2005">
        <v>7.0000000000000007E-2</v>
      </c>
      <c r="G21" s="2005">
        <v>1.17</v>
      </c>
      <c r="H21" s="2916">
        <v>0.55000000000000004</v>
      </c>
      <c r="I21" s="2006">
        <f t="shared" si="87"/>
        <v>7.0000000000000007E-2</v>
      </c>
      <c r="J21" s="2905"/>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5"/>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5"/>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3" customFormat="1" ht="12.75">
      <c r="A22" s="2904" t="s">
        <v>2822</v>
      </c>
      <c r="B22" s="2029">
        <v>2021</v>
      </c>
      <c r="C22" s="2040">
        <v>3</v>
      </c>
      <c r="D22" s="2005">
        <v>0.47</v>
      </c>
      <c r="E22" s="2005">
        <v>0.41</v>
      </c>
      <c r="F22" s="2005">
        <v>0.24</v>
      </c>
      <c r="G22" s="2005">
        <v>0.48</v>
      </c>
      <c r="H22" s="2916">
        <v>0.48</v>
      </c>
      <c r="I22" s="2006">
        <f t="shared" si="87"/>
        <v>0.24</v>
      </c>
      <c r="J22" s="2905"/>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5"/>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5"/>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3" customFormat="1" ht="12.75">
      <c r="A23" s="2904" t="s">
        <v>2823</v>
      </c>
      <c r="B23" s="2029">
        <v>2021</v>
      </c>
      <c r="C23" s="2040">
        <v>2</v>
      </c>
      <c r="D23" s="2005">
        <v>0.92</v>
      </c>
      <c r="E23" s="2005">
        <v>0.72</v>
      </c>
      <c r="F23" s="2005">
        <v>0.41</v>
      </c>
      <c r="G23" s="2005">
        <v>0.95</v>
      </c>
      <c r="H23" s="2916">
        <v>1.01</v>
      </c>
      <c r="I23" s="2006">
        <f t="shared" si="87"/>
        <v>0.41</v>
      </c>
      <c r="J23" s="2905"/>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5"/>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5"/>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4.2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4.25" thickTop="1"/>
    <row r="26" spans="1:44">
      <c r="A26" s="3142" t="s">
        <v>3381</v>
      </c>
    </row>
    <row r="27" spans="1:44">
      <c r="I27" s="1405" t="s">
        <v>2825</v>
      </c>
    </row>
    <row r="29" spans="1:44" s="2007" customFormat="1" ht="12.75">
      <c r="B29" s="2928" t="s">
        <v>3379</v>
      </c>
      <c r="C29" s="2929"/>
      <c r="D29" s="2929"/>
      <c r="E29" s="2929"/>
      <c r="F29" s="2929"/>
      <c r="G29" s="2929"/>
      <c r="H29" s="2929"/>
      <c r="I29" s="2929"/>
      <c r="J29" s="2895"/>
      <c r="K29" s="2929" t="s">
        <v>2826</v>
      </c>
      <c r="L29" s="2929"/>
      <c r="M29" s="2929"/>
      <c r="N29" s="2929"/>
      <c r="O29" s="2929"/>
      <c r="P29" s="2929"/>
      <c r="Q29" s="2895"/>
      <c r="R29" s="3500" t="s">
        <v>2827</v>
      </c>
      <c r="S29" s="3501"/>
      <c r="T29" s="3501"/>
      <c r="U29" s="3501"/>
      <c r="V29" s="3501"/>
      <c r="W29" s="3501"/>
      <c r="X29" s="2895"/>
      <c r="Y29" s="3500" t="s">
        <v>2828</v>
      </c>
      <c r="Z29" s="3501"/>
      <c r="AA29" s="3501"/>
      <c r="AB29" s="3501"/>
      <c r="AC29" s="3501"/>
      <c r="AD29" s="3501"/>
    </row>
    <row r="30" spans="1:44" s="2008" customFormat="1" ht="14.25" thickBot="1">
      <c r="B30" s="2880"/>
      <c r="C30" s="2881"/>
      <c r="D30" s="2009" t="s">
        <v>2829</v>
      </c>
      <c r="E30" s="2010" t="s">
        <v>2830</v>
      </c>
      <c r="F30" s="2010" t="s">
        <v>2831</v>
      </c>
      <c r="G30" s="2010" t="s">
        <v>2832</v>
      </c>
      <c r="H30" s="2010"/>
      <c r="I30" s="2010" t="s">
        <v>2833</v>
      </c>
      <c r="J30" s="2882"/>
      <c r="K30" s="2009" t="s">
        <v>2829</v>
      </c>
      <c r="L30" s="2010" t="s">
        <v>2830</v>
      </c>
      <c r="M30" s="2010" t="s">
        <v>2831</v>
      </c>
      <c r="N30" s="2010" t="s">
        <v>2832</v>
      </c>
      <c r="O30" s="2010"/>
      <c r="P30" s="2010" t="s">
        <v>2833</v>
      </c>
      <c r="Q30" s="2882"/>
      <c r="R30" s="2009" t="s">
        <v>2829</v>
      </c>
      <c r="S30" s="2010" t="s">
        <v>2830</v>
      </c>
      <c r="T30" s="2010" t="s">
        <v>2831</v>
      </c>
      <c r="U30" s="2010" t="s">
        <v>2832</v>
      </c>
      <c r="V30" s="2010"/>
      <c r="W30" s="2010" t="s">
        <v>2833</v>
      </c>
      <c r="X30" s="2882"/>
      <c r="Y30" s="2009" t="s">
        <v>2829</v>
      </c>
      <c r="Z30" s="2010" t="s">
        <v>2830</v>
      </c>
      <c r="AA30" s="2010" t="s">
        <v>2831</v>
      </c>
      <c r="AB30" s="2010" t="s">
        <v>2832</v>
      </c>
      <c r="AC30" s="2010"/>
      <c r="AD30" s="2010" t="s">
        <v>2833</v>
      </c>
      <c r="AG30" t="s">
        <v>673</v>
      </c>
      <c r="AH30" t="s">
        <v>21</v>
      </c>
      <c r="AI30" t="s">
        <v>3406</v>
      </c>
      <c r="AJ30"/>
      <c r="AK30" t="s">
        <v>3407</v>
      </c>
      <c r="AN30" t="s">
        <v>673</v>
      </c>
      <c r="AO30" t="s">
        <v>21</v>
      </c>
      <c r="AP30" t="s">
        <v>3406</v>
      </c>
      <c r="AQ30"/>
      <c r="AR30" t="s">
        <v>3407</v>
      </c>
    </row>
    <row r="31" spans="1:44" s="2885" customFormat="1" ht="12.75">
      <c r="A31" s="2883" t="s">
        <v>2834</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7" customFormat="1" ht="12.75">
      <c r="B32" s="2023"/>
      <c r="J32" s="2895"/>
      <c r="K32" s="2896"/>
      <c r="L32" s="2897"/>
      <c r="M32" s="2897"/>
      <c r="N32" s="2897"/>
      <c r="O32" s="2897"/>
      <c r="P32" s="2897"/>
      <c r="Q32" s="2895"/>
      <c r="R32" s="2025"/>
      <c r="S32" s="2898"/>
      <c r="T32" s="2899"/>
      <c r="U32" s="2025"/>
      <c r="V32" s="2900"/>
      <c r="W32" s="2025"/>
      <c r="X32" s="2895"/>
      <c r="Y32" s="2026"/>
      <c r="Z32" s="2901"/>
      <c r="AA32" s="2902"/>
      <c r="AB32" s="2026"/>
      <c r="AC32" s="2903"/>
      <c r="AD32" s="2026"/>
    </row>
    <row r="33" spans="1:44" s="2043" customFormat="1">
      <c r="A33" s="2038" t="s">
        <v>3404</v>
      </c>
      <c r="B33" s="2029">
        <v>2025</v>
      </c>
      <c r="C33" s="2040">
        <v>4</v>
      </c>
      <c r="D33" s="2005"/>
      <c r="E33" s="2005">
        <v>0</v>
      </c>
      <c r="F33" s="2005">
        <v>0</v>
      </c>
      <c r="G33" s="2005">
        <v>0</v>
      </c>
      <c r="H33" s="2005"/>
      <c r="I33" s="2006">
        <f t="shared" ref="I33" si="119">F33</f>
        <v>0</v>
      </c>
      <c r="J33" s="2905"/>
      <c r="K33" s="2041"/>
      <c r="L33" s="2026">
        <f t="shared" ref="L33" si="120">E33/100</f>
        <v>0</v>
      </c>
      <c r="M33" s="2026">
        <f t="shared" ref="M33" si="121">F33/100</f>
        <v>0</v>
      </c>
      <c r="N33" s="2026">
        <f t="shared" ref="N33" si="122">G33/100</f>
        <v>0</v>
      </c>
      <c r="O33" s="2026"/>
      <c r="P33" s="2026">
        <f t="shared" ref="P33:P39" si="123">M33</f>
        <v>0</v>
      </c>
      <c r="Q33" s="2905"/>
      <c r="R33" s="2025"/>
      <c r="S33" s="2025">
        <f>ROUND(IF(项目基本情况!$B$8="出让",SUMPRODUCT(PRODUCT(1+L33:L$52)),SUMPRODUCT(PRODUCT(1+L33:L$51))),4)</f>
        <v>1.0118</v>
      </c>
      <c r="T33" s="2025">
        <f>ROUND(IF(项目基本情况!$B$8="出让",SUMPRODUCT(PRODUCT(1+M33:M$52)),SUMPRODUCT(PRODUCT(1+M33:M$51))),4)</f>
        <v>0.99680000000000002</v>
      </c>
      <c r="U33" s="2025">
        <f>ROUND(IF(项目基本情况!$B$8="出让",SUMPRODUCT(PRODUCT(1+N33:N$52)),SUMPRODUCT(PRODUCT(1+N33:N$51))),4)</f>
        <v>1.0338000000000001</v>
      </c>
      <c r="V33" s="2025"/>
      <c r="W33" s="2025">
        <f t="shared" ref="W33:W39" si="124">T33</f>
        <v>0.99680000000000002</v>
      </c>
      <c r="X33" s="2905"/>
      <c r="Y33" s="2026"/>
      <c r="Z33" s="2901">
        <f t="shared" ref="Z33" si="125">IF(E33=0,0,ROUND(AVERAGE(E33:E46)/100,4))</f>
        <v>0</v>
      </c>
      <c r="AA33" s="2901">
        <f t="shared" ref="AA33" si="126">IF(F33=0,0,ROUND(AVERAGE(F33:F46)/100,4))</f>
        <v>0</v>
      </c>
      <c r="AB33" s="2901">
        <f t="shared" ref="AB33" si="127">IF(G33=0,0,ROUND(AVERAGE(G33:G46)/100,4))</f>
        <v>0</v>
      </c>
      <c r="AC33" s="2903"/>
      <c r="AD33" s="2026">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3" customFormat="1" ht="12.75">
      <c r="A34" s="2038" t="s">
        <v>3403</v>
      </c>
      <c r="B34" s="2029">
        <v>2025</v>
      </c>
      <c r="C34" s="2040">
        <v>3</v>
      </c>
      <c r="D34" s="2005"/>
      <c r="E34" s="2005">
        <v>0</v>
      </c>
      <c r="F34" s="2005">
        <v>0</v>
      </c>
      <c r="G34" s="2005">
        <v>0</v>
      </c>
      <c r="H34" s="2005"/>
      <c r="I34" s="2006">
        <f t="shared" ref="I34" si="133">F34</f>
        <v>0</v>
      </c>
      <c r="J34" s="2905"/>
      <c r="K34" s="2041"/>
      <c r="L34" s="2026">
        <f t="shared" ref="L34" si="134">E34/100</f>
        <v>0</v>
      </c>
      <c r="M34" s="2026">
        <f t="shared" ref="M34" si="135">F34/100</f>
        <v>0</v>
      </c>
      <c r="N34" s="2026">
        <f t="shared" ref="N34" si="136">G34/100</f>
        <v>0</v>
      </c>
      <c r="O34" s="2026"/>
      <c r="P34" s="2026">
        <f t="shared" si="123"/>
        <v>0</v>
      </c>
      <c r="Q34" s="2905"/>
      <c r="R34" s="2025"/>
      <c r="S34" s="2025">
        <f>ROUND(IF(项目基本情况!$B$8="出让",SUMPRODUCT(PRODUCT(1+L34:L$52)),SUMPRODUCT(PRODUCT(1+L34:L$51))),4)</f>
        <v>1.0118</v>
      </c>
      <c r="T34" s="2025">
        <f>ROUND(IF(项目基本情况!$B$8="出让",SUMPRODUCT(PRODUCT(1+M34:M$52)),SUMPRODUCT(PRODUCT(1+M34:M$51))),4)</f>
        <v>0.99680000000000002</v>
      </c>
      <c r="U34" s="2025">
        <f>ROUND(IF(项目基本情况!$B$8="出让",SUMPRODUCT(PRODUCT(1+N34:N$52)),SUMPRODUCT(PRODUCT(1+N34:N$51))),4)</f>
        <v>1.0338000000000001</v>
      </c>
      <c r="V34" s="2025"/>
      <c r="W34" s="2025">
        <f t="shared" si="124"/>
        <v>0.99680000000000002</v>
      </c>
      <c r="X34" s="2905"/>
      <c r="Y34" s="2026"/>
      <c r="Z34" s="2901">
        <f t="shared" ref="Z34" si="137">IF(E34=0,0,ROUND(AVERAGE(E34:E47)/100,4))</f>
        <v>0</v>
      </c>
      <c r="AA34" s="2901">
        <f t="shared" ref="AA34" si="138">IF(F34=0,0,ROUND(AVERAGE(F34:F47)/100,4))</f>
        <v>0</v>
      </c>
      <c r="AB34" s="2901">
        <f t="shared" ref="AB34" si="139">IF(G34=0,0,ROUND(AVERAGE(G34:G47)/100,4))</f>
        <v>0</v>
      </c>
      <c r="AC34" s="2903"/>
      <c r="AD34" s="2026">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2.75">
      <c r="A35" s="2906" t="s">
        <v>3411</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3" customFormat="1" ht="12.75">
      <c r="A36" s="2038" t="s">
        <v>3408</v>
      </c>
      <c r="B36" s="2029">
        <v>2025</v>
      </c>
      <c r="C36" s="2040">
        <v>1</v>
      </c>
      <c r="D36" s="2005"/>
      <c r="E36" s="2005">
        <v>-1.47</v>
      </c>
      <c r="F36" s="2005">
        <v>-0.98</v>
      </c>
      <c r="G36" s="2005">
        <v>-0.51</v>
      </c>
      <c r="H36" s="2005"/>
      <c r="I36" s="2006">
        <f t="shared" ref="I36" si="152">F36</f>
        <v>-0.98</v>
      </c>
      <c r="J36" s="2905"/>
      <c r="K36" s="2041"/>
      <c r="L36" s="2026">
        <f t="shared" ref="L36" si="153">E36/100</f>
        <v>-1.47E-2</v>
      </c>
      <c r="M36" s="2026">
        <f t="shared" ref="M36" si="154">F36/100</f>
        <v>-9.7999999999999997E-3</v>
      </c>
      <c r="N36" s="2026">
        <f t="shared" ref="N36" si="155">G36/100</f>
        <v>-5.1000000000000004E-3</v>
      </c>
      <c r="O36" s="2026"/>
      <c r="P36" s="2026">
        <f t="shared" si="123"/>
        <v>-9.7999999999999997E-3</v>
      </c>
      <c r="Q36" s="2905"/>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5"/>
      <c r="Y36" s="2026"/>
      <c r="Z36" s="2901">
        <f t="shared" ref="Z36" si="156">IF(E36=0,0,ROUND(AVERAGE(E36:E49)/100,4))</f>
        <v>4.0000000000000002E-4</v>
      </c>
      <c r="AA36" s="2901">
        <f t="shared" ref="AA36" si="157">IF(F36=0,0,ROUND(AVERAGE(F36:F49)/100,4))</f>
        <v>0</v>
      </c>
      <c r="AB36" s="2901">
        <f t="shared" ref="AB36" si="158">IF(G36=0,0,ROUND(AVERAGE(G36:G49)/100,4))</f>
        <v>1E-3</v>
      </c>
      <c r="AC36" s="2903"/>
      <c r="AD36" s="2026">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3" customFormat="1" ht="12.75">
      <c r="A37" s="2038" t="s">
        <v>3409</v>
      </c>
      <c r="B37" s="2029">
        <v>2024</v>
      </c>
      <c r="C37" s="2040">
        <v>4</v>
      </c>
      <c r="D37" s="2005"/>
      <c r="E37" s="2005">
        <v>-0.61</v>
      </c>
      <c r="F37" s="2005">
        <v>-0.71</v>
      </c>
      <c r="G37" s="2005">
        <v>-0.88</v>
      </c>
      <c r="H37" s="2005"/>
      <c r="I37" s="2006">
        <f t="shared" ref="I37" si="162">F37</f>
        <v>-0.71</v>
      </c>
      <c r="J37" s="2905"/>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5"/>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5"/>
      <c r="Y37" s="2026"/>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6">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3" customFormat="1" ht="12.75">
      <c r="A38" s="2038" t="s">
        <v>3373</v>
      </c>
      <c r="B38" s="2029">
        <v>2024</v>
      </c>
      <c r="C38" s="2040">
        <v>3</v>
      </c>
      <c r="D38" s="2005"/>
      <c r="E38" s="2005">
        <v>-0.66</v>
      </c>
      <c r="F38" s="2005">
        <v>-0.52</v>
      </c>
      <c r="G38" s="2005">
        <v>-2.87</v>
      </c>
      <c r="H38" s="2005"/>
      <c r="I38" s="2006">
        <f t="shared" ref="I38" si="169">F38</f>
        <v>-0.52</v>
      </c>
      <c r="J38" s="2905"/>
      <c r="K38" s="2041"/>
      <c r="L38" s="2026">
        <f t="shared" ref="L38" si="170">E38/100</f>
        <v>-6.6E-3</v>
      </c>
      <c r="M38" s="2026">
        <f t="shared" ref="M38" si="171">F38/100</f>
        <v>-5.1999999999999998E-3</v>
      </c>
      <c r="N38" s="2026">
        <f t="shared" ref="N38" si="172">G38/100</f>
        <v>-2.87E-2</v>
      </c>
      <c r="O38" s="2026"/>
      <c r="P38" s="2026">
        <f t="shared" si="123"/>
        <v>-5.1999999999999998E-3</v>
      </c>
      <c r="Q38" s="2905"/>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5"/>
      <c r="Y38" s="2026"/>
      <c r="Z38" s="2901">
        <f t="shared" ref="Z38:AB39" si="173">IF(E38=0,0,ROUND(AVERAGE(E38:E51)/100,4))</f>
        <v>2.5999999999999999E-3</v>
      </c>
      <c r="AA38" s="2901">
        <f t="shared" si="173"/>
        <v>1.6999999999999999E-3</v>
      </c>
      <c r="AB38" s="2901">
        <f t="shared" si="173"/>
        <v>3.3999999999999998E-3</v>
      </c>
      <c r="AC38" s="2903"/>
      <c r="AD38" s="2026">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3" customFormat="1" ht="12.75">
      <c r="A39" s="2904" t="s">
        <v>3377</v>
      </c>
      <c r="B39" s="2029">
        <v>2024</v>
      </c>
      <c r="C39" s="2040">
        <v>2</v>
      </c>
      <c r="D39" s="2005"/>
      <c r="E39" s="2005">
        <v>-0.31</v>
      </c>
      <c r="F39" s="2005">
        <v>-0.39</v>
      </c>
      <c r="G39" s="2005">
        <v>1.23</v>
      </c>
      <c r="H39" s="2916"/>
      <c r="I39" s="2006">
        <f t="shared" ref="I39:I52" si="174">F39</f>
        <v>-0.39</v>
      </c>
      <c r="J39" s="2905"/>
      <c r="K39" s="2041"/>
      <c r="L39" s="2026">
        <f t="shared" ref="L39:N52" si="175">E39/100</f>
        <v>-3.0999999999999999E-3</v>
      </c>
      <c r="M39" s="2026">
        <f t="shared" si="175"/>
        <v>-3.9000000000000003E-3</v>
      </c>
      <c r="N39" s="2026">
        <f t="shared" si="175"/>
        <v>1.23E-2</v>
      </c>
      <c r="O39" s="2026"/>
      <c r="P39" s="2026">
        <f t="shared" si="123"/>
        <v>-3.9000000000000003E-3</v>
      </c>
      <c r="Q39" s="2905"/>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5"/>
      <c r="Y39" s="2026"/>
      <c r="Z39" s="2901">
        <f t="shared" si="173"/>
        <v>3.3E-3</v>
      </c>
      <c r="AA39" s="2902">
        <f t="shared" si="173"/>
        <v>2.3999999999999998E-3</v>
      </c>
      <c r="AB39" s="2026">
        <f t="shared" si="173"/>
        <v>6.1999999999999998E-3</v>
      </c>
      <c r="AC39" s="2903"/>
      <c r="AD39" s="2026">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3" customFormat="1" ht="12.75">
      <c r="A40" s="2904" t="s">
        <v>3374</v>
      </c>
      <c r="B40" s="2029">
        <v>2024</v>
      </c>
      <c r="C40" s="2040">
        <v>1</v>
      </c>
      <c r="D40" s="2005"/>
      <c r="E40" s="2005">
        <v>0.25</v>
      </c>
      <c r="F40" s="2005">
        <v>0.4</v>
      </c>
      <c r="G40" s="2005">
        <v>-0.63</v>
      </c>
      <c r="H40" s="2916"/>
      <c r="I40" s="2006">
        <f t="shared" ref="I40:I41" si="176">F40</f>
        <v>0.4</v>
      </c>
      <c r="J40" s="2905"/>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5"/>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5"/>
      <c r="Y40" s="2026"/>
      <c r="Z40" s="2901"/>
      <c r="AA40" s="2902"/>
      <c r="AB40" s="2026"/>
      <c r="AC40" s="2903"/>
      <c r="AD40" s="2026"/>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3" customFormat="1" ht="12.75">
      <c r="A41" s="2904" t="s">
        <v>3372</v>
      </c>
      <c r="B41" s="2029">
        <v>2023</v>
      </c>
      <c r="C41" s="2040">
        <v>4</v>
      </c>
      <c r="D41" s="2005"/>
      <c r="E41" s="2005">
        <v>7.0000000000000007E-2</v>
      </c>
      <c r="F41" s="2005">
        <v>0.09</v>
      </c>
      <c r="G41" s="2005">
        <v>0.03</v>
      </c>
      <c r="H41" s="2916"/>
      <c r="I41" s="2006">
        <f t="shared" si="176"/>
        <v>0.09</v>
      </c>
      <c r="J41" s="2905"/>
      <c r="K41" s="2041"/>
      <c r="L41" s="2026">
        <f t="shared" si="175"/>
        <v>7.000000000000001E-4</v>
      </c>
      <c r="M41" s="2026">
        <f t="shared" si="175"/>
        <v>8.9999999999999998E-4</v>
      </c>
      <c r="N41" s="2026">
        <f t="shared" si="175"/>
        <v>2.9999999999999997E-4</v>
      </c>
      <c r="O41" s="2026"/>
      <c r="P41" s="2026">
        <f t="shared" ref="P41" si="182">M41</f>
        <v>8.9999999999999998E-4</v>
      </c>
      <c r="Q41" s="2905"/>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5"/>
      <c r="Y41" s="2026"/>
      <c r="Z41" s="2901"/>
      <c r="AA41" s="2902"/>
      <c r="AB41" s="2026"/>
      <c r="AC41" s="2903"/>
      <c r="AD41" s="2026"/>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3" customFormat="1" ht="12.75">
      <c r="A42" s="2904" t="s">
        <v>3370</v>
      </c>
      <c r="B42" s="2029">
        <v>2023</v>
      </c>
      <c r="C42" s="2040">
        <v>3</v>
      </c>
      <c r="D42" s="2005"/>
      <c r="E42" s="2005">
        <v>0.35</v>
      </c>
      <c r="F42" s="2005">
        <v>0.17</v>
      </c>
      <c r="G42" s="2005">
        <v>0.52</v>
      </c>
      <c r="H42" s="2916"/>
      <c r="I42" s="2006">
        <f t="shared" si="174"/>
        <v>0.17</v>
      </c>
      <c r="J42" s="2905"/>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5"/>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5"/>
      <c r="Y42" s="2026"/>
      <c r="Z42" s="2901"/>
      <c r="AA42" s="2902"/>
      <c r="AB42" s="2026"/>
      <c r="AC42" s="2903"/>
      <c r="AD42" s="2026"/>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3" customFormat="1" ht="12.75">
      <c r="A43" s="2904" t="s">
        <v>3369</v>
      </c>
      <c r="B43" s="2029">
        <v>2023</v>
      </c>
      <c r="C43" s="2040">
        <v>2</v>
      </c>
      <c r="D43" s="2005"/>
      <c r="E43" s="2005">
        <v>0.5</v>
      </c>
      <c r="F43" s="2005">
        <v>0.45</v>
      </c>
      <c r="G43" s="2005">
        <v>0.89</v>
      </c>
      <c r="H43" s="2916"/>
      <c r="I43" s="2006">
        <f t="shared" si="174"/>
        <v>0.45</v>
      </c>
      <c r="J43" s="2905"/>
      <c r="K43" s="2041"/>
      <c r="L43" s="2026">
        <f t="shared" si="184"/>
        <v>5.0000000000000001E-3</v>
      </c>
      <c r="M43" s="2026">
        <f t="shared" si="185"/>
        <v>4.5000000000000005E-3</v>
      </c>
      <c r="N43" s="2026">
        <f t="shared" si="186"/>
        <v>8.8999999999999999E-3</v>
      </c>
      <c r="O43" s="2026"/>
      <c r="P43" s="2026">
        <f t="shared" si="187"/>
        <v>4.5000000000000005E-3</v>
      </c>
      <c r="Q43" s="2905"/>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5"/>
      <c r="Y43" s="2026"/>
      <c r="Z43" s="2901"/>
      <c r="AA43" s="2902"/>
      <c r="AB43" s="2026"/>
      <c r="AC43" s="2903"/>
      <c r="AD43" s="2026"/>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3" customFormat="1" ht="12.75">
      <c r="A44" s="2904" t="s">
        <v>3367</v>
      </c>
      <c r="B44" s="2029">
        <v>2023</v>
      </c>
      <c r="C44" s="2040">
        <v>1</v>
      </c>
      <c r="D44" s="2005"/>
      <c r="E44" s="2005">
        <v>0.55000000000000004</v>
      </c>
      <c r="F44" s="2005">
        <v>0.59</v>
      </c>
      <c r="G44" s="2005">
        <v>0.64</v>
      </c>
      <c r="H44" s="2916"/>
      <c r="I44" s="2006">
        <f t="shared" si="174"/>
        <v>0.59</v>
      </c>
      <c r="J44" s="2905"/>
      <c r="K44" s="2041"/>
      <c r="L44" s="2026">
        <f t="shared" si="184"/>
        <v>5.5000000000000005E-3</v>
      </c>
      <c r="M44" s="2026">
        <f t="shared" si="185"/>
        <v>5.8999999999999999E-3</v>
      </c>
      <c r="N44" s="2026">
        <f t="shared" si="186"/>
        <v>6.4000000000000003E-3</v>
      </c>
      <c r="O44" s="2026"/>
      <c r="P44" s="2026">
        <f t="shared" si="187"/>
        <v>5.8999999999999999E-3</v>
      </c>
      <c r="Q44" s="2905"/>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5"/>
      <c r="Y44" s="2026"/>
      <c r="Z44" s="2901"/>
      <c r="AA44" s="2902"/>
      <c r="AB44" s="2026"/>
      <c r="AC44" s="2903"/>
      <c r="AD44" s="2026"/>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3" customFormat="1" ht="12.75">
      <c r="A45" s="2904" t="s">
        <v>3366</v>
      </c>
      <c r="B45" s="2029">
        <v>2022</v>
      </c>
      <c r="C45" s="2040">
        <v>4</v>
      </c>
      <c r="D45" s="2005"/>
      <c r="E45" s="2005">
        <v>0.45</v>
      </c>
      <c r="F45" s="2005">
        <v>0.2</v>
      </c>
      <c r="G45" s="2005">
        <v>0.38</v>
      </c>
      <c r="H45" s="2916"/>
      <c r="I45" s="2006">
        <f t="shared" si="174"/>
        <v>0.2</v>
      </c>
      <c r="J45" s="2905"/>
      <c r="K45" s="2041"/>
      <c r="L45" s="2026">
        <f t="shared" si="175"/>
        <v>4.5000000000000005E-3</v>
      </c>
      <c r="M45" s="2026">
        <f t="shared" si="175"/>
        <v>2E-3</v>
      </c>
      <c r="N45" s="2026">
        <f t="shared" si="175"/>
        <v>3.8E-3</v>
      </c>
      <c r="O45" s="2026"/>
      <c r="P45" s="2026">
        <f t="shared" ref="P45:P52" si="189">M45</f>
        <v>2E-3</v>
      </c>
      <c r="Q45" s="2905"/>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5"/>
      <c r="Y45" s="2026"/>
      <c r="Z45" s="2901">
        <f t="shared" ref="Z45:AD52" si="191">IF(E45=0,0,ROUND(AVERAGE(E45:E53)/100,4))</f>
        <v>4.0000000000000001E-3</v>
      </c>
      <c r="AA45" s="2902">
        <f t="shared" si="191"/>
        <v>2.5999999999999999E-3</v>
      </c>
      <c r="AB45" s="2026">
        <f t="shared" si="191"/>
        <v>7.4000000000000003E-3</v>
      </c>
      <c r="AC45" s="2903"/>
      <c r="AD45" s="2026">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3" customFormat="1" ht="12.75">
      <c r="A46" s="2904" t="s">
        <v>3365</v>
      </c>
      <c r="B46" s="2029">
        <v>2022</v>
      </c>
      <c r="C46" s="2040">
        <v>3</v>
      </c>
      <c r="D46" s="2005"/>
      <c r="E46" s="2005">
        <v>0.3</v>
      </c>
      <c r="F46" s="2005">
        <v>0.28999999999999998</v>
      </c>
      <c r="G46" s="2005">
        <v>0.83</v>
      </c>
      <c r="H46" s="2916"/>
      <c r="I46" s="2006">
        <f t="shared" si="174"/>
        <v>0.28999999999999998</v>
      </c>
      <c r="J46" s="2905"/>
      <c r="K46" s="2041"/>
      <c r="L46" s="2026">
        <f t="shared" si="175"/>
        <v>3.0000000000000001E-3</v>
      </c>
      <c r="M46" s="2026">
        <f t="shared" si="175"/>
        <v>2.8999999999999998E-3</v>
      </c>
      <c r="N46" s="2026">
        <f t="shared" si="175"/>
        <v>8.3000000000000001E-3</v>
      </c>
      <c r="O46" s="2026"/>
      <c r="P46" s="2026">
        <f t="shared" si="189"/>
        <v>2.8999999999999998E-3</v>
      </c>
      <c r="Q46" s="2905"/>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5"/>
      <c r="Y46" s="2026"/>
      <c r="Z46" s="2901">
        <f t="shared" si="191"/>
        <v>3.8999999999999998E-3</v>
      </c>
      <c r="AA46" s="2902">
        <f t="shared" si="191"/>
        <v>2.7000000000000001E-3</v>
      </c>
      <c r="AB46" s="2026">
        <f t="shared" si="191"/>
        <v>7.9000000000000008E-3</v>
      </c>
      <c r="AC46" s="2903"/>
      <c r="AD46" s="2026">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3" customFormat="1" ht="12.75">
      <c r="A47" s="2904" t="s">
        <v>3355</v>
      </c>
      <c r="B47" s="2029">
        <v>2022</v>
      </c>
      <c r="C47" s="2040">
        <v>2</v>
      </c>
      <c r="D47" s="2005"/>
      <c r="E47" s="2005">
        <v>-0.11</v>
      </c>
      <c r="F47" s="2005">
        <v>-0.13</v>
      </c>
      <c r="G47" s="2005">
        <v>0.53</v>
      </c>
      <c r="H47" s="2916"/>
      <c r="I47" s="2006">
        <f t="shared" si="174"/>
        <v>-0.13</v>
      </c>
      <c r="J47" s="2905"/>
      <c r="K47" s="2041"/>
      <c r="L47" s="2026">
        <f t="shared" si="175"/>
        <v>-1.1000000000000001E-3</v>
      </c>
      <c r="M47" s="2026">
        <f t="shared" si="175"/>
        <v>-1.2999999999999999E-3</v>
      </c>
      <c r="N47" s="2026">
        <f t="shared" si="175"/>
        <v>5.3E-3</v>
      </c>
      <c r="O47" s="2026"/>
      <c r="P47" s="2026">
        <f t="shared" si="189"/>
        <v>-1.2999999999999999E-3</v>
      </c>
      <c r="Q47" s="2905"/>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5"/>
      <c r="Y47" s="2026"/>
      <c r="Z47" s="2901">
        <f t="shared" si="191"/>
        <v>4.1000000000000003E-3</v>
      </c>
      <c r="AA47" s="2902">
        <f t="shared" si="191"/>
        <v>2.7000000000000001E-3</v>
      </c>
      <c r="AB47" s="2026">
        <f t="shared" si="191"/>
        <v>7.9000000000000008E-3</v>
      </c>
      <c r="AC47" s="2903"/>
      <c r="AD47" s="2026">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3" customFormat="1" ht="12.75">
      <c r="A48" s="2904" t="s">
        <v>2835</v>
      </c>
      <c r="B48" s="2029">
        <v>2022</v>
      </c>
      <c r="C48" s="2040">
        <v>1</v>
      </c>
      <c r="D48" s="2005"/>
      <c r="E48" s="2005">
        <v>0.6</v>
      </c>
      <c r="F48" s="2005">
        <v>0.45</v>
      </c>
      <c r="G48" s="2005">
        <v>0.53</v>
      </c>
      <c r="H48" s="2916"/>
      <c r="I48" s="2006">
        <f t="shared" si="174"/>
        <v>0.45</v>
      </c>
      <c r="J48" s="2905"/>
      <c r="K48" s="2041"/>
      <c r="L48" s="2026">
        <f t="shared" si="175"/>
        <v>6.0000000000000001E-3</v>
      </c>
      <c r="M48" s="2026">
        <f t="shared" si="175"/>
        <v>4.5000000000000005E-3</v>
      </c>
      <c r="N48" s="2026">
        <f t="shared" si="175"/>
        <v>5.3E-3</v>
      </c>
      <c r="O48" s="2026"/>
      <c r="P48" s="2026">
        <f t="shared" si="189"/>
        <v>4.5000000000000005E-3</v>
      </c>
      <c r="Q48" s="2905"/>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5"/>
      <c r="Y48" s="2026"/>
      <c r="Z48" s="2901">
        <f t="shared" si="191"/>
        <v>5.1000000000000004E-3</v>
      </c>
      <c r="AA48" s="2902">
        <f t="shared" si="191"/>
        <v>3.5000000000000001E-3</v>
      </c>
      <c r="AB48" s="2026">
        <f t="shared" si="191"/>
        <v>8.3999999999999995E-3</v>
      </c>
      <c r="AC48" s="2903"/>
      <c r="AD48" s="2026">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3" customFormat="1" ht="12.75">
      <c r="A49" s="2904" t="s">
        <v>2836</v>
      </c>
      <c r="B49" s="2029">
        <v>2021</v>
      </c>
      <c r="C49" s="2040">
        <v>4</v>
      </c>
      <c r="D49" s="2005"/>
      <c r="E49" s="2005">
        <v>0.57999999999999996</v>
      </c>
      <c r="F49" s="2005">
        <v>0.08</v>
      </c>
      <c r="G49" s="2005">
        <v>0.68</v>
      </c>
      <c r="H49" s="2916"/>
      <c r="I49" s="2006">
        <f t="shared" si="174"/>
        <v>0.08</v>
      </c>
      <c r="J49" s="2905"/>
      <c r="K49" s="2041"/>
      <c r="L49" s="2026">
        <f t="shared" si="175"/>
        <v>5.7999999999999996E-3</v>
      </c>
      <c r="M49" s="2026">
        <f t="shared" si="175"/>
        <v>8.0000000000000004E-4</v>
      </c>
      <c r="N49" s="2026">
        <f t="shared" si="175"/>
        <v>6.8000000000000005E-3</v>
      </c>
      <c r="O49" s="2026"/>
      <c r="P49" s="2026">
        <f t="shared" si="189"/>
        <v>8.0000000000000004E-4</v>
      </c>
      <c r="Q49" s="2905"/>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5"/>
      <c r="Y49" s="2026"/>
      <c r="Z49" s="2901">
        <f t="shared" si="191"/>
        <v>4.8999999999999998E-3</v>
      </c>
      <c r="AA49" s="2902">
        <f t="shared" si="191"/>
        <v>3.3E-3</v>
      </c>
      <c r="AB49" s="2026">
        <f t="shared" si="191"/>
        <v>9.1999999999999998E-3</v>
      </c>
      <c r="AC49" s="2903"/>
      <c r="AD49" s="2026">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3" customFormat="1" ht="12.75">
      <c r="A50" s="2904" t="s">
        <v>2837</v>
      </c>
      <c r="B50" s="2029">
        <v>2021</v>
      </c>
      <c r="C50" s="2040">
        <v>3</v>
      </c>
      <c r="D50" s="2005"/>
      <c r="E50" s="2005">
        <v>0.47</v>
      </c>
      <c r="F50" s="2005">
        <v>0.28000000000000003</v>
      </c>
      <c r="G50" s="2005">
        <v>0.91</v>
      </c>
      <c r="H50" s="2916"/>
      <c r="I50" s="2006">
        <f t="shared" si="174"/>
        <v>0.28000000000000003</v>
      </c>
      <c r="J50" s="2905"/>
      <c r="K50" s="2041"/>
      <c r="L50" s="2026">
        <f t="shared" si="175"/>
        <v>4.6999999999999993E-3</v>
      </c>
      <c r="M50" s="2026">
        <f t="shared" si="175"/>
        <v>2.8000000000000004E-3</v>
      </c>
      <c r="N50" s="2026">
        <f t="shared" si="175"/>
        <v>9.1000000000000004E-3</v>
      </c>
      <c r="O50" s="2026"/>
      <c r="P50" s="2026">
        <f t="shared" si="189"/>
        <v>2.8000000000000004E-3</v>
      </c>
      <c r="Q50" s="2905"/>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5"/>
      <c r="Y50" s="2026"/>
      <c r="Z50" s="2901">
        <f t="shared" si="191"/>
        <v>4.5999999999999999E-3</v>
      </c>
      <c r="AA50" s="2902">
        <f t="shared" si="191"/>
        <v>4.1000000000000003E-3</v>
      </c>
      <c r="AB50" s="2026">
        <f t="shared" si="191"/>
        <v>0.01</v>
      </c>
      <c r="AC50" s="2903"/>
      <c r="AD50" s="2026">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3" customFormat="1" ht="12.75">
      <c r="A51" s="2904" t="s">
        <v>2838</v>
      </c>
      <c r="B51" s="2029">
        <v>2021</v>
      </c>
      <c r="C51" s="2040">
        <v>2</v>
      </c>
      <c r="D51" s="2005"/>
      <c r="E51" s="2005">
        <v>0.55000000000000004</v>
      </c>
      <c r="F51" s="2005">
        <v>0.46</v>
      </c>
      <c r="G51" s="2005">
        <v>1.1000000000000001</v>
      </c>
      <c r="H51" s="2916"/>
      <c r="I51" s="2006">
        <f t="shared" si="174"/>
        <v>0.46</v>
      </c>
      <c r="J51" s="2905"/>
      <c r="K51" s="2041"/>
      <c r="L51" s="2026">
        <f t="shared" si="175"/>
        <v>5.5000000000000005E-3</v>
      </c>
      <c r="M51" s="2026">
        <f t="shared" si="175"/>
        <v>4.5999999999999999E-3</v>
      </c>
      <c r="N51" s="2026">
        <f t="shared" si="175"/>
        <v>1.1000000000000001E-2</v>
      </c>
      <c r="O51" s="2026"/>
      <c r="P51" s="2026">
        <f t="shared" si="189"/>
        <v>4.5999999999999999E-3</v>
      </c>
      <c r="Q51" s="2905"/>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5"/>
      <c r="Y51" s="2026"/>
      <c r="Z51" s="2901">
        <f t="shared" si="191"/>
        <v>4.4999999999999997E-3</v>
      </c>
      <c r="AA51" s="2902">
        <f t="shared" si="191"/>
        <v>4.7000000000000002E-3</v>
      </c>
      <c r="AB51" s="2026">
        <f t="shared" si="191"/>
        <v>1.04E-2</v>
      </c>
      <c r="AC51" s="2903"/>
      <c r="AD51" s="2026">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4.2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4.25" thickTop="1"/>
    <row r="54" spans="1:44">
      <c r="A54" s="3142"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3363</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3360</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3361</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3362</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2308</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2307</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3">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3"/>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3"/>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10"/>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06">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3"/>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03"/>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10"/>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6">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3"/>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3"/>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4"/>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02">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3"/>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3"/>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4"/>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02">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3"/>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3"/>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4"/>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07">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8"/>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8"/>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9"/>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02">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3"/>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3"/>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04"/>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02">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3">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3">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4">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02">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3">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3">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4">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02">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3">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3">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4">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02">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3">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3">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4">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02">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3">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3">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4">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02">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3">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3">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4">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02">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3">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3">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4">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02">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3">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3">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4">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02">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3">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3">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04">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02">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3">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3">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04">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13" t="s">
        <v>2839</v>
      </c>
      <c r="B1" s="3513"/>
      <c r="C1" s="3513"/>
      <c r="D1" s="3513"/>
      <c r="E1" s="3513"/>
      <c r="F1" s="3513"/>
      <c r="G1" s="3514"/>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1"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12"/>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45875</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9" t="str">
        <f>IF(项目基本情况!B9="房地产市场价值","估价结果一览表","结果表-2")</f>
        <v>估价结果一览表</v>
      </c>
      <c r="B1" s="3189"/>
      <c r="C1" s="3189"/>
      <c r="D1" s="3189"/>
      <c r="E1" s="3189"/>
      <c r="F1" s="3189"/>
      <c r="G1" s="3189"/>
      <c r="H1" s="3189"/>
      <c r="I1" s="3189"/>
    </row>
    <row r="2" spans="1:9" ht="30" customHeight="1" thickTop="1">
      <c r="A2" s="3190" t="s">
        <v>928</v>
      </c>
      <c r="B2" s="3190" t="s">
        <v>929</v>
      </c>
      <c r="C2" s="3190" t="s">
        <v>930</v>
      </c>
      <c r="D2" s="3190" t="str">
        <f>'结果表-住宅'!D116</f>
        <v>出让国有建设用地使用权价值</v>
      </c>
      <c r="E2" s="3190"/>
      <c r="F2" s="3190" t="str">
        <f>'结果表-住宅'!F116</f>
        <v>在建建筑物价值</v>
      </c>
      <c r="G2" s="3190"/>
      <c r="H2" s="3190" t="str">
        <f>IF(项目基本情况!B9="房地产市场价值","房地产市场价值","房地产价值")</f>
        <v>房地产市场价值</v>
      </c>
      <c r="I2" s="3190"/>
    </row>
    <row r="3" spans="1:9" ht="15">
      <c r="A3" s="3191"/>
      <c r="B3" s="3191"/>
      <c r="C3" s="3191"/>
      <c r="D3" s="801" t="s">
        <v>925</v>
      </c>
      <c r="E3" s="801" t="s">
        <v>931</v>
      </c>
      <c r="F3" s="801" t="s">
        <v>925</v>
      </c>
      <c r="G3" s="801" t="s">
        <v>926</v>
      </c>
      <c r="H3" s="801" t="s">
        <v>925</v>
      </c>
      <c r="I3" s="801" t="s">
        <v>926</v>
      </c>
    </row>
    <row r="4" spans="1:9" ht="15">
      <c r="A4" s="1403" t="str">
        <f>项目基本情况!S2</f>
        <v>北京市房地产</v>
      </c>
      <c r="B4" s="801">
        <f>项目基本情况!C17</f>
        <v>263.11</v>
      </c>
      <c r="C4" s="801">
        <f>项目基本情况!C18</f>
        <v>0</v>
      </c>
      <c r="D4" s="801" t="e">
        <f ca="1">'结果表-住宅'!D118</f>
        <v>#REF!</v>
      </c>
      <c r="E4" s="801" t="e">
        <f ca="1">'结果表-住宅'!E118</f>
        <v>#REF!</v>
      </c>
      <c r="F4" s="801" t="e">
        <f ca="1">'结果表-住宅'!F118</f>
        <v>#REF!</v>
      </c>
      <c r="G4" s="801" t="e">
        <f ca="1">'结果表-住宅'!G118</f>
        <v>#REF!</v>
      </c>
      <c r="H4" s="801" t="e">
        <f ca="1">'结果表-住宅'!H118</f>
        <v>#REF!</v>
      </c>
      <c r="I4" s="801" t="e">
        <f ca="1">'结果表-住宅'!I118</f>
        <v>#REF!</v>
      </c>
    </row>
    <row r="5" spans="1:9" ht="30" customHeight="1">
      <c r="A5" s="3191" t="s">
        <v>927</v>
      </c>
      <c r="B5" s="3191"/>
      <c r="C5" s="3191"/>
      <c r="D5" s="3191" t="e">
        <f ca="1">'结果表-住宅'!D119</f>
        <v>#REF!</v>
      </c>
      <c r="E5" s="3191"/>
      <c r="F5" s="3191" t="e">
        <f ca="1">'结果表-住宅'!F119</f>
        <v>#REF!</v>
      </c>
      <c r="G5" s="3191"/>
      <c r="H5" s="3191" t="e">
        <f ca="1">'结果表-住宅'!H119</f>
        <v>#REF!</v>
      </c>
      <c r="I5" s="3191"/>
    </row>
    <row r="6" spans="1:9" ht="15.75">
      <c r="A6" s="3192" t="str">
        <f>'结果表-住宅'!A120</f>
        <v/>
      </c>
      <c r="B6" s="3192"/>
      <c r="C6" s="3192"/>
      <c r="D6" s="3192">
        <f>'结果表-住宅'!D120</f>
        <v>0</v>
      </c>
      <c r="E6" s="3192"/>
      <c r="F6" s="3192"/>
      <c r="G6" s="3192"/>
      <c r="H6" s="3192"/>
      <c r="I6" s="3192"/>
    </row>
    <row r="7" spans="1:9" ht="15">
      <c r="A7" s="3191" t="s">
        <v>927</v>
      </c>
      <c r="B7" s="3191"/>
      <c r="C7" s="3191"/>
      <c r="D7" s="3193" t="str">
        <f>'结果表-住宅'!D121</f>
        <v>零元整</v>
      </c>
      <c r="E7" s="3194"/>
      <c r="F7" s="3194"/>
      <c r="G7" s="3194"/>
      <c r="H7" s="3194"/>
      <c r="I7" s="3195"/>
    </row>
    <row r="8" spans="1:9" ht="15.75">
      <c r="A8" s="3192" t="str">
        <f>'结果表-住宅'!A122</f>
        <v/>
      </c>
      <c r="B8" s="3192"/>
      <c r="C8" s="3192"/>
      <c r="D8" s="3192" t="e">
        <f ca="1">'结果表-住宅'!D122</f>
        <v>#REF!</v>
      </c>
      <c r="E8" s="3192"/>
      <c r="F8" s="3192"/>
      <c r="G8" s="3192"/>
      <c r="H8" s="3192"/>
      <c r="I8" s="3192"/>
    </row>
    <row r="9" spans="1:9" ht="15">
      <c r="A9" s="3191" t="s">
        <v>927</v>
      </c>
      <c r="B9" s="3191"/>
      <c r="C9" s="3191"/>
      <c r="D9" s="3191" t="e">
        <f ca="1">'结果表-住宅'!D123</f>
        <v>#REF!</v>
      </c>
      <c r="E9" s="3191"/>
      <c r="F9" s="3191"/>
      <c r="G9" s="3191"/>
      <c r="H9" s="3191"/>
      <c r="I9" s="3191"/>
    </row>
    <row r="10" spans="1:9" ht="15.75">
      <c r="A10" s="3192" t="str">
        <f>'结果表-住宅'!A124</f>
        <v/>
      </c>
      <c r="B10" s="3192"/>
      <c r="C10" s="3192"/>
      <c r="D10" s="3192" t="str">
        <f>'结果表-住宅'!D124</f>
        <v>——</v>
      </c>
      <c r="E10" s="3192"/>
      <c r="F10" s="3192"/>
      <c r="G10" s="3192"/>
      <c r="H10" s="3192"/>
      <c r="I10" s="3192"/>
    </row>
    <row r="11" spans="1:9" ht="15">
      <c r="A11" s="3191" t="s">
        <v>927</v>
      </c>
      <c r="B11" s="3191"/>
      <c r="C11" s="3191"/>
      <c r="D11" s="3191" t="e">
        <f>'结果表-住宅'!D125</f>
        <v>#VALUE!</v>
      </c>
      <c r="E11" s="3191"/>
      <c r="F11" s="3191"/>
      <c r="G11" s="3191"/>
      <c r="H11" s="3191"/>
      <c r="I11" s="3191"/>
    </row>
    <row r="12" spans="1:9" ht="15.75">
      <c r="A12" s="3192" t="str">
        <f>'结果表-住宅'!A126</f>
        <v/>
      </c>
      <c r="B12" s="3192"/>
      <c r="C12" s="3192"/>
      <c r="D12" s="3192" t="str">
        <f>'结果表-住宅'!D126</f>
        <v>——</v>
      </c>
      <c r="E12" s="3192"/>
      <c r="F12" s="3192"/>
      <c r="G12" s="3192"/>
      <c r="H12" s="3192"/>
      <c r="I12" s="3192"/>
    </row>
    <row r="13" spans="1:9" ht="15.75" thickBot="1">
      <c r="A13" s="3196" t="s">
        <v>927</v>
      </c>
      <c r="B13" s="3196"/>
      <c r="C13" s="3196"/>
      <c r="D13" s="3196" t="e">
        <f>'结果表-住宅'!D127</f>
        <v>#VALUE!</v>
      </c>
      <c r="E13" s="3196"/>
      <c r="F13" s="3196"/>
      <c r="G13" s="3196"/>
      <c r="H13" s="3196"/>
      <c r="I13" s="3196"/>
    </row>
    <row r="14" spans="1:9" ht="15" thickTop="1">
      <c r="A14" s="3197" t="s">
        <v>932</v>
      </c>
      <c r="B14" s="3197"/>
      <c r="C14" s="3197"/>
      <c r="D14" s="3197"/>
      <c r="E14" s="3197"/>
      <c r="F14" s="3197"/>
      <c r="G14" s="3197"/>
      <c r="H14" s="3197"/>
      <c r="I14" s="319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8" t="s">
        <v>949</v>
      </c>
      <c r="B1" s="3198"/>
      <c r="C1" s="3198"/>
      <c r="D1" s="3198"/>
    </row>
    <row r="2" spans="1:4" ht="18">
      <c r="A2" s="3199" t="s">
        <v>933</v>
      </c>
      <c r="B2" s="3199"/>
      <c r="C2" s="3199"/>
      <c r="D2" s="319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9" t="s">
        <v>939</v>
      </c>
      <c r="B6" s="3199"/>
      <c r="C6" s="3199"/>
      <c r="D6" s="319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0" t="s">
        <v>942</v>
      </c>
      <c r="B11" s="3201"/>
      <c r="C11" s="3201"/>
      <c r="D11" s="3201"/>
    </row>
    <row r="12" spans="1:4" ht="15.7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2"/>
      <c r="C12" s="3202"/>
      <c r="D12" s="3202"/>
    </row>
    <row r="13" spans="1:4" ht="30" customHeight="1">
      <c r="A13" s="3201" t="str">
        <f>IF(项目基本情况!B8="抵押","3.抵押双方在办理抵押登记手续时，应使用本公司出具的正式《房地产评估报告》，特提醒报告使用者注意。","——")</f>
        <v>——</v>
      </c>
      <c r="B13" s="3202"/>
      <c r="C13" s="3202"/>
      <c r="D13" s="3202"/>
    </row>
    <row r="14" spans="1:4" ht="15.75" customHeight="1">
      <c r="A14" s="3201" t="str">
        <f>IF(项目基本情况!B8="抵押","4.本次评估估价师所知悉的法定优先受偿款情况说明如下：","——")</f>
        <v>——</v>
      </c>
      <c r="B14" s="3202"/>
      <c r="C14" s="3202"/>
      <c r="D14" s="3202"/>
    </row>
    <row r="15" spans="1:4" ht="42" customHeight="1">
      <c r="A15" s="3201" t="str">
        <f>IF(项目基本情况!B8="抵押","（1）"&amp;CONCATENATE(项目基本情况!L20,项目基本情况!L21,项目基本情况!L22),"——")</f>
        <v>——</v>
      </c>
      <c r="B15" s="3201"/>
      <c r="C15" s="3201"/>
      <c r="D15" s="3201"/>
    </row>
    <row r="16" spans="1:4" ht="30" customHeight="1">
      <c r="A16" s="3204" t="s">
        <v>943</v>
      </c>
      <c r="B16" s="3204"/>
      <c r="C16" s="3204"/>
      <c r="D16" s="3204"/>
    </row>
    <row r="17" spans="1:4" ht="144" customHeight="1">
      <c r="A17" s="3204" t="s">
        <v>944</v>
      </c>
      <c r="B17" s="3204"/>
      <c r="C17" s="3204"/>
      <c r="D17" s="3204"/>
    </row>
    <row r="18" spans="1:4" ht="15.75" customHeight="1">
      <c r="A18" s="3201" t="str">
        <f>IF(项目基本情况!B8="抵押",'结果表-住宅'!K120,"——")</f>
        <v>——</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1"/>
      <c r="C20" s="3201"/>
      <c r="D20" s="3201"/>
    </row>
    <row r="21" spans="1:4" ht="57.75" customHeight="1">
      <c r="A21" s="3205"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945</v>
      </c>
      <c r="B22" s="3206"/>
      <c r="C22" s="3206"/>
      <c r="D22" s="320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3">
        <v>42551</v>
      </c>
      <c r="D31" s="32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2" t="s">
        <v>956</v>
      </c>
      <c r="B15" s="3207" t="s">
        <v>109</v>
      </c>
      <c r="C15" s="3208"/>
    </row>
    <row r="16" spans="1:7" ht="13.5">
      <c r="A16" s="3213"/>
      <c r="B16" s="3207" t="s">
        <v>42</v>
      </c>
      <c r="C16" s="3208"/>
    </row>
    <row r="17" spans="1:3" ht="13.5">
      <c r="A17" s="3213"/>
      <c r="B17" s="3210" t="s">
        <v>957</v>
      </c>
      <c r="C17" s="1429" t="s">
        <v>956</v>
      </c>
    </row>
    <row r="18" spans="1:3" ht="13.5">
      <c r="A18" s="3213"/>
      <c r="B18" s="3210"/>
      <c r="C18" s="1429" t="s">
        <v>958</v>
      </c>
    </row>
    <row r="19" spans="1:3" ht="13.5">
      <c r="A19" s="3213"/>
      <c r="B19" s="3210"/>
      <c r="C19" s="1429" t="s">
        <v>959</v>
      </c>
    </row>
    <row r="20" spans="1:3" ht="13.5">
      <c r="A20" s="3214"/>
      <c r="B20" s="3209" t="s">
        <v>960</v>
      </c>
      <c r="C20" s="3208"/>
    </row>
    <row r="21" spans="1:3" ht="13.5">
      <c r="A21" s="1430" t="s">
        <v>961</v>
      </c>
      <c r="B21" s="1431"/>
      <c r="C21" s="1432"/>
    </row>
    <row r="22" spans="1:3" ht="13.5">
      <c r="A22" s="3211" t="s">
        <v>962</v>
      </c>
      <c r="B22" s="3209" t="s">
        <v>963</v>
      </c>
      <c r="C22" s="3208"/>
    </row>
    <row r="23" spans="1:3" ht="13.5">
      <c r="A23" s="3211"/>
      <c r="B23" s="3209" t="s">
        <v>964</v>
      </c>
      <c r="C23" s="3208"/>
    </row>
    <row r="24" spans="1:3" ht="13.5">
      <c r="A24" s="3211"/>
      <c r="B24" s="3209" t="s">
        <v>965</v>
      </c>
      <c r="C24" s="3208"/>
    </row>
    <row r="25" spans="1:3" ht="13.5">
      <c r="A25" s="3211"/>
      <c r="B25" s="3210" t="s">
        <v>966</v>
      </c>
      <c r="C25" s="1429" t="s">
        <v>967</v>
      </c>
    </row>
    <row r="26" spans="1:3" ht="13.5">
      <c r="A26" s="3211"/>
      <c r="B26" s="3210"/>
      <c r="C26" s="1429" t="s">
        <v>968</v>
      </c>
    </row>
    <row r="27" spans="1:3" ht="13.5">
      <c r="A27" s="3211"/>
      <c r="B27" s="3210"/>
      <c r="C27" s="1429" t="s">
        <v>969</v>
      </c>
    </row>
    <row r="28" spans="1:3" ht="13.5">
      <c r="A28" s="3211"/>
      <c r="B28" s="3210"/>
      <c r="C28" s="1429" t="s">
        <v>970</v>
      </c>
    </row>
    <row r="29" spans="1:3" ht="13.5">
      <c r="A29" s="3211"/>
      <c r="B29" s="3210"/>
      <c r="C29" s="1429" t="s">
        <v>971</v>
      </c>
    </row>
    <row r="30" spans="1:3" ht="13.5">
      <c r="A30" s="3211"/>
      <c r="B30" s="3210"/>
      <c r="C30" s="1429" t="s">
        <v>972</v>
      </c>
    </row>
    <row r="31" spans="1:3" ht="13.5">
      <c r="A31" s="3211"/>
      <c r="B31" s="3210"/>
      <c r="C31" s="1429" t="s">
        <v>973</v>
      </c>
    </row>
    <row r="32" spans="1:3" ht="13.5">
      <c r="A32" s="3211"/>
      <c r="B32" s="3210"/>
      <c r="C32" s="1429" t="s">
        <v>974</v>
      </c>
    </row>
    <row r="33" spans="1:3" ht="13.5">
      <c r="A33" s="3211"/>
      <c r="B33" s="321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45882</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f ca="1">IF(C4&lt;B2,"已过期",1119970066)</f>
        <v>1119970066</v>
      </c>
      <c r="C4" s="2160">
        <v>45937</v>
      </c>
      <c r="D4" s="2161" t="str">
        <f ca="1">A4&amp;"（注册号："&amp;B4&amp;"）"</f>
        <v>梁津（注册号：1119970066）</v>
      </c>
      <c r="E4" s="2162" t="s">
        <v>2148</v>
      </c>
      <c r="F4" s="1219">
        <f ca="1">IF(G4&lt;B2,"已过期",96010014)</f>
        <v>96010014</v>
      </c>
      <c r="G4" s="2163">
        <v>47118</v>
      </c>
      <c r="H4" s="2164" t="str">
        <f ca="1">E4&amp;"（注册号："&amp;F4&amp;"）"</f>
        <v>梁津（注册号：96010014）</v>
      </c>
    </row>
    <row r="5" spans="1:8" ht="24" customHeight="1">
      <c r="A5" s="1219" t="s">
        <v>2149</v>
      </c>
      <c r="B5" s="1219">
        <f ca="1">IF(C5&lt;B2,"已过期",1119970111)</f>
        <v>1119970111</v>
      </c>
      <c r="C5" s="2160">
        <v>45937</v>
      </c>
      <c r="D5" s="2161" t="str">
        <f t="shared" ref="D5:D15" ca="1" si="0">A5&amp;"（注册号："&amp;B5&amp;"）"</f>
        <v>叶凌（注册号：1119970111）</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f ca="1">IF(C7&lt;B2,"已过期",1120000080)</f>
        <v>1120000080</v>
      </c>
      <c r="C7" s="2160">
        <v>45937</v>
      </c>
      <c r="D7" s="2161" t="str">
        <f t="shared" ca="1" si="0"/>
        <v>欧红伟（注册号：1120000080）</v>
      </c>
      <c r="E7" s="2162" t="s">
        <v>2151</v>
      </c>
      <c r="F7" s="1219">
        <f ca="1">IF(G7&lt;B2,"已过期",2000110082)</f>
        <v>2000110082</v>
      </c>
      <c r="G7" s="2163">
        <v>46387</v>
      </c>
      <c r="H7" s="2164" t="str">
        <f t="shared" ca="1" si="1"/>
        <v>欧红伟（注册号：2000110082）</v>
      </c>
    </row>
    <row r="8" spans="1:8" ht="24" customHeight="1">
      <c r="A8" s="1219" t="s">
        <v>2152</v>
      </c>
      <c r="B8" s="1219">
        <f ca="1">IF(C8&lt;B2,"已过期",1419970001)</f>
        <v>1419970001</v>
      </c>
      <c r="C8" s="2160">
        <v>45937</v>
      </c>
      <c r="D8" s="2161" t="str">
        <f t="shared" ca="1" si="0"/>
        <v>吴薇（注册号：1419970001）</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t="str">
        <f ca="1">IF(C10&lt;B2,"已过期",1120100036)</f>
        <v>已过期</v>
      </c>
      <c r="C10" s="2165">
        <v>45752</v>
      </c>
      <c r="D10" s="2161" t="str">
        <f t="shared" ca="1" si="0"/>
        <v>崔锴（注册号：已过期）</v>
      </c>
      <c r="E10" s="2162" t="s">
        <v>2154</v>
      </c>
      <c r="F10" s="1219">
        <f ca="1">IF(G10&lt;B2,"已过期",2010110070)</f>
        <v>2010110070</v>
      </c>
      <c r="G10" s="2163">
        <v>47907</v>
      </c>
      <c r="H10" s="2164" t="str">
        <f t="shared" ca="1" si="1"/>
        <v>崔锴（注册号：2010110070）</v>
      </c>
    </row>
    <row r="11" spans="1:8" ht="24" customHeight="1">
      <c r="A11" s="1219" t="s">
        <v>2155</v>
      </c>
      <c r="B11" s="1219">
        <f ca="1">IF(C11&lt;B2,"已过期",1120070131)</f>
        <v>1120070131</v>
      </c>
      <c r="C11" s="2160">
        <v>45937</v>
      </c>
      <c r="D11" s="2161" t="str">
        <f t="shared" ca="1" si="0"/>
        <v>郑燚（注册号：1120070131）</v>
      </c>
      <c r="E11" s="2162" t="s">
        <v>2155</v>
      </c>
      <c r="F11" s="1219">
        <f ca="1">IF(G11&lt;B2,"已过期",2014110011)</f>
        <v>2014110011</v>
      </c>
      <c r="G11" s="2163">
        <v>49302</v>
      </c>
      <c r="H11" s="2164" t="str">
        <f t="shared" ca="1" si="1"/>
        <v>郑燚（注册号：2014110011）</v>
      </c>
    </row>
    <row r="12" spans="1:8" ht="24" customHeight="1">
      <c r="A12" s="1219" t="s">
        <v>2156</v>
      </c>
      <c r="B12" s="1219">
        <f ca="1">IF(C12&lt;B2,"已过期",1120040230)</f>
        <v>1120040230</v>
      </c>
      <c r="C12" s="2165">
        <v>45937</v>
      </c>
      <c r="D12" s="2161" t="str">
        <f t="shared" ca="1" si="0"/>
        <v>苏海（注册号：1120040230）</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2437</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58"/>
      <c r="E18" s="3217" t="s">
        <v>2162</v>
      </c>
      <c r="F18" s="3216"/>
      <c r="G18" s="3216"/>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160</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结果表-住宅</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典型户型修正</vt:lpstr>
      <vt:lpstr>基准地价（汇总）</vt:lpstr>
      <vt:lpstr>成本法 (元)</vt:lpstr>
      <vt:lpstr>基准地价修正</vt:lpstr>
      <vt:lpstr>结果表-车位</vt:lpstr>
      <vt:lpstr>收益法 (元)-车位</vt:lpstr>
      <vt:lpstr>成本法 (元) -车位</vt:lpstr>
      <vt:lpstr>比较法-车位</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 (元) -车位'!Print_Area</vt:lpstr>
      <vt:lpstr>估价对象房地状况!Print_Area</vt:lpstr>
      <vt:lpstr>估价师及机构信息!Print_Area</vt:lpstr>
      <vt:lpstr>'基准地价（汇总）'!Print_Area</vt:lpstr>
      <vt:lpstr>基准地价修正!Print_Area</vt:lpstr>
      <vt:lpstr>假设开发法!Print_Area</vt:lpstr>
      <vt:lpstr>'结果表-车位'!Print_Area</vt:lpstr>
      <vt:lpstr>'结果表-住宅'!Print_Area</vt:lpstr>
      <vt:lpstr>收益法!Print_Area</vt:lpstr>
      <vt:lpstr>'收益法 (元)'!Print_Area</vt:lpstr>
      <vt:lpstr>'收益法 (元)-车位'!Print_Area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2025-08-13T06:07:36Z</dcterms:modified>
</cp:coreProperties>
</file>