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1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state="hidden" r:id="rId45"/>
    <sheet name="收益法-商业" sheetId="80" r:id="rId46"/>
    <sheet name="收益法-车库" sheetId="81" r:id="rId47"/>
    <sheet name="Sheet2"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4" i="1" l="1"/>
  <c r="N8" i="1"/>
  <c r="N7" i="1"/>
  <c r="E57" i="39" l="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I46" i="39"/>
  <c r="G46" i="39"/>
  <c r="E46" i="39"/>
  <c r="I38" i="39"/>
  <c r="G38" i="39"/>
  <c r="E38" i="39"/>
  <c r="C38" i="39"/>
  <c r="C11" i="39"/>
  <c r="I7" i="39"/>
  <c r="G7" i="39"/>
  <c r="E7" i="39"/>
  <c r="I5" i="39"/>
  <c r="G5" i="39"/>
  <c r="E5" i="39"/>
  <c r="M9" i="81"/>
  <c r="F37" i="80"/>
  <c r="F26" i="80"/>
  <c r="F6" i="80"/>
  <c r="M27" i="80"/>
  <c r="M23" i="80"/>
  <c r="M9" i="80"/>
  <c r="F16" i="80"/>
  <c r="D24" i="81" l="1"/>
  <c r="P61" i="81"/>
  <c r="D22" i="81"/>
  <c r="F65" i="80"/>
  <c r="P61" i="80"/>
  <c r="C27" i="80"/>
  <c r="D23" i="80"/>
  <c r="D22" i="80"/>
  <c r="D24" i="80"/>
  <c r="F8" i="80"/>
  <c r="M28" i="81"/>
  <c r="M23" i="81"/>
  <c r="M27" i="81"/>
  <c r="L47" i="80"/>
  <c r="F40" i="81"/>
  <c r="F9" i="81"/>
  <c r="M26" i="80"/>
  <c r="F42" i="81"/>
  <c r="M28" i="80"/>
  <c r="F37" i="81"/>
  <c r="M26" i="81"/>
  <c r="F9" i="80"/>
  <c r="F26" i="81"/>
  <c r="F36" i="81"/>
  <c r="F6" i="81"/>
  <c r="M24" i="81"/>
  <c r="M8" i="80"/>
  <c r="F13" i="81"/>
  <c r="M22" i="81"/>
  <c r="J15" i="80"/>
  <c r="C16" i="80"/>
  <c r="M22" i="80"/>
  <c r="M29" i="80"/>
  <c r="L48" i="80"/>
  <c r="F38" i="80"/>
  <c r="F8" i="81"/>
  <c r="M8" i="81"/>
  <c r="F38" i="81"/>
  <c r="F36" i="80"/>
  <c r="F7" i="81"/>
  <c r="F43" i="81"/>
  <c r="F13" i="80"/>
  <c r="J15" i="81"/>
  <c r="M6" i="81"/>
  <c r="L48" i="81"/>
  <c r="C76" i="80"/>
  <c r="C76" i="81"/>
  <c r="M24" i="80"/>
  <c r="F16" i="81"/>
  <c r="F43" i="80"/>
  <c r="M6" i="80"/>
  <c r="F42" i="80"/>
  <c r="F7" i="80"/>
  <c r="M29" i="81"/>
  <c r="L47" i="81"/>
  <c r="F40" i="80"/>
  <c r="C27" i="81" l="1"/>
  <c r="F65" i="81"/>
  <c r="F50" i="81"/>
  <c r="M7" i="81"/>
  <c r="J6" i="81" s="1"/>
  <c r="N59" i="81"/>
  <c r="L58" i="81"/>
  <c r="Q71" i="81"/>
  <c r="C6" i="81"/>
  <c r="F64" i="81"/>
  <c r="F66" i="81"/>
  <c r="F51" i="81"/>
  <c r="F68" i="81"/>
  <c r="F71" i="81"/>
  <c r="L57" i="81"/>
  <c r="L56" i="81"/>
  <c r="J60" i="81"/>
  <c r="Q48" i="81" s="1"/>
  <c r="I54" i="81"/>
  <c r="L60" i="81"/>
  <c r="J59" i="81"/>
  <c r="J57" i="81"/>
  <c r="J55" i="81" s="1"/>
  <c r="J58" i="81" s="1"/>
  <c r="Q50" i="81" s="1"/>
  <c r="F66" i="80"/>
  <c r="F50" i="80"/>
  <c r="M7" i="80"/>
  <c r="J6" i="80" s="1"/>
  <c r="N59" i="80"/>
  <c r="L58" i="80"/>
  <c r="Q71" i="80"/>
  <c r="F64" i="80"/>
  <c r="F51" i="80"/>
  <c r="C6" i="80"/>
  <c r="F68" i="80"/>
  <c r="F71" i="80"/>
  <c r="L57" i="80"/>
  <c r="L56" i="80"/>
  <c r="J60" i="80"/>
  <c r="Q48" i="80" s="1"/>
  <c r="I54" i="80"/>
  <c r="J59" i="80"/>
  <c r="L60" i="80"/>
  <c r="J57" i="80"/>
  <c r="J55" i="80" s="1"/>
  <c r="J58" i="80" s="1"/>
  <c r="Q50" i="80" s="1"/>
  <c r="C17" i="80"/>
  <c r="C16" i="81"/>
  <c r="C17" i="81"/>
  <c r="C49" i="81" l="1"/>
  <c r="C49" i="80"/>
  <c r="L46" i="81"/>
  <c r="L46" i="80"/>
  <c r="Q66" i="81"/>
  <c r="Q57" i="81"/>
  <c r="J18" i="81"/>
  <c r="Q60" i="81"/>
  <c r="Q73" i="81"/>
  <c r="C33" i="81"/>
  <c r="C32" i="81"/>
  <c r="Q66" i="80"/>
  <c r="Q57" i="80"/>
  <c r="C33" i="80"/>
  <c r="C32" i="80"/>
  <c r="J18" i="80"/>
  <c r="Q60" i="80"/>
  <c r="Q73" i="80"/>
  <c r="V23" i="1" l="1"/>
  <c r="V22" i="1"/>
  <c r="X23" i="1"/>
  <c r="X21" i="1"/>
  <c r="X20" i="1"/>
  <c r="G21" i="6"/>
  <c r="G20" i="6"/>
  <c r="F20" i="6"/>
  <c r="F19" i="6"/>
  <c r="V21" i="1" l="1"/>
  <c r="V20" i="1" s="1"/>
  <c r="V24" i="1" s="1"/>
  <c r="Y22" i="1" s="1"/>
  <c r="Y21" i="1" l="1"/>
  <c r="Y23" i="1"/>
  <c r="Y20" i="1"/>
  <c r="G15" i="73"/>
  <c r="F15" i="73"/>
  <c r="E15" i="73"/>
  <c r="X24" i="1" l="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B36" i="71" s="1"/>
  <c r="B37" i="71" s="1"/>
  <c r="S37" i="71" s="1"/>
  <c r="D34" i="71"/>
  <c r="Q33" i="71"/>
  <c r="AB33" i="71" s="1"/>
  <c r="P33" i="71"/>
  <c r="O33" i="71"/>
  <c r="Y33" i="71"/>
  <c r="Z33" i="71" s="1"/>
  <c r="N33" i="71"/>
  <c r="X28"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E27" i="71" s="1"/>
  <c r="E28" i="71" s="1"/>
  <c r="E29" i="71" s="1"/>
  <c r="U29" i="71" s="1"/>
  <c r="O26" i="71"/>
  <c r="N26" i="71"/>
  <c r="X22" i="71" s="1"/>
  <c r="D26" i="71"/>
  <c r="O25" i="71"/>
  <c r="Y21" i="71" s="1"/>
  <c r="Z21"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G83" i="21" s="1"/>
  <c r="H1" i="69"/>
  <c r="W25" i="40"/>
  <c r="U29" i="39"/>
  <c r="W18" i="36"/>
  <c r="AB21" i="37"/>
  <c r="U21" i="37"/>
  <c r="U21" i="34"/>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A8" i="1"/>
  <c r="B8" i="1"/>
  <c r="E8" i="1" s="1"/>
  <c r="A9" i="1"/>
  <c r="A10" i="1"/>
  <c r="A11" i="1"/>
  <c r="B11" i="1" s="1"/>
  <c r="E11" i="1" s="1"/>
  <c r="A12" i="1"/>
  <c r="A13" i="1"/>
  <c r="K13" i="1" s="1"/>
  <c r="M13" i="1" s="1"/>
  <c r="O13" i="1" s="1"/>
  <c r="P13" i="1" s="1"/>
  <c r="A6" i="1"/>
  <c r="F3" i="35"/>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S27" i="35"/>
  <c r="F11" i="40"/>
  <c r="AA11" i="40"/>
  <c r="H11" i="40"/>
  <c r="AB11" i="40"/>
  <c r="W8" i="40"/>
  <c r="AC40" i="40"/>
  <c r="AA9" i="40"/>
  <c r="AC9" i="40"/>
  <c r="U9" i="40"/>
  <c r="S34" i="40"/>
  <c r="S40" i="40"/>
  <c r="W31" i="40"/>
  <c r="U34" i="40"/>
  <c r="U40" i="40"/>
  <c r="F42" i="39"/>
  <c r="F41" i="39"/>
  <c r="S41" i="39" s="1"/>
  <c r="H40" i="39"/>
  <c r="AB40" i="39" s="1"/>
  <c r="H39" i="39"/>
  <c r="U39" i="39" s="1"/>
  <c r="S34" i="39"/>
  <c r="H34" i="39"/>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F11" i="21"/>
  <c r="S11" i="21" s="1"/>
  <c r="S40" i="21"/>
  <c r="U34" i="21"/>
  <c r="S34" i="21"/>
  <c r="C27"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W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AB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F27" i="37"/>
  <c r="AA27" i="37" s="1"/>
  <c r="F13" i="39"/>
  <c r="J13" i="39"/>
  <c r="W13" i="39" s="1"/>
  <c r="H13" i="39"/>
  <c r="AB14" i="40"/>
  <c r="J14" i="37"/>
  <c r="AC14" i="37"/>
  <c r="J27" i="37"/>
  <c r="AC27" i="37"/>
  <c r="AA13" i="35"/>
  <c r="U31" i="34"/>
  <c r="U46" i="33"/>
  <c r="J36" i="37"/>
  <c r="AC36" i="37" s="1"/>
  <c r="G105" i="37"/>
  <c r="AB11" i="35"/>
  <c r="J10" i="36"/>
  <c r="AC10" i="36"/>
  <c r="AB30" i="21"/>
  <c r="W31" i="34"/>
  <c r="W13" i="36"/>
  <c r="W11" i="36"/>
  <c r="AB46" i="34"/>
  <c r="AA14" i="34"/>
  <c r="AB45" i="33"/>
  <c r="U31" i="33"/>
  <c r="U13" i="33"/>
  <c r="S44" i="34"/>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W26" i="37"/>
  <c r="AC8" i="37"/>
  <c r="U26" i="37"/>
  <c r="W47" i="34"/>
  <c r="AB13" i="34"/>
  <c r="AB37" i="34"/>
  <c r="AA13" i="33"/>
  <c r="AC45" i="33"/>
  <c r="U11" i="33"/>
  <c r="U19" i="21"/>
  <c r="W44" i="21"/>
  <c r="U26" i="21"/>
  <c r="AC46" i="21"/>
  <c r="AB38" i="21"/>
  <c r="F43" i="33"/>
  <c r="AA43" i="33"/>
  <c r="AC15" i="34"/>
  <c r="W40" i="37"/>
  <c r="G107"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U12" i="37"/>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U40" i="39"/>
  <c r="AA41" i="39"/>
  <c r="W9" i="39"/>
  <c r="W8" i="39"/>
  <c r="J19" i="40"/>
  <c r="AC19" i="40"/>
  <c r="J50" i="40"/>
  <c r="B54" i="72"/>
  <c r="H103" i="9"/>
  <c r="D8" i="53" s="1"/>
  <c r="B16" i="53"/>
  <c r="B33" i="72" s="1"/>
  <c r="C7" i="37"/>
  <c r="C7" i="34"/>
  <c r="C7" i="36"/>
  <c r="A118" i="9"/>
  <c r="A4" i="52"/>
  <c r="B41" i="72"/>
  <c r="J11" i="39"/>
  <c r="W11" i="39" s="1"/>
  <c r="F11" i="39"/>
  <c r="AA11" i="39" s="1"/>
  <c r="A12" i="52"/>
  <c r="B56" i="72"/>
  <c r="G4" i="4"/>
  <c r="I4" i="4"/>
  <c r="A2" i="9"/>
  <c r="F59" i="43"/>
  <c r="H62" i="43" s="1"/>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5" i="39"/>
  <c r="AA12" i="39"/>
  <c r="S9" i="39"/>
  <c r="U14" i="39"/>
  <c r="AC13" i="39"/>
  <c r="U12" i="39"/>
  <c r="S23" i="36"/>
  <c r="U13" i="36"/>
  <c r="AC27" i="36"/>
  <c r="AB27" i="36"/>
  <c r="U26"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s="1"/>
  <c r="F34" i="67"/>
  <c r="F62" i="67"/>
  <c r="M20" i="67"/>
  <c r="F34" i="15"/>
  <c r="F62" i="15" s="1"/>
  <c r="G13" i="3"/>
  <c r="E10" i="6"/>
  <c r="BL17" i="3"/>
  <c r="AZ17" i="3"/>
  <c r="BL13" i="3"/>
  <c r="J56" i="9"/>
  <c r="J57" i="9" s="1"/>
  <c r="J59" i="9" s="1"/>
  <c r="J61" i="9" s="1"/>
  <c r="A24" i="51"/>
  <c r="B18" i="72" s="1"/>
  <c r="U29" i="34"/>
  <c r="E5" i="6"/>
  <c r="D9" i="11" s="1"/>
  <c r="C9" i="11" s="1"/>
  <c r="E32" i="6"/>
  <c r="L19" i="6"/>
  <c r="G1" i="68"/>
  <c r="K1" i="12"/>
  <c r="AR12" i="1"/>
  <c r="T10" i="1"/>
  <c r="E19" i="69"/>
  <c r="E19" i="68"/>
  <c r="E19" i="11"/>
  <c r="E1" i="73"/>
  <c r="G22" i="69"/>
  <c r="G22" i="68"/>
  <c r="G26" i="12"/>
  <c r="G22" i="11"/>
  <c r="C100"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U11" i="39"/>
  <c r="AA27" i="39"/>
  <c r="S27" i="39"/>
  <c r="W31" i="39"/>
  <c r="AC31" i="39"/>
  <c r="S23" i="39"/>
  <c r="AA45" i="39"/>
  <c r="AB39" i="39"/>
  <c r="W34" i="39"/>
  <c r="U38" i="39"/>
  <c r="S8" i="39"/>
  <c r="S20" i="36"/>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c r="F37" i="21"/>
  <c r="AA37" i="21"/>
  <c r="AA26" i="21"/>
  <c r="AB46" i="21"/>
  <c r="U40" i="21"/>
  <c r="AB31" i="21"/>
  <c r="U31"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AC45"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32" i="39"/>
  <c r="AB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L27" i="6"/>
  <c r="AP7" i="1"/>
  <c r="C36" i="69" s="1"/>
  <c r="AB45" i="21"/>
  <c r="AC33" i="21"/>
  <c r="W33" i="21"/>
  <c r="S33" i="21"/>
  <c r="AA33" i="21"/>
  <c r="W32" i="21"/>
  <c r="AB9" i="21"/>
  <c r="AA32" i="21"/>
  <c r="S32" i="21"/>
  <c r="W9" i="21"/>
  <c r="AC9" i="21"/>
  <c r="AB32" i="21"/>
  <c r="U32" i="21"/>
  <c r="AA10" i="21"/>
  <c r="E6" i="70"/>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AG6" i="1"/>
  <c r="H109" i="9"/>
  <c r="H110" i="9" s="1"/>
  <c r="D18" i="53" s="1"/>
  <c r="B35" i="72" s="1"/>
  <c r="D16" i="53"/>
  <c r="H112" i="9"/>
  <c r="D21" i="53"/>
  <c r="B39" i="72" s="1"/>
  <c r="H111" i="9"/>
  <c r="D126" i="9" s="1"/>
  <c r="I14" i="74" s="1"/>
  <c r="B8" i="74" s="1"/>
  <c r="D127" i="9"/>
  <c r="D13" i="52" s="1"/>
  <c r="AD3" i="71"/>
  <c r="J1" i="73"/>
  <c r="C13" i="12"/>
  <c r="C77" i="9"/>
  <c r="C74" i="9" s="1"/>
  <c r="H77"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G20" i="43"/>
  <c r="C20" i="43" s="1"/>
  <c r="I59" i="34"/>
  <c r="J59" i="34" s="1"/>
  <c r="L47" i="67"/>
  <c r="B9" i="76"/>
  <c r="M23" i="67"/>
  <c r="F35" i="67"/>
  <c r="B12" i="76"/>
  <c r="M9" i="15"/>
  <c r="M22" i="67"/>
  <c r="J15" i="67"/>
  <c r="F13" i="15"/>
  <c r="F37" i="15"/>
  <c r="E13" i="76"/>
  <c r="D4" i="73"/>
  <c r="M24" i="15"/>
  <c r="M21" i="67"/>
  <c r="AO13" i="1"/>
  <c r="M28" i="15"/>
  <c r="F16" i="15"/>
  <c r="D2" i="37"/>
  <c r="E7" i="76"/>
  <c r="F7" i="73"/>
  <c r="F38" i="67"/>
  <c r="F41" i="67"/>
  <c r="C76" i="15"/>
  <c r="M6" i="67"/>
  <c r="F36" i="15"/>
  <c r="E10" i="76"/>
  <c r="F9" i="67"/>
  <c r="F40" i="15"/>
  <c r="L48" i="15"/>
  <c r="D2" i="35"/>
  <c r="F6" i="67"/>
  <c r="M8" i="67"/>
  <c r="B8" i="76"/>
  <c r="F6" i="15"/>
  <c r="D2" i="36"/>
  <c r="M6" i="15"/>
  <c r="F26" i="67"/>
  <c r="M27" i="67"/>
  <c r="F4" i="73"/>
  <c r="B10" i="76"/>
  <c r="D7" i="73"/>
  <c r="F43" i="67"/>
  <c r="F7" i="15"/>
  <c r="F36" i="67"/>
  <c r="D2" i="34"/>
  <c r="D2" i="21"/>
  <c r="B13" i="76"/>
  <c r="E2" i="69"/>
  <c r="B11" i="76"/>
  <c r="F8" i="15"/>
  <c r="M24" i="67"/>
  <c r="M27" i="15"/>
  <c r="F20" i="31"/>
  <c r="F7" i="67"/>
  <c r="AO10" i="1"/>
  <c r="F16" i="67"/>
  <c r="F5" i="73"/>
  <c r="D3" i="73"/>
  <c r="E2" i="68"/>
  <c r="M26" i="15"/>
  <c r="AO9" i="1"/>
  <c r="M29" i="67"/>
  <c r="F42" i="15"/>
  <c r="F8" i="67"/>
  <c r="M26" i="67"/>
  <c r="M9" i="67"/>
  <c r="F13" i="67"/>
  <c r="F43" i="15"/>
  <c r="F3" i="73"/>
  <c r="F6" i="73"/>
  <c r="L48" i="67"/>
  <c r="E11" i="76"/>
  <c r="F9" i="15"/>
  <c r="AO12" i="1"/>
  <c r="M23" i="15"/>
  <c r="AO11" i="1"/>
  <c r="E9" i="76"/>
  <c r="M28" i="67"/>
  <c r="D2" i="33"/>
  <c r="F37" i="67"/>
  <c r="M29" i="15"/>
  <c r="E8" i="76"/>
  <c r="F38" i="15"/>
  <c r="F40" i="67"/>
  <c r="C76" i="67"/>
  <c r="L47" i="15"/>
  <c r="F26" i="15"/>
  <c r="B7" i="76"/>
  <c r="E12" i="76"/>
  <c r="J15" i="15"/>
  <c r="F42" i="67"/>
  <c r="M8" i="15"/>
  <c r="M22" i="15"/>
  <c r="H76" i="43" l="1"/>
  <c r="H78" i="43"/>
  <c r="H86" i="43"/>
  <c r="H50" i="43"/>
  <c r="H82" i="43"/>
  <c r="H75" i="43"/>
  <c r="P61" i="15"/>
  <c r="W27" i="39"/>
  <c r="F90" i="39"/>
  <c r="G90" i="39" s="1"/>
  <c r="H17" i="39"/>
  <c r="AB17" i="39" s="1"/>
  <c r="J17" i="39"/>
  <c r="F17" i="39"/>
  <c r="AC11" i="39"/>
  <c r="AC38" i="39"/>
  <c r="S38" i="39"/>
  <c r="S21" i="39"/>
  <c r="AB21" i="39"/>
  <c r="S19" i="39"/>
  <c r="U17" i="39"/>
  <c r="S11" i="39"/>
  <c r="F30" i="69"/>
  <c r="F48" i="69" s="1"/>
  <c r="F31" i="12"/>
  <c r="D68" i="9"/>
  <c r="M18" i="15"/>
  <c r="M18" i="67"/>
  <c r="F30" i="11"/>
  <c r="C48" i="11" s="1"/>
  <c r="D93" i="9"/>
  <c r="C30" i="69"/>
  <c r="F54" i="9"/>
  <c r="F28" i="15"/>
  <c r="C28" i="15" s="1"/>
  <c r="F32" i="15"/>
  <c r="F60" i="15" s="1"/>
  <c r="F32" i="67"/>
  <c r="F60" i="67" s="1"/>
  <c r="F52" i="9"/>
  <c r="F28" i="67"/>
  <c r="C28" i="67" s="1"/>
  <c r="F30" i="68"/>
  <c r="C40" i="69"/>
  <c r="C21" i="69"/>
  <c r="C5" i="11"/>
  <c r="D22" i="67"/>
  <c r="G8" i="1"/>
  <c r="G10" i="1"/>
  <c r="G30" i="6"/>
  <c r="G31" i="6" s="1"/>
  <c r="E28" i="6"/>
  <c r="K14" i="1" s="1"/>
  <c r="M14" i="1" s="1"/>
  <c r="M16" i="1" s="1"/>
  <c r="AG11" i="43"/>
  <c r="E101" i="43"/>
  <c r="E104" i="43" s="1"/>
  <c r="D9" i="69"/>
  <c r="C9" i="69" s="1"/>
  <c r="E15" i="6"/>
  <c r="E60" i="40" s="1"/>
  <c r="BA13" i="3"/>
  <c r="AZ13" i="3" s="1"/>
  <c r="AJ11" i="43"/>
  <c r="AJ13" i="43" s="1"/>
  <c r="T12" i="1"/>
  <c r="C101" i="43"/>
  <c r="C104" i="43" s="1"/>
  <c r="T13" i="1"/>
  <c r="AR11" i="1"/>
  <c r="AQ13" i="1"/>
  <c r="AB11" i="43"/>
  <c r="AB13" i="43" s="1"/>
  <c r="H101" i="43"/>
  <c r="H104" i="43" s="1"/>
  <c r="E14" i="6"/>
  <c r="E63" i="39" s="1"/>
  <c r="E11" i="6"/>
  <c r="E60" i="39" s="1"/>
  <c r="F101" i="43"/>
  <c r="E13" i="6"/>
  <c r="F27" i="6"/>
  <c r="E56" i="39"/>
  <c r="Q16" i="1"/>
  <c r="F27" i="11" s="1"/>
  <c r="E12" i="6"/>
  <c r="E57" i="40" s="1"/>
  <c r="O10" i="1"/>
  <c r="P10" i="1" s="1"/>
  <c r="E2" i="70"/>
  <c r="H16" i="1"/>
  <c r="J22" i="43"/>
  <c r="T9" i="1"/>
  <c r="E59" i="40"/>
  <c r="AQ9" i="1"/>
  <c r="T11" i="1"/>
  <c r="E51" i="40"/>
  <c r="AA11" i="43"/>
  <c r="AA13" i="43" s="1"/>
  <c r="Z11" i="43"/>
  <c r="AF11" i="43"/>
  <c r="AR10" i="1"/>
  <c r="M101" i="43"/>
  <c r="M107" i="43" s="1"/>
  <c r="H22" i="43"/>
  <c r="C106" i="43"/>
  <c r="N104" i="46"/>
  <c r="E22" i="43"/>
  <c r="F22" i="43"/>
  <c r="O8" i="1"/>
  <c r="P8" i="1" s="1"/>
  <c r="H106" i="43"/>
  <c r="E105" i="43"/>
  <c r="E107" i="43"/>
  <c r="Y11" i="43"/>
  <c r="Y13" i="43" s="1"/>
  <c r="AC11" i="43"/>
  <c r="AE11" i="43"/>
  <c r="AE13" i="43" s="1"/>
  <c r="AI11" i="43"/>
  <c r="AI13" i="43" s="1"/>
  <c r="Z7" i="43"/>
  <c r="AD11" i="43"/>
  <c r="AH11" i="43"/>
  <c r="F109" i="43"/>
  <c r="F103" i="43"/>
  <c r="C102" i="43"/>
  <c r="S4" i="43" s="1"/>
  <c r="C105" i="43"/>
  <c r="F106" i="43"/>
  <c r="F107" i="43"/>
  <c r="G22" i="43"/>
  <c r="I101" i="43"/>
  <c r="I107" i="43" s="1"/>
  <c r="D101" i="43"/>
  <c r="D102" i="43" s="1"/>
  <c r="L101" i="43"/>
  <c r="L103" i="43" s="1"/>
  <c r="J101" i="43"/>
  <c r="G101" i="43"/>
  <c r="N101" i="43"/>
  <c r="K101" i="43"/>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4" i="72"/>
  <c r="D17" i="53"/>
  <c r="B36" i="72" s="1"/>
  <c r="O9" i="1"/>
  <c r="D12" i="52"/>
  <c r="D19" i="53"/>
  <c r="D124" i="9"/>
  <c r="F30" i="6"/>
  <c r="F31" i="6" s="1"/>
  <c r="E29" i="6"/>
  <c r="D9" i="68"/>
  <c r="C9" i="68" s="1"/>
  <c r="D19" i="12"/>
  <c r="C19" i="12" s="1"/>
  <c r="C48" i="69"/>
  <c r="AC15" i="21"/>
  <c r="AA11" i="37"/>
  <c r="S32" i="37"/>
  <c r="S27" i="36"/>
  <c r="S30" i="40"/>
  <c r="F53" i="9"/>
  <c r="D117" i="43"/>
  <c r="E117" i="43" s="1"/>
  <c r="F117" i="43" s="1"/>
  <c r="G117" i="43" s="1"/>
  <c r="H117" i="43" s="1"/>
  <c r="AA39" i="34"/>
  <c r="AZ581" i="3"/>
  <c r="AC35" i="40"/>
  <c r="W35" i="40"/>
  <c r="AC44" i="33"/>
  <c r="W44" i="33"/>
  <c r="U11" i="36"/>
  <c r="AB11" i="36"/>
  <c r="W32" i="36"/>
  <c r="AC32" i="36"/>
  <c r="AA45" i="33"/>
  <c r="S45" i="33"/>
  <c r="W31" i="33"/>
  <c r="AC31" i="33"/>
  <c r="U26" i="33"/>
  <c r="AB26" i="33"/>
  <c r="AC37" i="34"/>
  <c r="W37" i="34"/>
  <c r="W36" i="34"/>
  <c r="AC36" i="34"/>
  <c r="AC16" i="35"/>
  <c r="W16" i="35"/>
  <c r="AB30" i="35"/>
  <c r="U30" i="35"/>
  <c r="AB39" i="37"/>
  <c r="U39" i="37"/>
  <c r="AA26" i="33"/>
  <c r="S26" i="33"/>
  <c r="AB12" i="21"/>
  <c r="U12" i="21"/>
  <c r="BA587" i="3"/>
  <c r="AZ587" i="3" s="1"/>
  <c r="BL585" i="3"/>
  <c r="AZ585" i="3" s="1"/>
  <c r="S25" i="21"/>
  <c r="AA25" i="21"/>
  <c r="AZ557" i="3"/>
  <c r="AZ495" i="3"/>
  <c r="AZ513" i="3"/>
  <c r="AZ517" i="3"/>
  <c r="AZ567" i="3"/>
  <c r="AZ571" i="3"/>
  <c r="AZ575" i="3"/>
  <c r="AZ579" i="3"/>
  <c r="AZ548" i="3"/>
  <c r="S14" i="37"/>
  <c r="AA14" i="37"/>
  <c r="U33" i="40"/>
  <c r="AB33" i="40"/>
  <c r="S44" i="33"/>
  <c r="AA44" i="33"/>
  <c r="S14" i="33"/>
  <c r="AA14" i="33"/>
  <c r="AA11" i="36"/>
  <c r="S11" i="36"/>
  <c r="AC11" i="35"/>
  <c r="W11" i="35"/>
  <c r="W30" i="34"/>
  <c r="AC30" i="34"/>
  <c r="AC29" i="33"/>
  <c r="W29" i="33"/>
  <c r="U34" i="39"/>
  <c r="AB34" i="39"/>
  <c r="AA42" i="39"/>
  <c r="S42" i="39"/>
  <c r="BA586" i="3"/>
  <c r="AC9" i="34"/>
  <c r="W9" i="34"/>
  <c r="K5" i="4"/>
  <c r="B47" i="48" s="1"/>
  <c r="F36" i="35"/>
  <c r="W23" i="35"/>
  <c r="AA12" i="21"/>
  <c r="F14" i="40"/>
  <c r="J14" i="40"/>
  <c r="J13" i="37"/>
  <c r="F13" i="37"/>
  <c r="H25" i="36"/>
  <c r="F25" i="36"/>
  <c r="F45" i="21"/>
  <c r="F31" i="21"/>
  <c r="J31" i="21"/>
  <c r="J30" i="21"/>
  <c r="F30" i="21"/>
  <c r="J28" i="21"/>
  <c r="F28" i="21"/>
  <c r="H14" i="21"/>
  <c r="F14" i="21"/>
  <c r="AA38" i="34"/>
  <c r="W40" i="33"/>
  <c r="J28" i="34"/>
  <c r="S9" i="34"/>
  <c r="S10" i="37"/>
  <c r="AC8" i="35"/>
  <c r="U8" i="35"/>
  <c r="AB8" i="36"/>
  <c r="F33" i="36"/>
  <c r="J34" i="36"/>
  <c r="W32" i="40"/>
  <c r="AB12" i="35"/>
  <c r="AC12" i="34"/>
  <c r="C21" i="39"/>
  <c r="C25" i="39"/>
  <c r="W28" i="35"/>
  <c r="U9" i="36"/>
  <c r="W25" i="37"/>
  <c r="H9" i="34"/>
  <c r="F34" i="35"/>
  <c r="H34" i="35"/>
  <c r="J36" i="35"/>
  <c r="F26" i="37"/>
  <c r="H44" i="39"/>
  <c r="F44" i="39"/>
  <c r="J39" i="40"/>
  <c r="H39" i="40"/>
  <c r="G551" i="3"/>
  <c r="BL548" i="3"/>
  <c r="BL5" i="3" s="1"/>
  <c r="AZ398" i="3"/>
  <c r="AZ405" i="3"/>
  <c r="AZ407" i="3"/>
  <c r="AZ410" i="3"/>
  <c r="AZ415" i="3"/>
  <c r="AZ420" i="3"/>
  <c r="AZ426" i="3"/>
  <c r="AZ431" i="3"/>
  <c r="AZ436" i="3"/>
  <c r="AZ448" i="3"/>
  <c r="AZ452" i="3"/>
  <c r="AZ461" i="3"/>
  <c r="AZ463" i="3"/>
  <c r="AZ468" i="3"/>
  <c r="AZ470" i="3"/>
  <c r="AZ479" i="3"/>
  <c r="F38" i="40"/>
  <c r="J38" i="40"/>
  <c r="H38" i="40"/>
  <c r="AZ472" i="3"/>
  <c r="AZ385" i="3"/>
  <c r="AZ210" i="3"/>
  <c r="AZ225" i="3"/>
  <c r="AZ293" i="3"/>
  <c r="AZ316" i="3"/>
  <c r="AZ397" i="3"/>
  <c r="AZ220" i="3"/>
  <c r="AZ231" i="3"/>
  <c r="AZ244" i="3"/>
  <c r="AZ247" i="3"/>
  <c r="AZ260" i="3"/>
  <c r="AZ264" i="3"/>
  <c r="AZ300" i="3"/>
  <c r="AZ122" i="3"/>
  <c r="AZ125" i="3"/>
  <c r="AZ161" i="3"/>
  <c r="AZ207" i="3"/>
  <c r="AZ25" i="3"/>
  <c r="AZ38" i="3"/>
  <c r="AZ48" i="3"/>
  <c r="AZ52" i="3"/>
  <c r="AZ68" i="3"/>
  <c r="AZ73" i="3"/>
  <c r="AZ87" i="3"/>
  <c r="AZ95" i="3"/>
  <c r="AZ100" i="3"/>
  <c r="D108" i="43"/>
  <c r="D100" i="43"/>
  <c r="X5" i="71"/>
  <c r="Y5" i="71"/>
  <c r="Z5" i="71" s="1"/>
  <c r="AA5" i="71"/>
  <c r="AB5" i="71"/>
  <c r="AA21" i="21"/>
  <c r="S21" i="21"/>
  <c r="D41" i="71"/>
  <c r="T41" i="71"/>
  <c r="M108" i="43"/>
  <c r="M109" i="43" s="1"/>
  <c r="M100" i="43"/>
  <c r="I108" i="43"/>
  <c r="I100" i="43"/>
  <c r="E108" i="43"/>
  <c r="E109" i="43" s="1"/>
  <c r="E100" i="43"/>
  <c r="F40" i="68"/>
  <c r="C21" i="68"/>
  <c r="C40" i="68"/>
  <c r="AB21" i="33"/>
  <c r="S21" i="37"/>
  <c r="W29" i="39"/>
  <c r="U25" i="40"/>
  <c r="S18" i="36"/>
  <c r="AB18" i="36"/>
  <c r="U18" i="36"/>
  <c r="D37" i="71"/>
  <c r="T37" i="71"/>
  <c r="D33" i="71"/>
  <c r="T33" i="71"/>
  <c r="C49" i="71"/>
  <c r="D48" i="71"/>
  <c r="D60" i="71"/>
  <c r="C61" i="71"/>
  <c r="AB6" i="71"/>
  <c r="AB7" i="71"/>
  <c r="AB36" i="71"/>
  <c r="S65" i="71"/>
  <c r="B64" i="71"/>
  <c r="Z12" i="43"/>
  <c r="Z10" i="43"/>
  <c r="AD12" i="43"/>
  <c r="AD10" i="43"/>
  <c r="AF12" i="43"/>
  <c r="AF10" i="43"/>
  <c r="AH12" i="43"/>
  <c r="AH10" i="43"/>
  <c r="AA19" i="71"/>
  <c r="AA20" i="71"/>
  <c r="AA21" i="71"/>
  <c r="E21" i="71"/>
  <c r="X18" i="71"/>
  <c r="X19" i="71"/>
  <c r="B21" i="71"/>
  <c r="X21" i="71"/>
  <c r="Y15" i="71"/>
  <c r="Z15" i="71" s="1"/>
  <c r="X14" i="71"/>
  <c r="AB15" i="71"/>
  <c r="Y11" i="71"/>
  <c r="Z11" i="71" s="1"/>
  <c r="AA14" i="71"/>
  <c r="AA24" i="71"/>
  <c r="AA22" i="71"/>
  <c r="AB24" i="71"/>
  <c r="S25" i="71"/>
  <c r="C76" i="71"/>
  <c r="C68" i="71"/>
  <c r="X24" i="71"/>
  <c r="C25" i="71"/>
  <c r="AB34" i="71"/>
  <c r="AA33" i="71"/>
  <c r="AB30" i="71"/>
  <c r="Y30" i="71"/>
  <c r="Z30" i="71" s="1"/>
  <c r="X29" i="71"/>
  <c r="N65" i="71"/>
  <c r="X34" i="71"/>
  <c r="AA26" i="71"/>
  <c r="Y27" i="71"/>
  <c r="Z27" i="71" s="1"/>
  <c r="Y28" i="71"/>
  <c r="Z28" i="71" s="1"/>
  <c r="AB28" i="71"/>
  <c r="AB29" i="71"/>
  <c r="AB31" i="71"/>
  <c r="X6" i="71"/>
  <c r="X7" i="71"/>
  <c r="X36" i="71"/>
  <c r="AJ10" i="43"/>
  <c r="Y6" i="71"/>
  <c r="Z6" i="71" s="1"/>
  <c r="Y7" i="71"/>
  <c r="Z7" i="71" s="1"/>
  <c r="AA6" i="71"/>
  <c r="AA7" i="71"/>
  <c r="AC12" i="43"/>
  <c r="AC10" i="43"/>
  <c r="AG12" i="43"/>
  <c r="AG13" i="43" s="1"/>
  <c r="AG10" i="43"/>
  <c r="Y18" i="71"/>
  <c r="Z18" i="71" s="1"/>
  <c r="Y19" i="71"/>
  <c r="Z19" i="71" s="1"/>
  <c r="Y20" i="71"/>
  <c r="Z20" i="71" s="1"/>
  <c r="C21" i="71"/>
  <c r="AB18" i="71"/>
  <c r="AB20" i="71"/>
  <c r="AB21" i="71"/>
  <c r="AA18" i="71"/>
  <c r="X15" i="71"/>
  <c r="AA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D5" i="73"/>
  <c r="C17" i="67"/>
  <c r="C14" i="67"/>
  <c r="C16" i="67"/>
  <c r="D6" i="73"/>
  <c r="C17" i="15"/>
  <c r="C16" i="15"/>
  <c r="F11" i="81" l="1"/>
  <c r="M11" i="81"/>
  <c r="J10" i="81" s="1"/>
  <c r="J5" i="81" s="1"/>
  <c r="F11" i="80"/>
  <c r="M11" i="80"/>
  <c r="J10" i="80" s="1"/>
  <c r="J5" i="80" s="1"/>
  <c r="AA17" i="39"/>
  <c r="S17" i="39"/>
  <c r="W17" i="39"/>
  <c r="AC17" i="39"/>
  <c r="F27" i="68"/>
  <c r="C47" i="68" s="1"/>
  <c r="D45" i="68" s="1"/>
  <c r="C30" i="11"/>
  <c r="F48" i="68"/>
  <c r="C30" i="68"/>
  <c r="C48" i="68"/>
  <c r="K1" i="73"/>
  <c r="G16" i="1"/>
  <c r="F10" i="39" s="1"/>
  <c r="E103" i="43"/>
  <c r="E106" i="43"/>
  <c r="E102" i="43"/>
  <c r="H109" i="43"/>
  <c r="C103" i="43"/>
  <c r="C34" i="69"/>
  <c r="C35" i="69" s="1"/>
  <c r="I105" i="43"/>
  <c r="O14" i="1"/>
  <c r="P14" i="1" s="1"/>
  <c r="F7" i="36"/>
  <c r="J7" i="37"/>
  <c r="H7" i="36"/>
  <c r="H7" i="34"/>
  <c r="F7" i="34"/>
  <c r="C107" i="43"/>
  <c r="C109" i="43"/>
  <c r="E64" i="39"/>
  <c r="AF13" i="43"/>
  <c r="E56" i="40"/>
  <c r="H102" i="43"/>
  <c r="E61" i="39"/>
  <c r="E16" i="6"/>
  <c r="AH13" i="43"/>
  <c r="Z13" i="43"/>
  <c r="L107" i="43"/>
  <c r="H105" i="43"/>
  <c r="I109" i="43"/>
  <c r="L106" i="43"/>
  <c r="D22" i="43"/>
  <c r="H10" i="39"/>
  <c r="U10" i="39" s="1"/>
  <c r="F10" i="40"/>
  <c r="AA10" i="40" s="1"/>
  <c r="L16" i="1"/>
  <c r="F104" i="43"/>
  <c r="F102" i="43"/>
  <c r="F105" i="43"/>
  <c r="F27" i="69"/>
  <c r="E58" i="40"/>
  <c r="E62" i="39"/>
  <c r="H107" i="43"/>
  <c r="H103" i="43"/>
  <c r="AC13" i="43"/>
  <c r="AD13" i="43"/>
  <c r="N16" i="1"/>
  <c r="F28" i="12"/>
  <c r="M104" i="43"/>
  <c r="M106" i="43"/>
  <c r="M102" i="43"/>
  <c r="M103" i="43"/>
  <c r="C47" i="11"/>
  <c r="D45" i="11" s="1"/>
  <c r="D113" i="43"/>
  <c r="D109" i="43"/>
  <c r="M105" i="43"/>
  <c r="J10" i="39"/>
  <c r="AC10" i="39" s="1"/>
  <c r="H10" i="40"/>
  <c r="D106" i="43"/>
  <c r="K103" i="43"/>
  <c r="K107" i="43"/>
  <c r="K104" i="43"/>
  <c r="K106" i="43"/>
  <c r="K109" i="43"/>
  <c r="K102" i="43"/>
  <c r="K105" i="43"/>
  <c r="G105" i="43"/>
  <c r="G103" i="43"/>
  <c r="G107" i="43"/>
  <c r="G104" i="43"/>
  <c r="G106" i="43"/>
  <c r="G109" i="43"/>
  <c r="G102" i="43"/>
  <c r="L109" i="43"/>
  <c r="L102" i="43"/>
  <c r="L104" i="43"/>
  <c r="L105" i="43"/>
  <c r="I104" i="43"/>
  <c r="I102" i="43"/>
  <c r="I103" i="43"/>
  <c r="I106" i="43"/>
  <c r="N102" i="43"/>
  <c r="N103" i="43"/>
  <c r="N106" i="43"/>
  <c r="N107" i="43"/>
  <c r="N109" i="43"/>
  <c r="N105" i="43"/>
  <c r="N104" i="43"/>
  <c r="J104" i="43"/>
  <c r="J105" i="43"/>
  <c r="J103" i="43"/>
  <c r="J106" i="43"/>
  <c r="J109" i="43"/>
  <c r="J107" i="43"/>
  <c r="J102" i="43"/>
  <c r="D105" i="43"/>
  <c r="D104" i="43"/>
  <c r="D103" i="43"/>
  <c r="D107" i="43"/>
  <c r="S2" i="43"/>
  <c r="T2" i="43" s="1"/>
  <c r="V2" i="43" s="1"/>
  <c r="S5" i="43"/>
  <c r="C23" i="43"/>
  <c r="C21" i="43" s="1"/>
  <c r="C29" i="43" s="1"/>
  <c r="C30" i="43" s="1"/>
  <c r="E30" i="43" s="1"/>
  <c r="S3" i="43"/>
  <c r="S6" i="43"/>
  <c r="T6" i="43" s="1"/>
  <c r="V6" i="43" s="1"/>
  <c r="S7" i="43"/>
  <c r="T7" i="43" s="1"/>
  <c r="V7" i="43" s="1"/>
  <c r="C7" i="43"/>
  <c r="C20" i="71"/>
  <c r="T21" i="71"/>
  <c r="D21" i="71"/>
  <c r="U21" i="71" s="1"/>
  <c r="D76" i="71"/>
  <c r="C75" i="71"/>
  <c r="D75" i="71" s="1"/>
  <c r="E20" i="71"/>
  <c r="E19" i="71" s="1"/>
  <c r="E18" i="71" s="1"/>
  <c r="E17" i="71" s="1"/>
  <c r="V21" i="71"/>
  <c r="N64" i="71"/>
  <c r="B63" i="71"/>
  <c r="D49" i="71"/>
  <c r="T49" i="71"/>
  <c r="AC38" i="40"/>
  <c r="W38" i="40"/>
  <c r="U39" i="40"/>
  <c r="AB39" i="40"/>
  <c r="AA44" i="39"/>
  <c r="S44" i="39"/>
  <c r="AA26" i="37"/>
  <c r="S26" i="37"/>
  <c r="AB34" i="35"/>
  <c r="U34" i="35"/>
  <c r="AB9" i="34"/>
  <c r="U9" i="34"/>
  <c r="S33" i="36"/>
  <c r="AA33" i="36"/>
  <c r="AC28" i="34"/>
  <c r="W28" i="34"/>
  <c r="AB14" i="21"/>
  <c r="U14" i="21"/>
  <c r="AC28" i="21"/>
  <c r="W28" i="21"/>
  <c r="W30" i="21"/>
  <c r="AC30" i="21"/>
  <c r="S31" i="21"/>
  <c r="AA31" i="21"/>
  <c r="S25" i="36"/>
  <c r="AA25" i="36"/>
  <c r="S13" i="37"/>
  <c r="AA13" i="37"/>
  <c r="W14" i="40"/>
  <c r="AC14" i="40"/>
  <c r="AA36" i="35"/>
  <c r="S36" i="35"/>
  <c r="AZ586" i="3"/>
  <c r="AZ5" i="3" s="1"/>
  <c r="BA5" i="3"/>
  <c r="E27" i="6" s="1"/>
  <c r="T25" i="71"/>
  <c r="D25" i="71"/>
  <c r="U25" i="71" s="1"/>
  <c r="C24" i="71"/>
  <c r="C67" i="71"/>
  <c r="D67" i="71" s="1"/>
  <c r="D68" i="71"/>
  <c r="B20" i="71"/>
  <c r="B19" i="71" s="1"/>
  <c r="B18" i="71" s="1"/>
  <c r="B17" i="71" s="1"/>
  <c r="S21" i="71"/>
  <c r="D61" i="71"/>
  <c r="T61" i="71"/>
  <c r="AB38" i="40"/>
  <c r="U38" i="40"/>
  <c r="AA38" i="40"/>
  <c r="S38" i="40"/>
  <c r="AC39" i="40"/>
  <c r="W39" i="40"/>
  <c r="AB44" i="39"/>
  <c r="U44" i="39"/>
  <c r="AC36" i="35"/>
  <c r="W36" i="35"/>
  <c r="AA34" i="35"/>
  <c r="S34" i="35"/>
  <c r="W34" i="36"/>
  <c r="AC34" i="36"/>
  <c r="S14" i="21"/>
  <c r="AA14" i="21"/>
  <c r="S28" i="21"/>
  <c r="AA28" i="21"/>
  <c r="S30" i="21"/>
  <c r="AA30" i="21"/>
  <c r="AC31" i="21"/>
  <c r="W31" i="21"/>
  <c r="AA45" i="21"/>
  <c r="S45" i="21"/>
  <c r="AB25" i="36"/>
  <c r="U25" i="36"/>
  <c r="AC13" i="37"/>
  <c r="W13" i="37"/>
  <c r="S14" i="40"/>
  <c r="AA14" i="40"/>
  <c r="E30" i="6"/>
  <c r="K15" i="1"/>
  <c r="K16" i="1" s="1"/>
  <c r="G5" i="3"/>
  <c r="B3" i="3" s="1"/>
  <c r="D10" i="52"/>
  <c r="D125" i="9"/>
  <c r="D11" i="52" s="1"/>
  <c r="H14" i="74"/>
  <c r="B7" i="74" s="1"/>
  <c r="B38" i="72"/>
  <c r="D20" i="53"/>
  <c r="B40" i="72" s="1"/>
  <c r="P9" i="1"/>
  <c r="F67" i="39"/>
  <c r="E69" i="39"/>
  <c r="D5" i="43"/>
  <c r="C39" i="43" s="1"/>
  <c r="T11" i="43"/>
  <c r="V11" i="43" s="1"/>
  <c r="T12" i="43"/>
  <c r="V12" i="43" s="1"/>
  <c r="T9" i="43"/>
  <c r="V9" i="43" s="1"/>
  <c r="T4" i="43"/>
  <c r="V4" i="43" s="1"/>
  <c r="T10" i="43"/>
  <c r="V10" i="43" s="1"/>
  <c r="T13" i="43"/>
  <c r="V13" i="43" s="1"/>
  <c r="T5" i="43"/>
  <c r="V5" i="43" s="1"/>
  <c r="T14" i="43"/>
  <c r="V14" i="43" s="1"/>
  <c r="T3" i="43"/>
  <c r="V3" i="43" s="1"/>
  <c r="T8" i="43"/>
  <c r="V8" i="43" s="1"/>
  <c r="T16" i="43"/>
  <c r="V16" i="43" s="1"/>
  <c r="T15" i="43"/>
  <c r="V15" i="43" s="1"/>
  <c r="F59" i="67"/>
  <c r="H7" i="37"/>
  <c r="AB7" i="37" s="1"/>
  <c r="T42" i="37" s="1"/>
  <c r="G42" i="37" s="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J26" i="81" l="1"/>
  <c r="J24" i="81"/>
  <c r="C53" i="81"/>
  <c r="C48" i="81" s="1"/>
  <c r="C10" i="81"/>
  <c r="C5" i="81" s="1"/>
  <c r="J26" i="80"/>
  <c r="J24" i="80"/>
  <c r="C53" i="80"/>
  <c r="C48" i="80" s="1"/>
  <c r="C10" i="80"/>
  <c r="C5" i="80" s="1"/>
  <c r="F45" i="68"/>
  <c r="P16" i="1"/>
  <c r="C11" i="12" s="1"/>
  <c r="C12" i="12" s="1"/>
  <c r="B21" i="1"/>
  <c r="B40" i="1"/>
  <c r="F24" i="81" s="1"/>
  <c r="J10" i="40"/>
  <c r="W10" i="39"/>
  <c r="O16" i="1"/>
  <c r="C38" i="69"/>
  <c r="S10" i="40"/>
  <c r="E65" i="39"/>
  <c r="C47" i="69"/>
  <c r="D45" i="69" s="1"/>
  <c r="C29" i="69"/>
  <c r="D27" i="69" s="1"/>
  <c r="F45" i="69"/>
  <c r="E551" i="3"/>
  <c r="AT6" i="3"/>
  <c r="AY6" i="3"/>
  <c r="E3" i="6"/>
  <c r="U7" i="37"/>
  <c r="B16" i="71"/>
  <c r="B15" i="71" s="1"/>
  <c r="B14" i="71" s="1"/>
  <c r="B13" i="71" s="1"/>
  <c r="S17" i="71"/>
  <c r="E16" i="71"/>
  <c r="E15" i="71" s="1"/>
  <c r="E14" i="71" s="1"/>
  <c r="E13" i="71" s="1"/>
  <c r="V17" i="7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23" i="71"/>
  <c r="D23" i="71" s="1"/>
  <c r="D24" i="7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l="1"/>
  <c r="C26" i="12" s="1"/>
  <c r="D25" i="12" s="1"/>
  <c r="C15" i="12"/>
  <c r="C66" i="81"/>
  <c r="C60" i="81"/>
  <c r="C24" i="81"/>
  <c r="C38" i="81"/>
  <c r="C66" i="80"/>
  <c r="C60" i="80"/>
  <c r="F22" i="69"/>
  <c r="F41" i="69" s="1"/>
  <c r="F24" i="80"/>
  <c r="C38" i="80"/>
  <c r="F22" i="68"/>
  <c r="F41" i="68" s="1"/>
  <c r="F24" i="67"/>
  <c r="C24" i="67" s="1"/>
  <c r="F24" i="15"/>
  <c r="C24" i="15" s="1"/>
  <c r="F22" i="11"/>
  <c r="C44" i="11" s="1"/>
  <c r="D41" i="11" s="1"/>
  <c r="B24" i="1"/>
  <c r="B23" i="1"/>
  <c r="C29" i="11"/>
  <c r="D27" i="11" s="1"/>
  <c r="C29" i="68"/>
  <c r="D27" i="68" s="1"/>
  <c r="W10" i="40"/>
  <c r="AC10" i="40"/>
  <c r="AQ6" i="1"/>
  <c r="T6" i="1"/>
  <c r="AR6" i="1"/>
  <c r="M21" i="6"/>
  <c r="I21" i="6" s="1"/>
  <c r="S21" i="6" s="1"/>
  <c r="S8" i="1"/>
  <c r="M20" i="6"/>
  <c r="I20" i="6" s="1"/>
  <c r="S20" i="6" s="1"/>
  <c r="S7" i="1"/>
  <c r="S16" i="1" s="1"/>
  <c r="AC6" i="3"/>
  <c r="H6" i="3"/>
  <c r="C18" i="71"/>
  <c r="D19" i="71"/>
  <c r="E12" i="71"/>
  <c r="E11" i="71" s="1"/>
  <c r="E10" i="71" s="1"/>
  <c r="E9" i="71" s="1"/>
  <c r="V13" i="71"/>
  <c r="B12" i="71"/>
  <c r="B11" i="71" s="1"/>
  <c r="B10" i="71" s="1"/>
  <c r="B9" i="71" s="1"/>
  <c r="S13" i="71"/>
  <c r="D3" i="34"/>
  <c r="D3" i="33"/>
  <c r="D19" i="11"/>
  <c r="C19" i="11" s="1"/>
  <c r="C17" i="4"/>
  <c r="B4" i="52" s="1"/>
  <c r="B43" i="72" s="1"/>
  <c r="L18" i="9"/>
  <c r="D3" i="37"/>
  <c r="D3" i="21"/>
  <c r="E6" i="6"/>
  <c r="D37" i="11"/>
  <c r="D14" i="12"/>
  <c r="M18" i="9"/>
  <c r="B118" i="9" s="1"/>
  <c r="B14" i="74" s="1"/>
  <c r="B1" i="74"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B6" i="76"/>
  <c r="C14" i="15"/>
  <c r="E6" i="76"/>
  <c r="C26" i="69" l="1"/>
  <c r="D22" i="69" s="1"/>
  <c r="C15" i="15"/>
  <c r="C18" i="15"/>
  <c r="M59" i="81"/>
  <c r="L59" i="81" s="1"/>
  <c r="M59" i="80"/>
  <c r="L59" i="80" s="1"/>
  <c r="J53" i="80"/>
  <c r="J53" i="81"/>
  <c r="C23" i="67"/>
  <c r="C29" i="67" s="1"/>
  <c r="C36" i="67" s="1"/>
  <c r="C44" i="69"/>
  <c r="D41" i="69" s="1"/>
  <c r="C24" i="80"/>
  <c r="C44" i="68"/>
  <c r="D41" i="68" s="1"/>
  <c r="C26" i="68"/>
  <c r="D22" i="68" s="1"/>
  <c r="C24" i="11"/>
  <c r="C23" i="11"/>
  <c r="C26" i="11"/>
  <c r="D22" i="11" s="1"/>
  <c r="F34" i="11"/>
  <c r="C37" i="11" s="1"/>
  <c r="F34" i="68"/>
  <c r="F11" i="12"/>
  <c r="J53" i="15"/>
  <c r="J53" i="67"/>
  <c r="M59" i="67"/>
  <c r="M59" i="15"/>
  <c r="L59" i="15" s="1"/>
  <c r="F50" i="68"/>
  <c r="F50" i="11"/>
  <c r="F50" i="69"/>
  <c r="C29" i="12"/>
  <c r="D28" i="12" s="1"/>
  <c r="AQ7" i="1"/>
  <c r="AR7" i="1"/>
  <c r="T7" i="1"/>
  <c r="AR8" i="1"/>
  <c r="AQ8" i="1"/>
  <c r="T8" i="1"/>
  <c r="T16" i="1" s="1"/>
  <c r="E6" i="3"/>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25" i="6"/>
  <c r="D22" i="6"/>
  <c r="D24" i="6"/>
  <c r="D9" i="6"/>
  <c r="L19" i="9"/>
  <c r="H25" i="6"/>
  <c r="H21" i="6"/>
  <c r="M27" i="6"/>
  <c r="I19" i="6"/>
  <c r="D17" i="12"/>
  <c r="C17" i="12" s="1"/>
  <c r="D10" i="68"/>
  <c r="D10" i="69"/>
  <c r="D10" i="11"/>
  <c r="C10" i="11" s="1"/>
  <c r="D20" i="12"/>
  <c r="C20" i="12" s="1"/>
  <c r="C20" i="11"/>
  <c r="C25" i="11" s="1"/>
  <c r="B8" i="71"/>
  <c r="B7" i="71" s="1"/>
  <c r="B6" i="71" s="1"/>
  <c r="B5" i="71" s="1"/>
  <c r="S9" i="71"/>
  <c r="E8" i="71"/>
  <c r="E7" i="71" s="1"/>
  <c r="E6" i="71" s="1"/>
  <c r="E5" i="71" s="1"/>
  <c r="V9" i="71"/>
  <c r="D18" i="71"/>
  <c r="C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81"/>
  <c r="M21" i="80"/>
  <c r="F35" i="80"/>
  <c r="C14" i="80"/>
  <c r="J59" i="67" l="1"/>
  <c r="C13" i="67"/>
  <c r="C57" i="67"/>
  <c r="C61" i="67" s="1"/>
  <c r="C59" i="67" s="1"/>
  <c r="C33" i="67"/>
  <c r="C31" i="67" s="1"/>
  <c r="Q49" i="67"/>
  <c r="J19" i="67"/>
  <c r="J17" i="67" s="1"/>
  <c r="J14" i="67"/>
  <c r="J22" i="67" s="1"/>
  <c r="C19" i="15"/>
  <c r="C20" i="15" s="1"/>
  <c r="C26" i="15" s="1"/>
  <c r="C18" i="80"/>
  <c r="C15" i="80"/>
  <c r="C18" i="81"/>
  <c r="C15" i="81"/>
  <c r="Q52" i="80"/>
  <c r="F1" i="80"/>
  <c r="Q61" i="81"/>
  <c r="Q74" i="81"/>
  <c r="Q52" i="81"/>
  <c r="F1" i="81"/>
  <c r="Q74" i="80"/>
  <c r="Q61" i="80"/>
  <c r="C34" i="80"/>
  <c r="C31" i="80" s="1"/>
  <c r="F63" i="80"/>
  <c r="C62" i="80" s="1"/>
  <c r="J20" i="80"/>
  <c r="Q61" i="15"/>
  <c r="Q74" i="15"/>
  <c r="C22" i="11"/>
  <c r="J60" i="67"/>
  <c r="Q48" i="67" s="1"/>
  <c r="C14" i="12"/>
  <c r="C16" i="12" s="1"/>
  <c r="L56" i="15"/>
  <c r="F1" i="15"/>
  <c r="Q52" i="15"/>
  <c r="C36" i="68"/>
  <c r="C34" i="68"/>
  <c r="F1" i="67"/>
  <c r="Q52" i="67"/>
  <c r="C36" i="11"/>
  <c r="C34" i="11"/>
  <c r="D30" i="6"/>
  <c r="R22" i="6"/>
  <c r="D16" i="6"/>
  <c r="R24" i="6"/>
  <c r="C10" i="68"/>
  <c r="B29" i="1" s="1"/>
  <c r="C8" i="68" s="1"/>
  <c r="D19" i="68"/>
  <c r="R26" i="6"/>
  <c r="D8" i="74"/>
  <c r="D7" i="74"/>
  <c r="C16" i="71"/>
  <c r="T17" i="71"/>
  <c r="D17" i="71"/>
  <c r="U17" i="71" s="1"/>
  <c r="C28" i="11"/>
  <c r="C27" i="11" s="1"/>
  <c r="C31" i="11" s="1"/>
  <c r="C10" i="69"/>
  <c r="C8" i="69" s="1"/>
  <c r="C5" i="69" s="1"/>
  <c r="D19" i="69"/>
  <c r="S19" i="6"/>
  <c r="S27" i="6" s="1"/>
  <c r="I27" i="6"/>
  <c r="R25" i="6"/>
  <c r="R21" i="6"/>
  <c r="R8" i="1" s="1"/>
  <c r="H19" i="6"/>
  <c r="H27" i="6" s="1"/>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L46" i="15"/>
  <c r="J13" i="67"/>
  <c r="J23" i="67" s="1"/>
  <c r="C56" i="67"/>
  <c r="C65" i="67" s="1"/>
  <c r="C75" i="67"/>
  <c r="Q70" i="67"/>
  <c r="C37" i="67"/>
  <c r="AE6" i="1"/>
  <c r="M21" i="81"/>
  <c r="AE8" i="1"/>
  <c r="AE7" i="1"/>
  <c r="F35" i="81"/>
  <c r="C30" i="67" l="1"/>
  <c r="C39" i="67" s="1"/>
  <c r="C64" i="67"/>
  <c r="C19" i="81"/>
  <c r="C20" i="81" s="1"/>
  <c r="C26" i="81" s="1"/>
  <c r="C19" i="80"/>
  <c r="C23" i="15"/>
  <c r="C29" i="15" s="1"/>
  <c r="C36" i="15" s="1"/>
  <c r="C20" i="80"/>
  <c r="C26" i="80" s="1"/>
  <c r="C34" i="81"/>
  <c r="C31" i="81" s="1"/>
  <c r="F63" i="81"/>
  <c r="C62" i="81" s="1"/>
  <c r="J20" i="81"/>
  <c r="L46" i="67"/>
  <c r="C38" i="11"/>
  <c r="C35" i="11"/>
  <c r="C38" i="68"/>
  <c r="C35" i="68"/>
  <c r="C18" i="12"/>
  <c r="C21" i="12" s="1"/>
  <c r="C22" i="12" s="1"/>
  <c r="R27" i="6"/>
  <c r="R6" i="1"/>
  <c r="I6" i="6"/>
  <c r="I5" i="6"/>
  <c r="C19" i="69"/>
  <c r="C24" i="69" s="1"/>
  <c r="D37" i="69"/>
  <c r="C37" i="69" s="1"/>
  <c r="C33" i="69" s="1"/>
  <c r="C19" i="68"/>
  <c r="D37" i="68"/>
  <c r="C37" i="68" s="1"/>
  <c r="C23" i="69"/>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C40" i="67"/>
  <c r="F41" i="81"/>
  <c r="F41" i="15"/>
  <c r="L51" i="67"/>
  <c r="F41" i="80"/>
  <c r="M21" i="15"/>
  <c r="F35" i="15"/>
  <c r="Q69" i="67" l="1"/>
  <c r="Q68" i="67" s="1"/>
  <c r="C80" i="67"/>
  <c r="C79" i="67" s="1"/>
  <c r="C23" i="80"/>
  <c r="C29" i="80" s="1"/>
  <c r="C57" i="80" s="1"/>
  <c r="Q49" i="15"/>
  <c r="J14" i="15"/>
  <c r="J13" i="15" s="1"/>
  <c r="J23" i="15" s="1"/>
  <c r="F69" i="15"/>
  <c r="J29" i="15"/>
  <c r="J29" i="80"/>
  <c r="F69" i="80"/>
  <c r="J29" i="81"/>
  <c r="F69" i="81"/>
  <c r="C13" i="15"/>
  <c r="C37" i="15" s="1"/>
  <c r="J19" i="15"/>
  <c r="C57" i="15"/>
  <c r="C61" i="15" s="1"/>
  <c r="C23" i="81"/>
  <c r="C29" i="81" s="1"/>
  <c r="J20" i="15"/>
  <c r="F63" i="15"/>
  <c r="C62" i="15" s="1"/>
  <c r="C34" i="15"/>
  <c r="C31" i="15" s="1"/>
  <c r="R16" i="1"/>
  <c r="C33" i="68"/>
  <c r="C42" i="68" s="1"/>
  <c r="C33" i="11"/>
  <c r="C39" i="11" s="1"/>
  <c r="C20" i="69"/>
  <c r="C25" i="69" s="1"/>
  <c r="C22" i="69" s="1"/>
  <c r="C39" i="69"/>
  <c r="C43" i="69" s="1"/>
  <c r="C42" i="69"/>
  <c r="C14" i="71"/>
  <c r="D15" i="71"/>
  <c r="C24"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64" i="15" l="1"/>
  <c r="J14" i="80"/>
  <c r="J13" i="80" s="1"/>
  <c r="J23" i="80" s="1"/>
  <c r="Q70" i="15"/>
  <c r="J22" i="80"/>
  <c r="C13" i="80"/>
  <c r="Q70" i="80" s="1"/>
  <c r="J19" i="80"/>
  <c r="J17" i="80" s="1"/>
  <c r="J16" i="80" s="1"/>
  <c r="J25" i="80" s="1"/>
  <c r="Q49" i="80"/>
  <c r="C36" i="80"/>
  <c r="J22" i="15"/>
  <c r="J17" i="15"/>
  <c r="C37" i="80"/>
  <c r="C59" i="15"/>
  <c r="C56" i="15"/>
  <c r="C65" i="15" s="1"/>
  <c r="C75" i="15"/>
  <c r="C56" i="80"/>
  <c r="C65" i="80" s="1"/>
  <c r="C30" i="15"/>
  <c r="C39" i="15" s="1"/>
  <c r="C40" i="15" s="1"/>
  <c r="C57" i="81"/>
  <c r="J19" i="81"/>
  <c r="J17" i="81" s="1"/>
  <c r="C13" i="81"/>
  <c r="C36" i="81"/>
  <c r="J14" i="81"/>
  <c r="Q49" i="81"/>
  <c r="C61" i="80"/>
  <c r="C59" i="80" s="1"/>
  <c r="C64" i="80"/>
  <c r="C39" i="68"/>
  <c r="C46" i="68" s="1"/>
  <c r="C45" i="68" s="1"/>
  <c r="C28" i="69"/>
  <c r="C27" i="69" s="1"/>
  <c r="C31" i="69" s="1"/>
  <c r="C42" i="11"/>
  <c r="C46" i="11"/>
  <c r="C45" i="11" s="1"/>
  <c r="C43" i="11"/>
  <c r="C41" i="69"/>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75" i="80" l="1"/>
  <c r="C80" i="15"/>
  <c r="C79" i="15" s="1"/>
  <c r="C58" i="15"/>
  <c r="C67" i="15" s="1"/>
  <c r="C68" i="15" s="1"/>
  <c r="C71" i="15" s="1"/>
  <c r="J16" i="15"/>
  <c r="J25" i="15" s="1"/>
  <c r="C30" i="80"/>
  <c r="C39" i="80" s="1"/>
  <c r="Q69" i="80" s="1"/>
  <c r="Q68" i="80" s="1"/>
  <c r="Q69" i="15"/>
  <c r="Q68" i="15" s="1"/>
  <c r="Q67" i="15"/>
  <c r="C58" i="80"/>
  <c r="C67" i="80" s="1"/>
  <c r="C68" i="80" s="1"/>
  <c r="C71" i="80" s="1"/>
  <c r="J22" i="81"/>
  <c r="J13" i="81"/>
  <c r="J23" i="81" s="1"/>
  <c r="Q70" i="81"/>
  <c r="C56" i="81"/>
  <c r="C65" i="81" s="1"/>
  <c r="C75" i="81"/>
  <c r="C37" i="81"/>
  <c r="C30" i="81" s="1"/>
  <c r="C39" i="81" s="1"/>
  <c r="C61" i="81"/>
  <c r="C59" i="81" s="1"/>
  <c r="C64" i="81"/>
  <c r="C43" i="68"/>
  <c r="C41" i="68" s="1"/>
  <c r="C49" i="68" s="1"/>
  <c r="C51" i="68" s="1"/>
  <c r="B2" i="15"/>
  <c r="C8" i="12" s="1"/>
  <c r="Q65" i="15"/>
  <c r="Q75" i="15" s="1"/>
  <c r="Q47" i="15"/>
  <c r="Q53" i="15" s="1"/>
  <c r="Q56" i="15"/>
  <c r="Q62" i="15" s="1"/>
  <c r="C43" i="15"/>
  <c r="C83" i="15"/>
  <c r="C82" i="15" s="1"/>
  <c r="C41" i="11"/>
  <c r="C49" i="11" s="1"/>
  <c r="C51" i="11" s="1"/>
  <c r="C52" i="11" s="1"/>
  <c r="B2" i="11" s="1"/>
  <c r="B3" i="11" s="1"/>
  <c r="C49" i="69"/>
  <c r="C51" i="69" s="1"/>
  <c r="C52" i="69" s="1"/>
  <c r="C12" i="71"/>
  <c r="T13" i="71"/>
  <c r="D13" i="71"/>
  <c r="U13" i="71" s="1"/>
  <c r="M69" i="39"/>
  <c r="N67" i="39"/>
  <c r="R39" i="35"/>
  <c r="E38" i="35"/>
  <c r="M63" i="40"/>
  <c r="L65" i="40"/>
  <c r="AO6" i="1"/>
  <c r="L51" i="81"/>
  <c r="L51" i="80"/>
  <c r="C40" i="80" l="1"/>
  <c r="Q47" i="80" s="1"/>
  <c r="Q53" i="80" s="1"/>
  <c r="C46" i="15"/>
  <c r="C80" i="80"/>
  <c r="C79" i="80" s="1"/>
  <c r="J16" i="81"/>
  <c r="J25" i="81" s="1"/>
  <c r="Q67" i="80"/>
  <c r="C58" i="81"/>
  <c r="C67" i="81" s="1"/>
  <c r="C68" i="81" s="1"/>
  <c r="C71" i="81" s="1"/>
  <c r="Q67" i="81"/>
  <c r="C40" i="81"/>
  <c r="Q69" i="81"/>
  <c r="Q68" i="81" s="1"/>
  <c r="C80" i="81"/>
  <c r="C79" i="81" s="1"/>
  <c r="B6" i="70"/>
  <c r="B3" i="15"/>
  <c r="C6" i="12" s="1"/>
  <c r="C56" i="11"/>
  <c r="C57" i="11" s="1"/>
  <c r="B2" i="69"/>
  <c r="B3" i="69" s="1"/>
  <c r="C57" i="69"/>
  <c r="C56" i="69" s="1"/>
  <c r="D12" i="71"/>
  <c r="C11" i="71"/>
  <c r="O67" i="39"/>
  <c r="O69" i="39" s="1"/>
  <c r="N69" i="39"/>
  <c r="F7" i="39" s="1"/>
  <c r="C39" i="35"/>
  <c r="B2" i="35" s="1"/>
  <c r="B3" i="35" s="1"/>
  <c r="C38" i="35"/>
  <c r="N63" i="40"/>
  <c r="M65" i="40"/>
  <c r="E43" i="35"/>
  <c r="F43" i="35" s="1"/>
  <c r="E42" i="35"/>
  <c r="F42" i="35" s="1"/>
  <c r="I43" i="35"/>
  <c r="J43" i="35" s="1"/>
  <c r="B2" i="80" l="1"/>
  <c r="C83" i="80"/>
  <c r="C82" i="80" s="1"/>
  <c r="C46" i="80"/>
  <c r="Q56" i="80"/>
  <c r="Q62" i="80" s="1"/>
  <c r="Q65" i="80"/>
  <c r="Q75" i="80" s="1"/>
  <c r="C43" i="80"/>
  <c r="Q47" i="81"/>
  <c r="Q53" i="81" s="1"/>
  <c r="Q65" i="81"/>
  <c r="Q75" i="81" s="1"/>
  <c r="C43" i="81"/>
  <c r="B2" i="81"/>
  <c r="Q56" i="81"/>
  <c r="Q62" i="81" s="1"/>
  <c r="C83" i="81"/>
  <c r="C82" i="81" s="1"/>
  <c r="C46" i="81"/>
  <c r="C10" i="71"/>
  <c r="D11" i="71"/>
  <c r="H7" i="39"/>
  <c r="J7" i="39"/>
  <c r="S7" i="39"/>
  <c r="AA7" i="39"/>
  <c r="R47" i="39" s="1"/>
  <c r="O63" i="40"/>
  <c r="O65" i="40" s="1"/>
  <c r="N65" i="40"/>
  <c r="AO8" i="1"/>
  <c r="AO7" i="1"/>
  <c r="B7" i="70" l="1"/>
  <c r="B3" i="80"/>
  <c r="D6" i="12" s="1"/>
  <c r="D8" i="12"/>
  <c r="B8" i="70"/>
  <c r="E8" i="12"/>
  <c r="C4" i="12" s="1"/>
  <c r="B3" i="81"/>
  <c r="E6" i="12" s="1"/>
  <c r="C9" i="71"/>
  <c r="D10" i="71"/>
  <c r="W7" i="39"/>
  <c r="AC7" i="39"/>
  <c r="V47" i="39" s="1"/>
  <c r="I47" i="39" s="1"/>
  <c r="E47" i="39"/>
  <c r="U7" i="39"/>
  <c r="AB7" i="39"/>
  <c r="T47" i="39" s="1"/>
  <c r="G47" i="39" s="1"/>
  <c r="J7" i="40"/>
  <c r="F7" i="40"/>
  <c r="H7" i="40"/>
  <c r="B2" i="70" l="1"/>
  <c r="B3" i="70" s="1"/>
  <c r="C31" i="12"/>
  <c r="C23" i="12"/>
  <c r="R48" i="39"/>
  <c r="C47" i="39" s="1"/>
  <c r="C8" i="71"/>
  <c r="T9" i="71"/>
  <c r="D9" i="71"/>
  <c r="U9" i="71"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C30" i="12" l="1"/>
  <c r="C28" i="12" s="1"/>
  <c r="C27" i="12"/>
  <c r="C25" i="12" s="1"/>
  <c r="C7" i="71"/>
  <c r="D8"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F65" i="39"/>
  <c r="B2" i="39" s="1"/>
  <c r="D7" i="71"/>
  <c r="C6" i="71"/>
  <c r="C42" i="40"/>
  <c r="C43" i="40"/>
  <c r="E47" i="40"/>
  <c r="F47" i="40" s="1"/>
  <c r="E46" i="40"/>
  <c r="F46" i="40" s="1"/>
  <c r="I47" i="40"/>
  <c r="J47" i="40" s="1"/>
  <c r="D20" i="9"/>
  <c r="D19" i="9"/>
  <c r="D21" i="9" l="1"/>
  <c r="D102" i="9"/>
  <c r="D103" i="9"/>
  <c r="B3" i="39"/>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D5" i="71"/>
  <c r="M20" i="43"/>
  <c r="C23" i="68" l="1"/>
  <c r="C20" i="68"/>
  <c r="C25" i="68" s="1"/>
  <c r="C28" i="68" l="1"/>
  <c r="C27" i="68" s="1"/>
  <c r="C22" i="68"/>
  <c r="C31" i="68" l="1"/>
  <c r="C52" i="68" s="1"/>
  <c r="B2" i="68" s="1"/>
  <c r="C19" i="9"/>
  <c r="C57" i="68" l="1"/>
  <c r="C56" i="68" s="1"/>
  <c r="D22" i="9"/>
  <c r="C102" i="9"/>
  <c r="G19" i="9"/>
  <c r="G21" i="9" s="1"/>
  <c r="C21" i="9"/>
  <c r="B3" i="68"/>
  <c r="D35" i="9"/>
  <c r="C20" i="9"/>
  <c r="D34" i="9"/>
  <c r="C103" i="9" l="1"/>
  <c r="G20" i="9"/>
  <c r="C32" i="9" s="1"/>
  <c r="C35" i="9" l="1"/>
  <c r="C34" i="9" s="1"/>
  <c r="D118" i="9" s="1"/>
  <c r="D119" i="9" s="1"/>
  <c r="D5" i="52" s="1"/>
  <c r="B49" i="72" s="1"/>
  <c r="H118" i="9"/>
  <c r="H4" i="52" s="1"/>
  <c r="F118" i="9" l="1"/>
  <c r="F119" i="9" s="1"/>
  <c r="F5" i="52" s="1"/>
  <c r="B53" i="72" s="1"/>
  <c r="H101" i="9"/>
  <c r="D45" i="9" s="1"/>
  <c r="C78" i="9" s="1"/>
  <c r="C73" i="9" s="1"/>
  <c r="I118" i="9"/>
  <c r="I4" i="52" s="1"/>
  <c r="H119" i="9"/>
  <c r="H5" i="52" s="1"/>
  <c r="D4" i="52"/>
  <c r="B47" i="72" s="1"/>
  <c r="C64" i="9"/>
  <c r="C63" i="9" s="1"/>
  <c r="C67" i="9" s="1"/>
  <c r="C104" i="9"/>
  <c r="D14" i="74"/>
  <c r="F4" i="52" l="1"/>
  <c r="B51" i="72" s="1"/>
  <c r="H102" i="9"/>
  <c r="D7" i="53" s="1"/>
  <c r="B21" i="72" s="1"/>
  <c r="C105" i="9"/>
  <c r="D5" i="53"/>
  <c r="B20" i="72" s="1"/>
  <c r="M48" i="9"/>
  <c r="D52" i="9"/>
  <c r="G118" i="9"/>
  <c r="G4" i="52" s="1"/>
  <c r="B52" i="72" s="1"/>
  <c r="H107" i="9"/>
  <c r="D13" i="53" s="1"/>
  <c r="D53" i="9"/>
  <c r="C93" i="9"/>
  <c r="C86" i="9" s="1"/>
  <c r="C72" i="9"/>
  <c r="C79" i="9" s="1"/>
  <c r="C80" i="9" s="1"/>
  <c r="C85" i="9"/>
  <c r="D55" i="9"/>
  <c r="M53" i="9" s="1"/>
  <c r="E14" i="74"/>
  <c r="F14" i="74"/>
  <c r="B5" i="74"/>
  <c r="C68" i="9"/>
  <c r="D54" i="9" s="1"/>
  <c r="D59" i="9"/>
  <c r="M55" i="9" s="1"/>
  <c r="E118" i="9" l="1"/>
  <c r="E4" i="52" s="1"/>
  <c r="B48" i="72" s="1"/>
  <c r="D6" i="53"/>
  <c r="B22" i="72" s="1"/>
  <c r="D122" i="9"/>
  <c r="D123" i="9" s="1"/>
  <c r="D9" i="52" s="1"/>
  <c r="M49" i="9"/>
  <c r="L68" i="9" s="1"/>
  <c r="M68" i="9" s="1"/>
  <c r="C95" i="9"/>
  <c r="E80" i="9"/>
  <c r="E81" i="9" s="1"/>
  <c r="C81" i="9"/>
  <c r="H108" i="9"/>
  <c r="D15" i="53" s="1"/>
  <c r="B31" i="72" s="1"/>
  <c r="C96" i="9"/>
  <c r="E96" i="9" s="1"/>
  <c r="E97" i="9" s="1"/>
  <c r="C5" i="74"/>
  <c r="D5" i="74"/>
  <c r="B30" i="72"/>
  <c r="D14" i="53"/>
  <c r="B32" i="72" s="1"/>
  <c r="G14" i="74" l="1"/>
  <c r="B6" i="74" s="1"/>
  <c r="C6" i="74" s="1"/>
  <c r="D8" i="52"/>
  <c r="L66" i="9"/>
  <c r="M66" i="9" s="1"/>
  <c r="L63" i="9"/>
  <c r="M63" i="9" s="1"/>
  <c r="L65" i="9"/>
  <c r="M65" i="9" s="1"/>
  <c r="L64" i="9"/>
  <c r="M64" i="9" s="1"/>
  <c r="L67" i="9"/>
  <c r="M67" i="9" s="1"/>
  <c r="C97" i="9"/>
  <c r="D58" i="9" s="1"/>
  <c r="D56" i="9" s="1"/>
  <c r="M54" i="9" s="1"/>
  <c r="N57" i="9" s="1"/>
  <c r="D6" i="74" l="1"/>
  <c r="M69" i="9"/>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<sst xmlns="http://schemas.openxmlformats.org/spreadsheetml/2006/main" count="8520" uniqueCount="3340">
  <si>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</si>
  <si>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</si>
  <si>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</si>
  <si>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</si>
  <si>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</si>
  <si>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</si>
  <si>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</si>
  <si>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</si>
  <si>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</si>
  <si>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</si>
  <si>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</si>
  <si>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</si>
  <si>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</si>
  <si>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</si>
  <si>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</si>
  <si>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</si>
  <si>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</si>
  <si>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</si>
  <si>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</si>
  <si>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</si>
  <si>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</si>
  <si>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</si>
  <si>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</si>
  <si>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</si>
  <si>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</si>
  <si>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</si>
  <si>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</si>
  <si>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</si>
  <si>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</si>
  <si>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</si>
  <si>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</si>
  <si>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</si>
  <si>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</si>
  <si>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</si>
  <si>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</si>
  <si>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</si>
  <si>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</si>
  <si>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</si>
  <si>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</si>
  <si>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</si>
  <si>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</si>
  <si>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</si>
  <si>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</si>
  <si>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</si>
  <si>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</si>
  <si>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</si>
  <si>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</si>
  <si>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</si>
  <si>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</si>
  <si>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</si>
  <si>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</si>
  <si>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</si>
  <si>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</si>
  <si>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</si>
  <si>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</si>
  <si>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</si>
  <si>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</si>
  <si>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</si>
  <si>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</si>
  <si>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</si>
  <si>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</si>
  <si>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</si>
  <si>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</si>
  <si>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</si>
  <si>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</si>
  <si>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</si>
  <si>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</si>
  <si>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</si>
  <si>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</si>
  <si>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</si>
  <si>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</si>
  <si>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</si>
  <si>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</si>
  <si>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</si>
  <si>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</si>
  <si>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</si>
  <si>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</si>
  <si>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</si>
  <si>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</si>
  <si>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</si>
  <si>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</si>
  <si>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</si>
  <si>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</si>
  <si>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</si>
  <si>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</si>
  <si>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</si>
  <si>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</si>
  <si>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</si>
  <si>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</si>
  <si>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</si>
  <si>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</si>
  <si>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</si>
  <si>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</si>
  <si>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</si>
  <si>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</si>
  <si>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</si>
  <si>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</si>
  <si>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</si>
  <si>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</si>
  <si>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</si>
  <si>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</si>
  <si>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</si>
  <si>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</si>
  <si>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</si>
  <si>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</si>
  <si>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</si>
  <si>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</si>
  <si>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</si>
  <si>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</si>
  <si>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</si>
  <si>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</si>
  <si>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</si>
  <si>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</si>
  <si>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</si>
  <si>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</si>
  <si>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</si>
  <si>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</si>
  <si>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</si>
  <si>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</si>
  <si>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</si>
  <si>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</si>
  <si>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</si>
  <si>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</si>
  <si>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</si>
  <si>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</si>
  <si>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</si>
  <si>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</si>
  <si>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</si>
  <si>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</si>
  <si>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</si>
  <si>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</si>
  <si>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</si>
  <si>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</si>
  <si>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</si>
  <si>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</si>
  <si>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</si>
  <si>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</si>
  <si>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</si>
  <si>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</si>
  <si>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</si>
  <si>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</si>
  <si>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</si>
  <si>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</si>
  <si>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</si>
  <si>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</si>
  <si>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</si>
  <si>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</si>
  <si>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</si>
  <si>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</si>
  <si>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</si>
  <si>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</si>
  <si>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</si>
  <si>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</si>
  <si>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</si>
  <si>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</si>
  <si>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</si>
  <si>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</si>
  <si>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</si>
  <si>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</si>
  <si>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</si>
  <si>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</si>
  <si>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</si>
  <si>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</si>
  <si>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</si>
  <si>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</si>
  <si>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</si>
  <si>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</si>
  <si>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</si>
  <si>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</si>
  <si>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</si>
  <si>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</si>
  <si>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</si>
  <si>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</si>
  <si>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</si>
  <si>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</si>
  <si>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</si>
  <si>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</si>
  <si>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</si>
  <si>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</si>
  <si>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</si>
  <si>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</si>
  <si>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</si>
  <si>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</si>
  <si>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</si>
  <si>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</si>
  <si>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</si>
  <si>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</si>
  <si>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</si>
  <si>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</si>
  <si>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</si>
  <si>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</si>
  <si>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</si>
  <si>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</si>
  <si>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</si>
  <si>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</si>
  <si>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</si>
  <si>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</si>
  <si>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</si>
  <si>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</si>
  <si>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</si>
  <si>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</si>
  <si>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</si>
  <si>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</si>
  <si>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</si>
  <si>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</si>
  <si>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</si>
  <si>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</si>
  <si>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</si>
  <si>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</si>
  <si>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</si>
  <si>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</si>
  <si>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</si>
  <si>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</si>
  <si>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</si>
  <si>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</si>
  <si>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</si>
  <si>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</si>
  <si>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</si>
  <si>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</si>
  <si>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</si>
  <si>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</si>
  <si>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</si>
  <si>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</si>
  <si>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</si>
  <si>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</si>
  <si>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</si>
  <si>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</si>
  <si>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</si>
  <si>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</si>
  <si>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</si>
  <si>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</si>
  <si>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</si>
  <si>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</si>
  <si>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</si>
  <si>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</si>
  <si>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</si>
  <si>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</si>
  <si>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</si>
  <si>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</si>
  <si>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</si>
  <si>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</si>
  <si>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</si>
  <si>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</si>
  <si>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</si>
  <si>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</si>
  <si>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</si>
  <si>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</si>
  <si>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</si>
  <si>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</si>
  <si>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</si>
  <si>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</si>
  <si>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</si>
  <si>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</si>
  <si>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</si>
  <si>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</si>
  <si>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</si>
  <si>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</si>
  <si>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</si>
  <si>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</si>
  <si>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</si>
  <si>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</si>
  <si>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</si>
  <si>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</si>
  <si>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</si>
  <si>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</si>
  <si>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</si>
  <si>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</si>
  <si>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</si>
  <si>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</si>
  <si>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</si>
  <si>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</si>
  <si>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</si>
  <si>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</si>
  <si>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</si>
  <si>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</si>
  <si>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</si>
  <si>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</si>
  <si>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</si>
  <si>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</si>
  <si>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</si>
  <si>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</si>
  <si>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</si>
  <si>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</si>
  <si>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</si>
  <si>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</si>
  <si>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</si>
  <si>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</si>
  <si>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</si>
  <si>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</si>
  <si>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</si>
  <si>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</si>
  <si>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</si>
  <si>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</si>
  <si>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</si>
  <si>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</si>
  <si>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</si>
  <si>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</si>
  <si>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</si>
  <si>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</si>
  <si>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</si>
  <si>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</si>
  <si>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</si>
  <si>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</si>
  <si>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</si>
  <si>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</si>
  <si>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</si>
  <si>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</si>
  <si>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</si>
  <si>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</si>
  <si>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</si>
  <si>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</si>
  <si>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</si>
  <si>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</si>
  <si>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</si>
  <si>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</si>
  <si>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</si>
  <si>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</si>
  <si>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</si>
  <si>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</si>
  <si>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</si>
  <si>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</si>
  <si>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</si>
  <si>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</si>
  <si>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</si>
  <si>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</si>
  <si>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</si>
  <si>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</si>
  <si>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</si>
  <si>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</si>
  <si>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</si>
  <si>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</si>
  <si>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</si>
  <si>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</si>
  <si>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</si>
  <si>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</si>
  <si>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</si>
  <si>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</si>
  <si>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</si>
  <si>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</si>
  <si>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</si>
  <si>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</si>
  <si>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</si>
  <si>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</si>
  <si>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</si>
  <si>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</si>
  <si>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</si>
  <si>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</si>
  <si>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</si>
  <si>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</si>
  <si>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</si>
  <si>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</si>
  <si>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</si>
  <si>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</si>
  <si>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</si>
  <si>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</si>
  <si>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</si>
  <si>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</si>
  <si>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</si>
  <si>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</si>
  <si>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</si>
  <si>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</si>
  <si>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</si>
  <si>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</si>
  <si>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</si>
  <si>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</si>
  <si>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</si>
  <si>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</si>
  <si>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</si>
  <si>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</si>
  <si>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</si>
  <si>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</si>
  <si>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</si>
  <si>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</si>
  <si>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</si>
  <si>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</si>
  <si>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</si>
  <si>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</si>
  <si>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</si>
  <si>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</si>
  <si>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</si>
  <si>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</si>
  <si>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</si>
  <si>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</si>
  <si>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</si>
  <si>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</si>
  <si>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</si>
  <si>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</si>
  <si>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</si>
  <si>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</si>
  <si>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</si>
  <si>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</si>
  <si>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</si>
  <si>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</si>
  <si>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</si>
  <si>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</si>
  <si>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</si>
  <si>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</si>
  <si>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</si>
  <si>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</si>
  <si>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</si>
  <si>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</si>
  <si>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</si>
  <si>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</si>
  <si>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</si>
  <si>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</si>
  <si>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</si>
  <si>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</si>
  <si>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</si>
  <si>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</si>
  <si>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</si>
  <si>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</si>
  <si>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</si>
  <si>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</si>
  <si>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</si>
  <si>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</si>
  <si>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</si>
  <si>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</si>
  <si>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</si>
  <si>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</si>
  <si>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</si>
  <si>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</si>
  <si>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</si>
  <si>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</si>
  <si>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</si>
  <si>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</si>
  <si>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</si>
  <si>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</si>
  <si>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</si>
  <si>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</si>
  <si>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</si>
  <si>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</si>
  <si>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</si>
  <si>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</si>
  <si>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</si>
  <si>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</si>
  <si>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</si>
  <si>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</si>
  <si>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</si>
  <si>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</si>
  <si>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</si>
  <si>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</si>
  <si>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</si>
  <si>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</si>
  <si>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</si>
  <si>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</si>
  <si>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</si>
  <si>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</si>
  <si>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</si>
  <si>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</si>
  <si>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</si>
  <si>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</si>
  <si>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</si>
  <si>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</si>
  <si>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</si>
  <si>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</si>
  <si>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</si>
  <si>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</si>
  <si>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</si>
  <si>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</si>
  <si>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</si>
  <si>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</si>
  <si>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</si>
  <si>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</si>
  <si>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</si>
  <si>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</si>
  <si>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</si>
  <si>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</si>
  <si>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</si>
  <si>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</si>
  <si>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</si>
  <si>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</si>
  <si>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</si>
  <si>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</si>
  <si>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</si>
  <si>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</si>
  <si>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</si>
  <si>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</si>
  <si>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</si>
  <si>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</si>
  <si>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</si>
  <si>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</si>
  <si>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</si>
  <si>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</si>
  <si>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</si>
  <si>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</si>
  <si>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</si>
  <si>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</si>
  <si>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</si>
  <si>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</si>
  <si>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</si>
  <si>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</si>
  <si>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</si>
  <si>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</si>
  <si>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</si>
  <si>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</si>
  <si>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</si>
  <si>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</si>
  <si>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</si>
  <si>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</si>
  <si>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</si>
  <si>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</si>
  <si>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</si>
  <si>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</si>
  <si>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</si>
  <si>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</si>
  <si>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</si>
  <si>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</si>
  <si>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</si>
  <si>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</si>
  <si>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</si>
  <si>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</si>
  <si>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</si>
  <si>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</si>
  <si>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</si>
  <si>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</si>
  <si>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</si>
  <si>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</si>
  <si>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</si>
  <si>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</si>
  <si>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</si>
  <si>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</si>
  <si>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</si>
  <si>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</si>
  <si>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</si>
  <si>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</si>
  <si>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</si>
  <si>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</si>
  <si>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</si>
  <si>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</si>
  <si>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</si>
  <si>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</si>
  <si>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</si>
  <si>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</si>
  <si>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</si>
  <si>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</si>
  <si>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</si>
  <si>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</si>
  <si>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</si>
  <si>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</si>
  <si>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</si>
  <si>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</si>
  <si>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</si>
  <si>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</si>
  <si>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</si>
  <si>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</si>
  <si>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</si>
  <si>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</si>
  <si>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</si>
  <si>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</si>
  <si>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</si>
  <si>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</si>
  <si>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</si>
  <si>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</si>
  <si>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</si>
  <si>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</si>
  <si>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</si>
  <si>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</si>
  <si>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</si>
  <si>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</si>
  <si>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</si>
  <si>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</si>
  <si>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</si>
  <si>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</si>
  <si>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</si>
  <si>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</si>
  <si>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</si>
  <si>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</si>
  <si>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</si>
  <si>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</si>
  <si>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</si>
  <si>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</si>
  <si>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</si>
  <si>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</si>
  <si>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</si>
  <si>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</si>
  <si>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</si>
  <si>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</si>
  <si>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</si>
  <si>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</si>
  <si>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</si>
  <si>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</si>
  <si>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</si>
  <si>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</si>
  <si>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</si>
  <si>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</si>
  <si>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</si>
  <si>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</si>
  <si>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</si>
  <si>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</si>
  <si>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</si>
  <si>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</si>
  <si>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</si>
  <si>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</si>
  <si>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</si>
  <si>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</si>
  <si>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</si>
  <si>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</si>
  <si>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</si>
  <si>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</si>
  <si>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</si>
  <si>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</si>
  <si>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</si>
  <si>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</si>
  <si>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</si>
  <si>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</si>
  <si>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</si>
  <si>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</si>
  <si>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</si>
  <si>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</si>
  <si>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</si>
  <si>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</si>
  <si>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</si>
  <si>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</si>
  <si>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</si>
  <si>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</si>
  <si>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</si>
  <si>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</si>
  <si>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</si>
  <si>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</si>
  <si>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</si>
  <si>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</si>
  <si>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</si>
  <si>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</si>
  <si>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</si>
  <si>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</si>
  <si>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</si>
  <si>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</si>
  <si>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</si>
  <si>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</si>
  <si>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</si>
  <si>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</si>
  <si>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</si>
  <si>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</si>
  <si>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</si>
  <si>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</si>
  <si>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</si>
  <si>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</si>
  <si>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</si>
  <si>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</si>
  <si>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</si>
  <si>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</si>
  <si>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</si>
  <si>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</si>
  <si>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</si>
  <si>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</si>
  <si>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</si>
  <si>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</si>
  <si>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</si>
  <si>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</si>
  <si>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</si>
  <si>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</si>
  <si>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</si>
  <si>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</si>
  <si>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</si>
  <si>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</si>
  <si>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</si>
  <si>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</si>
  <si>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</si>
  <si>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</si>
  <si>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</si>
  <si>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</si>
  <si>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</si>
  <si>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</si>
  <si>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</si>
  <si>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</si>
  <si>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</si>
  <si>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</si>
  <si>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</si>
  <si>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</si>
  <si>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</si>
  <si>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</si>
  <si>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</si>
  <si>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</si>
  <si>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</si>
  <si>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</si>
  <si>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</si>
  <si>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</si>
  <si>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</si>
  <si>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</si>
  <si>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</si>
  <si>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</si>
  <si>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</si>
  <si>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</si>
  <si>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</si>
  <si>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</si>
  <si>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</si>
  <si>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</si>
  <si>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</si>
  <si>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</si>
  <si>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</si>
  <si>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</si>
  <si>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</si>
  <si>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</si>
  <si>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</si>
  <si>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</si>
  <si>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</si>
  <si>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</si>
  <si>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</si>
  <si>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</si>
  <si>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</si>
  <si>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</si>
  <si>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</si>
  <si>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</si>
  <si>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</si>
  <si>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</si>
  <si>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</si>
  <si>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</si>
  <si>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</si>
  <si>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</si>
  <si>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</si>
  <si>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</si>
  <si>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</si>
  <si>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</si>
  <si>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</si>
  <si>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</si>
  <si>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</si>
  <si>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</si>
  <si>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</si>
  <si>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</si>
  <si>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</si>
  <si>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</si>
  <si>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</si>
  <si>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</si>
  <si>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</si>
  <si>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</si>
  <si>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</si>
  <si>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</si>
  <si>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</si>
  <si>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</si>
  <si>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</si>
  <si>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</si>
  <si>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</si>
  <si>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</si>
  <si>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</si>
  <si>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</si>
  <si>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</si>
  <si>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</si>
  <si>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</si>
  <si>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</si>
  <si>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</si>
  <si>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</si>
  <si>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</si>
  <si>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</si>
  <si>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</si>
  <si>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</si>
  <si>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</si>
  <si>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</si>
  <si>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</si>
  <si>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</si>
  <si>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</si>
  <si>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</si>
  <si>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</si>
  <si>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</si>
  <si>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</si>
  <si>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</si>
  <si>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</si>
  <si>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</si>
  <si>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</si>
  <si>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</si>
  <si>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</si>
  <si>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</si>
  <si>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</si>
  <si>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</si>
  <si>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</si>
  <si>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</si>
  <si>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</si>
  <si>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</si>
  <si>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</si>
  <si>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</si>
  <si>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</si>
  <si>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</si>
  <si>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</si>
  <si>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</si>
  <si>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</si>
  <si>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</si>
  <si>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</si>
  <si>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</si>
  <si>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</si>
  <si>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</si>
  <si>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</si>
  <si>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</si>
  <si>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</si>
  <si>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</si>
  <si>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</si>
  <si>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</si>
  <si>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</si>
  <si>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</si>
  <si>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</si>
  <si>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</si>
  <si>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</si>
  <si>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</si>
  <si>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</si>
  <si>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</si>
  <si>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</si>
  <si>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</si>
  <si>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</si>
  <si>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</si>
  <si>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</si>
  <si>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</si>
  <si>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</si>
  <si>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</si>
  <si>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</si>
  <si>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</si>
  <si>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</si>
  <si>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</si>
  <si>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</si>
  <si>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</si>
  <si>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</si>
  <si>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</si>
  <si>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</si>
  <si>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</si>
  <si>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</si>
  <si>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</si>
  <si>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</si>
  <si>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</si>
  <si>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</si>
  <si>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</si>
  <si>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</si>
  <si>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</si>
  <si>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</si>
  <si>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</si>
  <si>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</si>
  <si>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</si>
  <si>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</si>
  <si>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</si>
  <si>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</si>
  <si>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</si>
  <si>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</si>
  <si>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</si>
  <si>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</si>
  <si>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</si>
  <si>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</si>
  <si>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</si>
  <si>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</si>
  <si>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</si>
  <si>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</si>
  <si>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</si>
  <si>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</si>
  <si>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</si>
  <si>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</si>
  <si>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</si>
  <si>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</si>
  <si>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</si>
  <si>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</si>
  <si>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</si>
  <si>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</si>
  <si>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</si>
  <si>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</si>
  <si>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</si>
  <si>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</si>
  <si>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</si>
  <si>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</si>
  <si>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</si>
  <si>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</si>
  <si>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</si>
  <si>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</si>
  <si>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</si>
  <si>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</si>
  <si>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</si>
  <si>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</si>
  <si>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</si>
  <si>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</si>
  <si>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</si>
  <si>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</si>
  <si>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</si>
  <si>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</si>
  <si>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</si>
  <si>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</si>
  <si>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</si>
  <si>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</si>
  <si>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</si>
  <si>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</si>
  <si>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</si>
  <si>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</si>
  <si>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</si>
  <si>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</si>
  <si>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</si>
  <si>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</si>
  <si>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</si>
  <si>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</si>
  <si>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</si>
  <si>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</si>
  <si>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</si>
  <si>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</si>
  <si>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</si>
  <si>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</si>
  <si>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</si>
  <si>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</si>
  <si>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</si>
  <si>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</si>
  <si>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</si>
  <si>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</si>
  <si>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</si>
  <si>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</si>
  <si>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</si>
  <si>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</si>
  <si>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</si>
  <si>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</si>
  <si>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</si>
  <si>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</si>
  <si>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</si>
  <si>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</si>
  <si>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</si>
  <si>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</si>
  <si>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</si>
  <si>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</si>
  <si>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</si>
  <si>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</si>
  <si>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</si>
  <si>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</si>
  <si>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</si>
  <si>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</si>
  <si>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</si>
  <si>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</si>
  <si>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</si>
  <si>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</si>
  <si>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</si>
  <si>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</si>
  <si>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</si>
  <si>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</si>
  <si>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</si>
  <si>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</si>
  <si>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</si>
  <si>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</si>
  <si>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</si>
  <si>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</si>
  <si>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</si>
  <si>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</si>
  <si>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</si>
  <si>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</si>
  <si>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</si>
  <si>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</si>
  <si>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</si>
  <si>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</si>
  <si>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</si>
  <si>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</si>
  <si>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</si>
  <si>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</si>
  <si>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</si>
  <si>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</si>
  <si>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</si>
  <si>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</si>
  <si>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</si>
  <si>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</si>
  <si>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</si>
  <si>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</si>
  <si>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</si>
  <si>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</si>
  <si>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</si>
  <si>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</si>
  <si>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</si>
  <si>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</si>
  <si>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</si>
  <si>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</si>
  <si>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</si>
  <si>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</si>
  <si>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</si>
  <si>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</si>
  <si>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</si>
  <si>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</si>
  <si>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</si>
  <si>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</si>
  <si>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</si>
  <si>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</si>
  <si>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</si>
  <si>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</si>
  <si>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</si>
  <si>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</si>
  <si>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</si>
  <si>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</si>
  <si>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</si>
  <si>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</si>
  <si>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</si>
  <si>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</si>
  <si>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</si>
  <si>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</si>
  <si>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</si>
  <si>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</si>
  <si>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</si>
  <si>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</si>
  <si>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</si>
  <si>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</si>
  <si>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</si>
  <si>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</si>
  <si>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</si>
  <si>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</si>
  <si>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</si>
  <si>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</si>
  <si>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</si>
  <si>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</si>
  <si>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</si>
  <si>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</si>
  <si>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</si>
  <si>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</si>
  <si>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</si>
  <si>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</si>
  <si>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</si>
  <si>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</si>
  <si>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</si>
  <si>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</si>
  <si>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</si>
  <si>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</si>
  <si>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</si>
  <si>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</si>
  <si>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</si>
  <si>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</si>
  <si>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</si>
  <si>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</si>
  <si>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</si>
  <si>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</si>
  <si>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</si>
  <si>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</si>
  <si>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</si>
  <si>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</si>
  <si>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</si>
  <si>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</si>
  <si>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</si>
  <si>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</si>
  <si>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</si>
  <si>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</si>
  <si>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</si>
  <si>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</si>
  <si>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</si>
  <si>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</si>
  <si>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</si>
  <si>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</si>
  <si>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</si>
  <si>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</si>
  <si>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</si>
  <si>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</si>
  <si>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</si>
  <si>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</si>
  <si>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</si>
  <si>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</si>
  <si>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</si>
  <si>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</si>
  <si>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</si>
  <si>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</si>
  <si>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</si>
  <si>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</si>
  <si>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</si>
  <si>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</si>
  <si>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</si>
  <si>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</si>
  <si>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</si>
  <si>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</si>
  <si>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</si>
  <si>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</si>
  <si>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</si>
  <si>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</si>
  <si>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</si>
  <si>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</si>
  <si>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</si>
  <si>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</si>
  <si>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</si>
  <si>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</si>
  <si>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</si>
  <si>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</si>
  <si>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</si>
  <si>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</si>
  <si>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</si>
  <si>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</si>
  <si>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</si>
  <si>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</si>
  <si>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</si>
  <si>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</si>
  <si>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</si>
  <si>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</si>
  <si>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</si>
  <si>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</si>
  <si>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</si>
  <si>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</si>
  <si>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</si>
  <si>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</si>
  <si>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</si>
  <si>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</si>
  <si>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</si>
  <si>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</si>
  <si>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</si>
  <si>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</si>
  <si>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</si>
  <si>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</si>
  <si>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</si>
  <si>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</si>
  <si>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</si>
  <si>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</si>
  <si>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</si>
  <si>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</si>
  <si>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</si>
  <si>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</si>
  <si>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</si>
  <si>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</si>
  <si>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</si>
  <si>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</si>
  <si>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</si>
  <si>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</si>
  <si>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</si>
  <si>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</si>
  <si>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</si>
  <si>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</si>
  <si>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</si>
  <si>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</si>
  <si>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</si>
  <si>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</si>
  <si>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</si>
  <si>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</si>
  <si>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</si>
  <si>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</si>
  <si>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</si>
  <si>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</si>
  <si>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</si>
  <si>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</si>
  <si>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</si>
  <si>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</si>
  <si>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</si>
  <si>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</si>
  <si>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</si>
  <si>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</si>
  <si>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</si>
  <si>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</si>
  <si>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</si>
  <si>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</si>
  <si>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</si>
  <si>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</si>
  <si>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</si>
  <si>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</si>
  <si>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</si>
  <si>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</si>
  <si>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</si>
  <si>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</si>
  <si>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</si>
  <si>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</si>
  <si>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</si>
  <si>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</si>
  <si>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</si>
  <si>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</si>
  <si>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</si>
  <si>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</si>
  <si>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</si>
  <si>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</si>
  <si>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</si>
  <si>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</si>
  <si>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</si>
  <si>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</si>
  <si>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</si>
  <si>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</si>
  <si>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</si>
  <si>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</si>
  <si>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</si>
  <si>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</si>
  <si>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</si>
  <si>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</si>
  <si>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</si>
  <si>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</si>
  <si>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</si>
  <si>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</si>
  <si>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</si>
  <si>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</si>
  <si>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</si>
  <si>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</si>
  <si>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</si>
  <si>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</si>
  <si>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</si>
  <si>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</si>
  <si>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</si>
  <si>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</si>
  <si>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</si>
  <si>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</si>
  <si>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</si>
  <si>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</si>
  <si>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</si>
  <si>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</si>
  <si>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</si>
  <si>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</si>
  <si>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</si>
  <si>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</si>
  <si>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</si>
  <si>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</si>
  <si>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</si>
  <si>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</si>
  <si>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</si>
  <si>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</si>
  <si>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</si>
  <si>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</si>
  <si>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</si>
  <si>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</si>
  <si>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</si>
  <si>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</si>
  <si>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</si>
  <si>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</si>
  <si>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</si>
  <si>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</si>
  <si>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</si>
  <si>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</si>
  <si>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</si>
  <si>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</si>
  <si>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</si>
  <si>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</si>
  <si>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</si>
  <si>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</si>
  <si>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</si>
  <si>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</si>
  <si>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</si>
  <si>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</si>
  <si>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</si>
  <si>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</si>
  <si>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</si>
  <si>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</si>
  <si>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</si>
  <si>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</si>
  <si>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</si>
  <si>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</si>
  <si>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</si>
  <si>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</si>
  <si>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</si>
  <si>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</si>
  <si>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</si>
  <si>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</si>
  <si>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</si>
  <si>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</si>
  <si>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</si>
  <si>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</si>
  <si>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</si>
  <si>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</si>
  <si>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</si>
  <si>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</si>
  <si>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</si>
  <si>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</si>
  <si>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</si>
  <si>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</si>
  <si>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</si>
  <si>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</si>
  <si>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</si>
  <si>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</si>
  <si>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</si>
  <si>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</si>
  <si>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</si>
  <si>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</si>
  <si>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</si>
  <si>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</si>
  <si>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</si>
  <si>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</si>
  <si>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</si>
  <si>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</si>
  <si>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</si>
  <si>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</si>
  <si>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</si>
  <si>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</si>
  <si>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</si>
  <si>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</si>
  <si>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</si>
  <si>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</si>
  <si>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</si>
  <si>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</si>
  <si>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</si>
  <si>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</si>
  <si>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</si>
  <si>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</si>
  <si>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</si>
  <si>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</si>
  <si>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</si>
  <si>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</si>
  <si>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</si>
  <si>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</si>
  <si>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</si>
  <si>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</si>
  <si>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</si>
  <si>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</si>
  <si>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</si>
  <si>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</si>
  <si>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</si>
  <si>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</si>
  <si>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</si>
  <si>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</si>
  <si>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</si>
  <si>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</si>
  <si>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</si>
  <si>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</si>
  <si>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</si>
  <si>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</si>
  <si>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</si>
  <si>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</si>
  <si>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</si>
  <si>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</si>
  <si>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</si>
  <si>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</si>
  <si>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</si>
  <si>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</si>
  <si>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</si>
  <si>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</si>
  <si>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</si>
  <si>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</si>
  <si>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</si>
  <si>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</si>
  <si>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</si>
  <si>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</si>
  <si>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</si>
  <si>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</si>
  <si>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</si>
  <si>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</si>
  <si>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</si>
  <si>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</si>
  <si>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</si>
  <si>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</si>
  <si>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</si>
  <si>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</si>
  <si>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</si>
  <si>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</si>
  <si>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</si>
  <si>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</si>
  <si>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</si>
  <si>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</si>
  <si>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</si>
  <si>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</si>
  <si>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</si>
  <si>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</si>
  <si>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</si>
  <si>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</si>
  <si>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</si>
  <si>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</si>
  <si>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</si>
  <si>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</si>
  <si>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</si>
  <si>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</si>
  <si>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</si>
  <si>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</si>
  <si>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</si>
  <si>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</si>
  <si>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</si>
  <si>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</si>
  <si>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</si>
  <si>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</si>
  <si>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</si>
  <si>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</si>
  <si>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</si>
  <si>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</si>
  <si>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</si>
  <si>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</si>
  <si>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</si>
  <si>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</si>
  <si>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</si>
  <si>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</si>
  <si>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</si>
  <si>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</si>
  <si>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</si>
  <si>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</si>
  <si>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</si>
  <si>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</si>
  <si>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</si>
  <si>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</si>
  <si>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</si>
  <si>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</si>
  <si>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</si>
  <si>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</si>
  <si>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</si>
  <si>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</si>
  <si>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</si>
  <si>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</si>
  <si>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</si>
  <si>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</si>
  <si>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</si>
  <si>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</si>
  <si>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</si>
  <si>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</si>
  <si>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</si>
  <si>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</si>
  <si>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</si>
  <si>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</si>
  <si>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</si>
  <si>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</si>
  <si>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</si>
  <si>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</si>
  <si>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</si>
  <si>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</si>
  <si>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</si>
  <si>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</si>
  <si>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</si>
  <si>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</si>
  <si>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</si>
  <si>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</si>
  <si>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</si>
  <si>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</si>
  <si>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</si>
  <si>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</si>
  <si>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</si>
  <si>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</si>
  <si>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</si>
  <si>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</si>
  <si>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</si>
  <si>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</si>
  <si>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</si>
  <si>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</si>
  <si>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</si>
  <si>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</si>
  <si>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</si>
  <si>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</si>
  <si>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</si>
  <si>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</si>
  <si>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</si>
  <si>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</si>
  <si>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</si>
  <si>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</si>
  <si>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</si>
  <si>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</si>
  <si>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</si>
  <si>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</si>
  <si>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</si>
  <si>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</si>
  <si>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</si>
  <si>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</si>
  <si>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</si>
  <si>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</si>
  <si>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</si>
  <si>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</si>
  <si>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</si>
  <si>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</si>
  <si>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</si>
  <si>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</si>
  <si>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</si>
  <si>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</si>
  <si>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</si>
  <si>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</si>
  <si>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</si>
  <si>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</si>
  <si>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</si>
  <si>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</si>
  <si>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</si>
  <si>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</si>
  <si>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</si>
  <si>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</si>
  <si>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</si>
  <si>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</si>
  <si>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</si>
  <si>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</si>
  <si>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</si>
  <si>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</si>
  <si>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</si>
  <si>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</si>
  <si>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</si>
  <si>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</si>
  <si>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</si>
  <si>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</si>
  <si>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</si>
  <si>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</si>
  <si>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</si>
  <si>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</si>
  <si>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</si>
  <si>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</si>
  <si>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</si>
  <si>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</si>
  <si>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</si>
  <si>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</si>
  <si>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</si>
  <si>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</si>
  <si>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</si>
  <si>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</si>
  <si>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</si>
  <si>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</si>
  <si>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</si>
  <si>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</si>
  <si>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</si>
  <si>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</si>
  <si>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</si>
  <si>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</si>
  <si>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</si>
  <si>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</si>
  <si>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</si>
  <si>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</si>
  <si>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</si>
  <si>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</si>
  <si>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</si>
  <si>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</si>
  <si>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</si>
  <si>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</si>
  <si>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</si>
  <si>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</si>
  <si>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</si>
  <si>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</si>
  <si>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</si>
  <si>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</si>
  <si>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</si>
  <si>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</si>
  <si>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</si>
  <si>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</si>
  <si>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</si>
  <si>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</si>
  <si>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</si>
  <si>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</si>
  <si>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</si>
  <si>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</si>
  <si>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</si>
  <si>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</si>
  <si>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</si>
  <si>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</si>
  <si>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</si>
  <si>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</si>
  <si>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</si>
  <si>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</si>
  <si>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</si>
  <si>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</si>
  <si>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</si>
  <si>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</si>
  <si>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</si>
  <si>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</si>
  <si>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</si>
  <si>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</si>
  <si>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</si>
  <si>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</si>
  <si>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</si>
  <si>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</si>
  <si>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</si>
  <si>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</si>
  <si>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</si>
  <si>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</si>
  <si>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</si>
  <si>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</si>
  <si>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</si>
  <si>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</si>
  <si>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</si>
  <si>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</si>
  <si>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</si>
  <si>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</si>
  <si>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</si>
  <si>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</si>
  <si>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</si>
  <si>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</si>
  <si>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</si>
  <si>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</si>
  <si>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</si>
  <si>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</si>
  <si>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</si>
  <si>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</si>
  <si>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</si>
  <si>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</si>
  <si>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</si>
  <si>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</si>
  <si>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</si>
  <si>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</si>
  <si>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</si>
  <si>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</si>
  <si>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</si>
  <si>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</si>
  <si>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</si>
  <si>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</si>
  <si>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</si>
  <si>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</si>
  <si>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</si>
  <si>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</si>
  <si>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</si>
  <si>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</si>
  <si>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</si>
  <si>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</si>
  <si>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</si>
  <si>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</si>
  <si>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</si>
  <si>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</si>
  <si>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</si>
  <si>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</si>
  <si>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</si>
  <si>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</si>
  <si>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</si>
  <si>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</si>
  <si>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</si>
  <si>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</si>
  <si>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</si>
  <si>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</si>
  <si>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</si>
  <si>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</si>
  <si>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</si>
  <si>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</si>
  <si>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</si>
  <si>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</si>
  <si>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</si>
  <si>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</si>
  <si>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</si>
  <si>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</si>
  <si>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</si>
  <si>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</si>
  <si>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</si>
  <si>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</si>
  <si>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</si>
  <si>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</si>
  <si>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</si>
  <si>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</si>
  <si>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</si>
  <si>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</si>
  <si>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</si>
  <si>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</si>
  <si>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</si>
  <si>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</si>
  <si>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</si>
  <si>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</si>
  <si>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</si>
  <si>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</si>
  <si>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</si>
  <si>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</si>
  <si>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</si>
  <si>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</si>
  <si>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</si>
  <si>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</si>
  <si>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</si>
  <si>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</si>
  <si>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</si>
  <si>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</si>
  <si>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</si>
  <si>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</si>
  <si>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</si>
  <si>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</si>
  <si>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</si>
  <si>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</si>
  <si>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</si>
  <si>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</si>
  <si>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</si>
  <si>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</si>
  <si>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</si>
  <si>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</si>
  <si>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</si>
  <si>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</si>
  <si>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</si>
  <si>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</si>
  <si>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</si>
  <si>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</si>
  <si>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</si>
  <si>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</si>
  <si>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</si>
  <si>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</si>
  <si>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</si>
  <si>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</si>
  <si>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</si>
  <si>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</si>
  <si>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</si>
  <si>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</si>
  <si>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</si>
  <si>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</si>
  <si>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</si>
  <si>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</si>
  <si>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</si>
  <si>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</si>
  <si>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</si>
  <si>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</si>
  <si>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</si>
  <si>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</si>
  <si>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</si>
  <si>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</si>
  <si>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</si>
  <si>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</si>
  <si>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</si>
  <si>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</si>
  <si>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</si>
  <si>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</si>
  <si>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</si>
  <si>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</si>
  <si>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</si>
  <si>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</si>
  <si>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</si>
  <si>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</si>
  <si>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</si>
  <si>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</si>
  <si>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</si>
  <si>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</si>
  <si>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</si>
  <si>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</si>
  <si>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</si>
  <si>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</si>
  <si>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</si>
  <si>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</si>
  <si>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</si>
  <si>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</si>
  <si>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</si>
  <si>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</si>
  <si>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</si>
  <si>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</si>
  <si>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</si>
  <si>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</si>
  <si>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</si>
  <si>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</si>
  <si>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</si>
  <si>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</si>
  <si>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</si>
  <si>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</si>
  <si>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</si>
  <si>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</si>
  <si>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</si>
  <si>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</si>
  <si>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</si>
  <si>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</si>
  <si>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</si>
  <si>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</si>
  <si>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</si>
  <si>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</si>
  <si>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</si>
  <si>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</si>
  <si>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</si>
  <si>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</si>
  <si>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</si>
  <si>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</si>
  <si>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</si>
  <si>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</si>
  <si>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</si>
  <si>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</si>
  <si>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</si>
  <si>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</si>
  <si>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</si>
  <si>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</si>
  <si>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</si>
  <si>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</si>
  <si>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</si>
  <si>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</si>
  <si>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</si>
  <si>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</si>
  <si>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</si>
  <si>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</si>
  <si>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</si>
  <si>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</si>
  <si>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</si>
  <si>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</si>
  <si>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</si>
  <si>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</si>
  <si>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</si>
  <si>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</si>
  <si>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</si>
  <si>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</si>
  <si>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</si>
  <si>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</si>
  <si>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</si>
  <si>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</si>
  <si>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</si>
  <si>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</si>
  <si>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</si>
  <si>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</si>
  <si>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</si>
  <si>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</si>
  <si>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</si>
  <si>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</si>
  <si>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</si>
  <si>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</si>
  <si>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</si>
  <si>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</si>
  <si>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</si>
  <si>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</si>
  <si>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</si>
  <si>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</si>
  <si>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</si>
  <si>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</si>
  <si>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</si>
  <si>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</si>
  <si>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</si>
  <si>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</si>
  <si>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</si>
  <si>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</si>
  <si>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</si>
  <si>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</si>
  <si>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</si>
  <si>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</si>
  <si>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</si>
  <si>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</si>
  <si>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</si>
  <si>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</si>
  <si>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</si>
  <si>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</si>
  <si>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</si>
  <si>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</si>
  <si>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</si>
  <si>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</si>
  <si>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</si>
  <si>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</si>
  <si>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</si>
  <si>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</si>
  <si>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</si>
  <si>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</si>
  <si>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</si>
  <si>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</si>
  <si>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</si>
  <si>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</si>
  <si>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</si>
  <si>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</si>
  <si>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</si>
  <si>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</si>
  <si>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</si>
  <si>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</si>
  <si>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</si>
  <si>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</si>
  <si>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</si>
  <si>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</si>
  <si>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</si>
  <si>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</si>
  <si>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</si>
  <si>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</si>
  <si>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</si>
  <si>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</si>
  <si>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</si>
  <si>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</si>
  <si>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</si>
  <si>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</si>
  <si>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</si>
  <si>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</si>
  <si>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</si>
  <si>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</si>
  <si>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</si>
  <si>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</si>
  <si>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</si>
  <si>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</si>
  <si>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</si>
  <si>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</si>
  <si>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</si>
  <si>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</si>
  <si>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</si>
  <si>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</si>
  <si>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</si>
  <si>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</si>
  <si>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</si>
  <si>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</si>
  <si>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</si>
  <si>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</si>
  <si>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</si>
  <si>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</si>
  <si>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</si>
  <si>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</si>
  <si>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</si>
  <si>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</si>
  <si>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</si>
  <si>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</si>
  <si>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</si>
  <si>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</si>
  <si>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</si>
  <si>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</si>
  <si>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</si>
  <si>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</si>
  <si>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</si>
  <si>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</si>
  <si>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</si>
  <si>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</si>
  <si>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</si>
  <si>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</si>
  <si>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</si>
  <si>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</si>
  <si>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</si>
  <si>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</si>
  <si>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</si>
  <si>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</si>
  <si>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</si>
  <si>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</si>
  <si>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</si>
  <si>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</si>
  <si>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</si>
  <si>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</si>
  <si>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</si>
  <si>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</si>
  <si>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</si>
  <si>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</si>
  <si>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</si>
  <si>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</si>
  <si>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</si>
  <si>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</si>
  <si>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</si>
  <si>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</si>
  <si>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</si>
  <si>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</si>
  <si>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</si>
  <si>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</si>
  <si>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</si>
  <si>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</si>
  <si>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</si>
  <si>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</si>
  <si>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</si>
  <si>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</si>
  <si>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</si>
  <si>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</si>
  <si>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</si>
  <si>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</si>
  <si>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</si>
  <si>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</si>
  <si>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</si>
  <si>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</si>
  <si>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</si>
  <si>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</si>
  <si>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</si>
  <si>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</si>
  <si>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</si>
  <si>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</si>
  <si>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</si>
  <si>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</si>
  <si>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</si>
  <si>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</si>
  <si>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</si>
  <si>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</si>
  <si>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</si>
  <si>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</si>
  <si>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</si>
  <si>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</si>
  <si>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</si>
  <si>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</si>
  <si>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</si>
  <si>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</si>
  <si>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</si>
  <si>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</si>
  <si>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</si>
  <si>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</si>
  <si>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</si>
  <si>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</si>
  <si>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</si>
  <si>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</si>
  <si>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</si>
  <si>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</si>
  <si>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</si>
  <si>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</si>
  <si>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</si>
  <si>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</si>
  <si>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</si>
  <si>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</si>
  <si>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</si>
  <si>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</si>
  <si>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</si>
  <si>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</si>
  <si>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</si>
  <si>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</si>
  <si>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</si>
  <si>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</si>
  <si>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</si>
  <si>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</si>
  <si>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</si>
  <si>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</si>
  <si>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</si>
  <si>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</si>
  <si>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</si>
  <si>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</si>
  <si>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</si>
  <si>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</si>
  <si>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</si>
  <si>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</si>
  <si>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</si>
  <si>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</si>
  <si>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</si>
  <si>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</si>
  <si>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</si>
  <si>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</si>
  <si>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</si>
  <si>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</si>
  <si>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</si>
  <si>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</si>
  <si>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</si>
  <si>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</si>
  <si>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</si>
  <si>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</si>
  <si>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</si>
  <si>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</si>
  <si>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</si>
  <si>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</si>
  <si>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</si>
  <si>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</si>
  <si>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</si>
  <si>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</si>
  <si>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</si>
  <si>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</si>
  <si>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</si>
  <si>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</si>
  <si>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</si>
  <si>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</si>
  <si>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</si>
  <si>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</si>
  <si>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</si>
  <si>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</si>
  <si>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</si>
  <si>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</si>
  <si>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</si>
  <si>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</si>
  <si>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</si>
  <si>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</si>
  <si>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</si>
  <si>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</si>
  <si>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</si>
  <si>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</si>
  <si>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</si>
  <si>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</si>
  <si>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</si>
  <si>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</si>
  <si>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</si>
  <si>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</si>
  <si>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</si>
  <si>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</si>
  <si>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</si>
  <si>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</si>
  <si>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</si>
  <si>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</si>
  <si>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</si>
  <si>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</si>
  <si>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</si>
  <si>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</si>
  <si>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</si>
  <si>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</si>
  <si>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</si>
  <si>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</si>
  <si>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</si>
  <si>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</si>
  <si>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</si>
  <si>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</si>
  <si>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</si>
  <si>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</si>
  <si>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</si>
  <si>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</si>
  <si>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</si>
  <si>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</si>
  <si>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</si>
  <si>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</si>
  <si>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</si>
  <si>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</si>
  <si>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</si>
  <si>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</si>
  <si>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</si>
  <si>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</si>
  <si>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</si>
  <si>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</si>
  <si>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</si>
  <si>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</si>
  <si>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</si>
  <si>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</si>
  <si>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</si>
  <si>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</si>
  <si>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</si>
  <si>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</si>
  <si>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</si>
  <si>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</si>
  <si>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</si>
  <si>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</si>
  <si>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</si>
  <si>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</si>
  <si>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</si>
  <si>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</si>
  <si>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</si>
  <si>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</si>
  <si>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</si>
  <si>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</si>
  <si>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</si>
  <si>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</si>
  <si>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</si>
  <si>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</si>
  <si>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</si>
  <si>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</si>
  <si>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</si>
  <si>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</si>
  <si>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</si>
  <si>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</si>
  <si>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</si>
  <si>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</si>
  <si>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</si>
  <si>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</si>
  <si>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</si>
  <si>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</si>
  <si>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</si>
  <si>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</si>
  <si>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</si>
  <si>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</si>
  <si>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</si>
  <si>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</si>
  <si>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</si>
  <si>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</si>
  <si>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</si>
  <si>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</si>
  <si>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</si>
  <si>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</si>
  <si>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</si>
  <si>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</si>
  <si>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</si>
  <si>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</si>
  <si>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</si>
  <si>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</si>
  <si>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</si>
  <si>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</si>
  <si>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</si>
  <si>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</si>
  <si>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</si>
  <si>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</si>
  <si>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</si>
  <si>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</si>
  <si>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</si>
  <si>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</si>
  <si>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</si>
  <si>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</si>
  <si>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</si>
  <si>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</si>
  <si>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</si>
  <si>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</si>
  <si>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</si>
  <si>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</si>
  <si>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</si>
  <si>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</si>
  <si>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</si>
  <si>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</si>
  <si>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</si>
  <si>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</si>
  <si>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</si>
  <si>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</si>
  <si>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</si>
  <si>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</si>
  <si>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</si>
  <si>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</si>
  <si>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</si>
  <si>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</si>
  <si>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</si>
  <si>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</si>
  <si>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</si>
  <si>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</si>
  <si>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</si>
  <si>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</si>
  <si>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</si>
  <si>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</si>
  <si>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</si>
  <si>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</si>
  <si>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</si>
  <si>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</si>
  <si>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</si>
  <si>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</si>
  <si>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</si>
  <si>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</si>
  <si>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</si>
  <si>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</si>
  <si>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</si>
  <si>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</si>
  <si>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</si>
  <si>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</si>
  <si>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</si>
  <si>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</si>
  <si>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</si>
  <si>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</si>
  <si>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</si>
  <si>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</si>
  <si>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</si>
  <si>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</si>
  <si>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</si>
  <si>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</si>
  <si>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</si>
  <si>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</si>
  <si>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</si>
  <si>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</si>
  <si>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</si>
  <si>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</si>
  <si>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</si>
  <si>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</si>
  <si>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</si>
  <si>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</si>
  <si>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</si>
  <si>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</si>
  <si>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</si>
  <si>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</si>
  <si>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</si>
  <si>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</si>
  <si>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</si>
  <si>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</si>
  <si>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</si>
  <si>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</si>
  <si>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</si>
  <si>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</si>
  <si>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</si>
  <si>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</si>
  <si>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</si>
  <si>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</si>
  <si>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</si>
  <si>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</si>
  <si>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</si>
  <si>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</si>
  <si>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</si>
  <si>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</si>
  <si>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</si>
  <si>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</si>
  <si>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</si>
  <si>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</si>
  <si>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</si>
  <si>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</si>
  <si>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</si>
  <si>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</si>
  <si>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</si>
  <si>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</si>
  <si>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</si>
  <si>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</si>
  <si>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</si>
  <si>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</si>
  <si>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</si>
  <si>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</si>
  <si>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</si>
  <si>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</si>
  <si>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</si>
  <si>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</si>
  <si>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</si>
  <si>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</si>
  <si>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</si>
  <si>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</si>
  <si>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</si>
  <si>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</si>
  <si>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</si>
  <si>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</si>
  <si>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</si>
  <si>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</si>
  <si>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</si>
  <si>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</si>
  <si>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</si>
  <si>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</si>
  <si>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</si>
  <si>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</si>
  <si>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</si>
  <si>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</si>
  <si>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</si>
  <si>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</si>
  <si>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</si>
  <si>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</si>
  <si>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</si>
  <si>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</si>
  <si>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</si>
  <si>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</si>
  <si>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</si>
  <si>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</si>
  <si>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</si>
  <si>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</si>
  <si>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</si>
  <si>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</si>
  <si>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</si>
  <si>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</si>
  <si>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</si>
  <si>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</si>
  <si>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</si>
  <si>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</si>
  <si>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</si>
  <si>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</si>
  <si>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</si>
  <si>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</si>
  <si>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</si>
  <si>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</si>
  <si>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</si>
  <si>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</si>
  <si>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</si>
  <si>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</si>
  <si>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</si>
  <si>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</si>
  <si>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</si>
  <si>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</si>
  <si>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</si>
  <si>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</si>
  <si>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</si>
  <si>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</si>
  <si>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</si>
  <si>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</si>
  <si>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</si>
  <si>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</si>
  <si>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</si>
  <si>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</si>
  <si>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</si>
  <si>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</si>
  <si>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</si>
  <si>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</si>
  <si>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</si>
  <si>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</si>
  <si>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</si>
  <si>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</si>
  <si>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</si>
  <si>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</si>
  <si>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</si>
  <si>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</si>
  <si>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</si>
  <si>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</si>
  <si>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</si>
  <si>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</si>
  <si>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</si>
  <si>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</si>
  <si>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</si>
  <si>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</si>
  <si>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</si>
  <si>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</si>
  <si>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</si>
  <si>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</si>
  <si>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</si>
  <si>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</si>
  <si>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</si>
  <si>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</si>
  <si>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</si>
  <si>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</si>
  <si>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</si>
  <si>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</si>
  <si>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</si>
  <si>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</si>
  <si>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</si>
  <si>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</si>
  <si>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</si>
  <si>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</si>
  <si>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</si>
  <si>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</si>
  <si>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</si>
  <si>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</si>
  <si>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</si>
  <si>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</si>
  <si>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</si>
  <si>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</si>
  <si>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</si>
  <si>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</si>
  <si>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</si>
  <si>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</si>
  <si>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</si>
  <si>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</si>
  <si>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</si>
  <si>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</si>
  <si>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</si>
  <si>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</si>
  <si>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</si>
  <si>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</si>
  <si>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</si>
  <si>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</si>
  <si>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</si>
  <si>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</si>
  <si>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</si>
  <si>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</si>
  <si>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</si>
  <si>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</si>
  <si>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</si>
  <si>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</si>
  <si>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</si>
  <si>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</si>
  <si>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</si>
  <si>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</si>
  <si>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</si>
  <si>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</si>
  <si>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</si>
  <si>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</si>
  <si>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</si>
  <si>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</si>
  <si>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</si>
  <si>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</si>
  <si>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</si>
  <si>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</si>
  <si>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</si>
  <si>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</si>
  <si>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</si>
  <si>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</si>
  <si>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</si>
  <si>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</si>
  <si>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</si>
  <si>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</si>
  <si>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</si>
  <si>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</si>
  <si>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</si>
  <si>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</si>
  <si>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</si>
  <si>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</si>
  <si>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</si>
  <si>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</si>
  <si>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</si>
  <si>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</si>
  <si>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</si>
  <si>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</si>
  <si>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</si>
  <si>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</si>
  <si>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</si>
  <si>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</si>
  <si>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</si>
  <si>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</si>
  <si>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</si>
  <si>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</si>
  <si>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</si>
  <si>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</si>
  <si>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</si>
  <si>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</si>
  <si>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</si>
  <si>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</si>
  <si>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</si>
  <si>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</si>
  <si>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</si>
  <si>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</si>
  <si>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</si>
  <si>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</si>
  <si>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</si>
  <si>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</si>
  <si>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</si>
  <si>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</si>
  <si>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</si>
  <si>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</si>
  <si>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</si>
  <si>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</si>
  <si>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</si>
  <si>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</si>
  <si>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</si>
  <si>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</si>
  <si>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</si>
  <si>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</si>
  <si>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</si>
  <si>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</si>
  <si>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</si>
  <si>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</si>
  <si>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</si>
  <si>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</si>
  <si>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</si>
  <si>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</si>
  <si>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</si>
  <si>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</si>
  <si>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</si>
  <si>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</si>
  <si>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</si>
  <si>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</si>
  <si>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</si>
  <si>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</si>
  <si>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</si>
  <si>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</si>
  <si>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</si>
  <si>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</si>
  <si>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</si>
  <si>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</si>
  <si>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</si>
  <si>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</si>
  <si>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</si>
  <si>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</si>
  <si>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</si>
  <si>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</si>
  <si>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</si>
  <si>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</si>
  <si>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</si>
  <si>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</si>
  <si>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</si>
  <si>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</si>
  <si>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</si>
  <si>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</si>
  <si>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</si>
  <si>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</si>
  <si>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</si>
  <si>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</si>
  <si>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</si>
  <si>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</si>
  <si>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</si>
  <si>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</si>
  <si>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</si>
  <si>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</si>
  <si>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</si>
  <si>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</si>
  <si>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</si>
  <si>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</si>
  <si>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</si>
  <si>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</si>
  <si>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</si>
  <si>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</si>
  <si>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</si>
  <si>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</si>
  <si>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</si>
  <si>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</si>
  <si>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</si>
  <si>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</si>
  <si>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</si>
  <si>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</si>
  <si>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</si>
  <si>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</si>
  <si>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</si>
  <si>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</si>
  <si>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</si>
  <si>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</si>
  <si>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</si>
  <si>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</si>
  <si>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</si>
  <si>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</si>
  <si>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</si>
  <si>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</si>
  <si>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</si>
  <si>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</si>
  <si>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</si>
  <si>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</si>
  <si>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</si>
  <si>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</si>
  <si>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</si>
  <si>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</si>
  <si>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</si>
  <si>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</si>
  <si>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</si>
  <si>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</si>
  <si>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</si>
  <si>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</si>
  <si>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</si>
  <si>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</si>
  <si>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</si>
  <si>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</si>
  <si>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</si>
  <si>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</si>
  <si>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</si>
  <si>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</si>
  <si>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</si>
  <si>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</si>
  <si>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</si>
  <si>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</si>
  <si>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</si>
  <si>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</si>
  <si>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</si>
  <si>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</si>
  <si>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</si>
  <si>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</si>
  <si>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</si>
  <si>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</si>
  <si>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</si>
  <si>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</si>
  <si>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</si>
  <si>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</si>
  <si>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</si>
  <si>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</si>
  <si>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</si>
  <si>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</si>
  <si>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</si>
  <si>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</si>
  <si>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</si>
  <si>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</si>
  <si>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</si>
  <si>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</si>
  <si>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</si>
  <si>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</si>
  <si>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</si>
  <si>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</si>
  <si>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</si>
  <si>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</si>
  <si>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</si>
  <si>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</si>
  <si>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</si>
  <si>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</si>
  <si>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</si>
  <si>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</si>
  <si>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</si>
  <si>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</si>
  <si>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</si>
  <si>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</si>
  <si>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</si>
  <si>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</si>
  <si>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</si>
  <si>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</si>
  <si>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</si>
  <si>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</si>
  <si>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</si>
  <si>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</si>
  <si>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</si>
  <si>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</si>
  <si>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</si>
  <si>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</si>
  <si>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</si>
  <si>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</si>
  <si>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</si>
  <si>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</si>
  <si>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</si>
  <si>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</si>
  <si>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</si>
  <si>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</si>
  <si>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</si>
  <si>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</si>
  <si>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</si>
  <si>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</si>
  <si>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</si>
  <si>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</si>
  <si>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</si>
  <si>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</si>
  <si>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</si>
  <si>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</si>
  <si>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</si>
  <si>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</si>
  <si>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</si>
  <si>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</si>
  <si>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</si>
  <si>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</si>
  <si>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</si>
  <si>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</si>
  <si>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</si>
  <si>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</si>
  <si>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</si>
  <si>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</si>
  <si>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</si>
  <si>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</si>
  <si>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</si>
  <si>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</si>
  <si>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</si>
  <si>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</si>
  <si>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</si>
  <si>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</si>
  <si>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</si>
  <si>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</si>
  <si>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</si>
  <si>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</si>
  <si>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</si>
  <si>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</si>
  <si>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</si>
  <si>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</si>
  <si>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</si>
  <si>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</si>
  <si>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</si>
  <si>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</si>
  <si>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</si>
  <si>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</si>
  <si>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</si>
  <si>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</si>
  <si>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</si>
  <si>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</si>
  <si>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</si>
  <si>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</si>
  <si>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</si>
  <si>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</si>
  <si>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</si>
  <si>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</si>
  <si>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</si>
  <si>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</si>
  <si>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</si>
  <si>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</si>
  <si>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</si>
  <si>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</si>
  <si>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</si>
  <si>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</si>
  <si>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</si>
  <si>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</si>
  <si>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</si>
  <si>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</si>
  <si>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</si>
  <si>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</si>
  <si>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</si>
  <si>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</si>
  <si>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</si>
  <si>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</si>
  <si>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</si>
  <si>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</si>
  <si>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</si>
  <si>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</si>
  <si>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</si>
  <si>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</si>
  <si>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</si>
  <si>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</si>
  <si>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</si>
  <si>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</si>
  <si>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</si>
  <si>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</si>
  <si>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</si>
  <si>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</si>
  <si>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</si>
  <si>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</si>
  <si>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</si>
  <si>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</si>
  <si>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</si>
  <si>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</si>
  <si>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</si>
  <si>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</si>
  <si>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</si>
  <si>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</si>
  <si>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</si>
  <si>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</si>
  <si>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</si>
  <si>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</si>
  <si>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</si>
  <si>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</si>
  <si>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</si>
  <si>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</si>
  <si>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</si>
  <si>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</si>
  <si>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</si>
  <si>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</si>
  <si>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</si>
  <si>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</si>
  <si>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</si>
  <si>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</si>
  <si>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</si>
  <si>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</si>
  <si>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</si>
  <si>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</si>
  <si>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</si>
  <si>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</si>
  <si>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</si>
  <si>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</si>
  <si>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</si>
  <si>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</si>
  <si>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</si>
  <si>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</si>
  <si>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</si>
  <si>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</si>
  <si>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</si>
  <si>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</si>
  <si>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</si>
  <si>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</si>
  <si>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</si>
  <si>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</si>
  <si>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</si>
  <si>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</si>
  <si>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</si>
  <si>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</si>
  <si>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</si>
  <si>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</si>
  <si>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</si>
  <si>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</si>
  <si>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</si>
  <si>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</si>
  <si>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</si>
  <si>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</si>
  <si>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</si>
  <si>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</si>
  <si>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</si>
  <si>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</si>
  <si>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</si>
  <si>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</si>
  <si>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</si>
  <si>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</si>
  <si>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</si>
  <si>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</si>
  <si>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</si>
  <si>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</si>
  <si>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</si>
  <si>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</si>
  <si>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</si>
  <si>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</si>
  <si>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</si>
  <si>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</si>
  <si>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</si>
  <si>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</si>
  <si>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</si>
  <si>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</si>
  <si>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</si>
  <si>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</si>
  <si>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</si>
  <si>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</si>
  <si>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</si>
  <si>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</si>
  <si>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</si>
  <si>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</si>
  <si>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</si>
  <si>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</si>
  <si>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</si>
  <si>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</si>
  <si>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</si>
  <si>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</si>
  <si>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</si>
  <si>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</si>
  <si>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</si>
  <si>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</si>
  <si>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</si>
  <si>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</si>
  <si>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</si>
  <si>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</si>
  <si>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</si>
  <si>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</si>
  <si>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</si>
  <si>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</si>
  <si>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</si>
  <si>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</si>
  <si>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</si>
  <si>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</si>
  <si>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</si>
  <si>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</si>
  <si>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</si>
  <si>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</si>
  <si>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</si>
  <si>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</si>
  <si>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</si>
  <si>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</si>
  <si>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</si>
  <si>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</si>
  <si>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</si>
  <si>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</si>
  <si>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</si>
  <si>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</si>
  <si>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</si>
  <si>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</si>
  <si>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</si>
  <si>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</si>
  <si>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</si>
  <si>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</si>
  <si>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</si>
  <si>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</si>
  <si>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</si>
  <si>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</si>
  <si>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</si>
  <si>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</si>
  <si>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</si>
  <si>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</si>
  <si>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</si>
  <si>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</si>
  <si>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</si>
  <si>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</si>
  <si>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</si>
  <si>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</si>
  <si>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</si>
  <si>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</si>
  <si>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</si>
  <si>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</si>
  <si>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</si>
  <si>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</si>
  <si>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</si>
  <si>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</si>
  <si>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</si>
  <si>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</si>
  <si>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</si>
  <si>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</si>
  <si>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</si>
  <si>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</si>
  <si>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</si>
  <si>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</si>
  <si>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</si>
  <si>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</si>
  <si>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</si>
  <si>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</si>
  <si>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</si>
  <si>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</si>
  <si>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</si>
  <si>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</si>
  <si>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</si>
  <si>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</si>
  <si>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</si>
  <si>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</si>
  <si>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</si>
  <si>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</si>
  <si>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</si>
  <si>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</si>
  <si>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</si>
  <si>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</si>
  <si>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</si>
  <si>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</si>
  <si>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</si>
  <si>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</si>
  <si>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</si>
  <si>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</si>
  <si>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</si>
  <si>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</si>
  <si>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</si>
  <si>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</si>
  <si>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</si>
  <si>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</si>
  <si>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</si>
  <si>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</si>
  <si>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</si>
  <si>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</si>
  <si>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</si>
  <si>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</si>
  <si>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</si>
  <si>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</si>
  <si>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</si>
  <si>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</si>
  <si>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</si>
  <si>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</si>
  <si>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</si>
  <si>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</si>
  <si>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</si>
  <si>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</si>
  <si>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</si>
  <si>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</si>
  <si>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</si>
  <si>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</si>
  <si>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</si>
  <si>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</si>
  <si>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</si>
  <si>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</si>
  <si>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</si>
  <si>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</si>
  <si>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</si>
  <si>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</si>
  <si>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</si>
  <si>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</si>
  <si>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</si>
  <si>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</si>
  <si>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</si>
  <si>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</si>
  <si>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</si>
  <si>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</si>
  <si>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</si>
  <si>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</si>
  <si>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</si>
  <si>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</si>
  <si>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</si>
  <si>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</si>
  <si>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</si>
  <si>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</si>
  <si>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</si>
  <si>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</si>
  <si>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</si>
  <si>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</si>
  <si>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</si>
  <si>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</si>
  <si>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</si>
  <si>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</si>
  <si>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</si>
  <si>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</si>
  <si>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</si>
  <si>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</si>
  <si>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</si>
  <si>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</si>
  <si>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</si>
  <si>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</si>
  <si>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</si>
  <si>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</si>
  <si>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</si>
  <si>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</si>
  <si>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</si>
  <si>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</si>
  <si>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</si>
  <si>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</si>
  <si>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</si>
  <si>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</si>
  <si>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</si>
  <si>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</si>
  <si>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</si>
  <si>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</si>
  <si>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</si>
  <si>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</si>
  <si>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</si>
  <si>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</si>
  <si>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</si>
  <si>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</si>
  <si>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</si>
  <si>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</si>
  <si>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</si>
  <si>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</si>
  <si>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</si>
  <si>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</si>
  <si>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</si>
  <si>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</si>
  <si>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</si>
  <si>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</si>
  <si>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</si>
  <si>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</si>
  <si>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</si>
  <si>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</si>
  <si>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</si>
  <si>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</si>
  <si>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</si>
  <si>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</si>
  <si>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</si>
  <si>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</si>
  <si>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</si>
  <si>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</si>
  <si>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</si>
  <si>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</si>
  <si>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</si>
  <si>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</si>
  <si>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</si>
  <si>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</si>
  <si>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</si>
  <si>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</si>
  <si>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</si>
  <si>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</si>
  <si>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</si>
  <si>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</si>
  <si>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</si>
  <si>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</si>
  <si>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</si>
  <si>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</si>
  <si>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</si>
  <si>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</si>
  <si>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</si>
  <si>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</si>
  <si>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</si>
  <si>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</si>
  <si>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</si>
  <si>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</si>
  <si>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</si>
  <si>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</si>
  <si>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</si>
  <si>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</si>
  <si>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</si>
  <si>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</si>
  <si>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</si>
  <si>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</si>
  <si>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</si>
  <si>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</si>
  <si>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</si>
  <si>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</si>
  <si>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</si>
  <si>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</si>
  <si>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</si>
  <si>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</si>
  <si>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</si>
  <si>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</si>
  <si>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</si>
  <si>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</si>
  <si>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</si>
  <si>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</si>
  <si>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</si>
  <si>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</si>
  <si>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</si>
  <si>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</si>
  <si>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</si>
  <si>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</si>
  <si>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</si>
  <si>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</si>
  <si>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</si>
  <si>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</si>
  <si>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</si>
  <si>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</si>
  <si>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</si>
  <si>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</si>
  <si>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</si>
  <si>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</si>
  <si>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</si>
  <si>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</si>
  <si>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</si>
  <si>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</si>
  <si>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</si>
  <si>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</si>
  <si>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</si>
  <si>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</si>
  <si>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</si>
  <si>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</si>
  <si>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</si>
  <si>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</si>
  <si>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</si>
  <si>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</si>
  <si>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</si>
  <si>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</si>
  <si>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</si>
  <si>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</si>
  <si>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</si>
  <si>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</si>
  <si>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</si>
  <si>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</si>
  <si>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</si>
  <si>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</si>
  <si>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</si>
  <si>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</si>
  <si>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</si>
  <si>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</si>
  <si>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</si>
  <si>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</si>
  <si>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</si>
  <si>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</si>
  <si>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</si>
  <si>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</si>
  <si>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</si>
  <si>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</si>
  <si>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</si>
  <si>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</si>
  <si>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</si>
  <si>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</si>
  <si>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</si>
  <si>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</si>
  <si>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</si>
  <si>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</si>
  <si>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</si>
  <si>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</si>
  <si>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</si>
  <si>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</si>
  <si>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</si>
  <si>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</si>
  <si>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</si>
  <si>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</si>
  <si>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</si>
  <si>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</si>
  <si>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</si>
  <si>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</si>
  <si>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</si>
  <si>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</si>
  <si>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</si>
  <si>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</si>
  <si>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</si>
  <si>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</si>
  <si>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</si>
  <si>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</si>
  <si>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</si>
  <si>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</si>
  <si>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</si>
  <si>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</si>
  <si>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</si>
  <si>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</si>
  <si>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</si>
  <si>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</si>
  <si>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</si>
  <si>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</si>
  <si>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</si>
  <si>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</si>
  <si>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</si>
  <si>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</si>
  <si>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</si>
  <si>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</si>
  <si>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</si>
  <si>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</si>
  <si>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</si>
  <si>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</si>
  <si>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</si>
  <si>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</si>
  <si>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</si>
  <si>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</si>
  <si>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</si>
  <si>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</si>
  <si>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</si>
  <si>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</si>
  <si>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</si>
  <si>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</si>
  <si>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</si>
  <si>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</si>
  <si>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</si>
  <si>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</si>
  <si>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</si>
  <si>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</si>
  <si>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</si>
  <si>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</si>
  <si>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</si>
  <si>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</si>
  <si>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</si>
  <si>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</si>
  <si>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</si>
  <si>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</si>
  <si>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</si>
  <si>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</si>
  <si>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</si>
  <si>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</si>
  <si>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</si>
  <si>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</si>
  <si>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</si>
  <si>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</si>
  <si>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</si>
  <si>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</si>
  <si>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</si>
  <si>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</si>
  <si>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</si>
  <si>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</si>
  <si>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</si>
  <si>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</si>
  <si>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</si>
  <si>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</si>
  <si>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</si>
  <si>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</si>
  <si>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</si>
  <si>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</si>
  <si>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</si>
  <si>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</si>
  <si>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</si>
  <si>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</si>
  <si>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</si>
  <si>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</si>
  <si>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</si>
  <si>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</si>
  <si>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</si>
  <si>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</si>
  <si>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</si>
  <si>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</si>
  <si>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</si>
  <si>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</si>
  <si>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</si>
  <si>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</si>
  <si>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</si>
  <si>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</si>
  <si>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</si>
  <si>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</si>
  <si>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</si>
  <si>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</si>
  <si>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</si>
  <si>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</si>
  <si>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</si>
  <si>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</si>
  <si>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</si>
  <si>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</si>
  <si>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</si>
  <si>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</si>
  <si>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</si>
  <si>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</si>
  <si>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</si>
  <si>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</si>
  <si>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</si>
  <si>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</si>
  <si>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</si>
  <si>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</si>
  <si>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</si>
  <si>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</si>
  <si>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</si>
  <si>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</si>
  <si>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</si>
  <si>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</si>
  <si>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</si>
  <si>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</si>
  <si>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</si>
  <si>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</si>
  <si>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</si>
  <si>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</si>
  <si>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</si>
  <si>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</si>
  <si>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</si>
  <si>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</si>
  <si>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</si>
  <si>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</si>
  <si>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</si>
  <si>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</si>
  <si>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</si>
  <si>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</si>
  <si>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</si>
  <si>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</si>
  <si>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</si>
  <si>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</si>
  <si>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是</t>
  </si>
  <si>
    <t>地上</t>
  </si>
  <si>
    <t>地下</t>
  </si>
  <si>
    <t>车库—办公</t>
  </si>
  <si>
    <t>抵押</t>
  </si>
  <si>
    <t>房地产抵押价值</t>
  </si>
  <si>
    <t>北京市</t>
  </si>
  <si>
    <t>企业</t>
  </si>
  <si>
    <t>出让</t>
  </si>
  <si>
    <t>办公</t>
    <phoneticPr fontId="7" type="noConversion"/>
  </si>
  <si>
    <t>商业</t>
    <phoneticPr fontId="7" type="noConversion"/>
  </si>
  <si>
    <t>车库</t>
  </si>
  <si>
    <t>车库</t>
    <phoneticPr fontId="7" type="noConversion"/>
  </si>
  <si>
    <t>利息：取LPR加浮动点数</t>
  </si>
  <si>
    <t>面积</t>
  </si>
  <si>
    <t>楼层系数</t>
  </si>
  <si>
    <t>租金</t>
  </si>
  <si>
    <t>面积占比</t>
  </si>
  <si>
    <t>负1</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</si>
  <si>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</si>
  <si>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</si>
  <si>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</si>
  <si>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</si>
  <si>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</si>
  <si>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</si>
  <si>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</si>
  <si>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</si>
  <si>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</si>
  <si>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</si>
  <si>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</si>
  <si>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</si>
  <si>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</si>
  <si>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</si>
  <si>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</si>
  <si>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</si>
  <si>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</si>
  <si>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</si>
  <si>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</si>
  <si>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</si>
  <si>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</si>
  <si>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</si>
  <si>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</si>
  <si>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</si>
  <si>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</si>
  <si>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</si>
  <si>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</si>
  <si>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已成交</t>
  </si>
  <si>
    <t xml:space="preserve"> 北京首旅城市副中心投资有限公司  </t>
  </si>
  <si>
    <t>2022-07-19 15:00</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</si>
  <si>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</si>
  <si>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</si>
  <si>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</si>
  <si>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</si>
  <si>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</si>
  <si>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</si>
  <si>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</si>
  <si>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2022-02-15 15:00</t>
  </si>
  <si>
    <t>北京城市副中心0101街区FZX-0101-0902地块F3其他类多功能用地</t>
    <phoneticPr fontId="140" type="noConversion"/>
  </si>
  <si>
    <t>京土整储挂(通)[2021]096号</t>
  </si>
  <si>
    <t xml:space="preserve"> 华夏银行股份有限公司  </t>
  </si>
  <si>
    <t>北京市通州区张家湾车辆段综合利用供地项目FZX-1202-0079-02(上盖区)、FZX-1202-0079-03(落地区)、FZX-1202-0079-04(落地区)地块F3其他类多功能用地</t>
    <phoneticPr fontId="140" type="noConversion"/>
  </si>
  <si>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</si>
  <si>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</si>
  <si>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</si>
  <si>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</si>
  <si>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</si>
  <si>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</si>
  <si>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</si>
  <si>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</si>
  <si>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</si>
  <si>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</si>
  <si>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</si>
  <si>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</si>
  <si>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</si>
  <si>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</si>
  <si>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</si>
  <si>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</si>
  <si>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</si>
  <si>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</si>
  <si>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</si>
  <si>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</si>
  <si>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</si>
  <si>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</si>
  <si>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</si>
  <si>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</si>
  <si>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</si>
  <si>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</si>
  <si>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phoneticPr fontId="140" type="noConversion"/>
  </si>
  <si>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</si>
  <si>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</si>
  <si>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</si>
  <si>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</si>
  <si>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</si>
  <si>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</si>
  <si>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</si>
  <si>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</si>
  <si>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</si>
  <si>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</si>
  <si>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</si>
  <si>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</si>
  <si>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</si>
  <si>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</si>
  <si>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</si>
  <si>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</si>
  <si>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</si>
  <si>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</si>
  <si>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</si>
  <si>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</si>
  <si>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</si>
  <si>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</si>
  <si>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</si>
  <si>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</si>
  <si>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</si>
  <si>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</si>
  <si>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</si>
  <si>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</si>
  <si>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</si>
  <si>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</si>
  <si>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</si>
  <si>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</si>
  <si>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</si>
  <si>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</si>
  <si>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</si>
  <si>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</si>
  <si>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</si>
  <si>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</si>
  <si>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</si>
  <si>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</si>
  <si>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</si>
  <si>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</si>
  <si>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</si>
  <si>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</si>
  <si>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phoneticPr fontId="140" type="noConversion"/>
  </si>
  <si>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</si>
  <si>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</si>
  <si>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</si>
  <si>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</si>
  <si>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</si>
  <si>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</si>
  <si>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</si>
  <si>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</si>
  <si>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</si>
  <si>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31" type="noConversion"/>
  </si>
  <si>
    <t>正常</t>
    <phoneticPr fontId="31" type="noConversion"/>
  </si>
  <si>
    <t>较好</t>
    <phoneticPr fontId="31" type="noConversion"/>
  </si>
  <si>
    <t>一般</t>
    <phoneticPr fontId="31" type="noConversion"/>
  </si>
  <si>
    <t>一般</t>
    <phoneticPr fontId="31" type="noConversion"/>
  </si>
  <si>
    <t>较好</t>
    <phoneticPr fontId="31" type="noConversion"/>
  </si>
  <si>
    <t>七通</t>
    <phoneticPr fontId="31" type="noConversion"/>
  </si>
  <si>
    <t>较规则</t>
    <phoneticPr fontId="31"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</si>
  <si>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</si>
  <si>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</si>
  <si>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</si>
  <si>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</si>
  <si>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</si>
  <si>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</si>
  <si>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</si>
  <si>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</si>
  <si>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</si>
  <si>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</si>
  <si>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</si>
  <si>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</si>
  <si>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</si>
  <si>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</si>
  <si>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假设开发法</t>
  </si>
  <si>
    <t>总价</t>
  </si>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</sst>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7" applyNumberFormat="1" applyFont="1"/>
    <xf numFmtId="14" fontId="111" fillId="0" borderId="0" xfId="17" applyNumberFormat="1" applyFont="1"/>
    <xf numFmtId="0" fontId="256" fillId="8" borderId="0" xfId="17" applyNumberFormat="1" applyFont="1" applyFill="1"/>
    <xf numFmtId="14" fontId="111" fillId="8" borderId="0" xfId="17" applyNumberFormat="1" applyFont="1" applyFill="1"/>
    <xf numFmtId="0" fontId="0" fillId="8" borderId="0" xfId="0" applyFill="1">
      <alignment vertical="center"/>
    </xf>
    <xf numFmtId="0" fontId="256" fillId="16" borderId="0" xfId="17" applyNumberFormat="1" applyFont="1" applyFill="1"/>
    <xf numFmtId="14" fontId="111" fillId="16" borderId="0" xfId="17" applyNumberFormat="1" applyFont="1" applyFill="1"/>
    <xf numFmtId="0" fontId="0" fillId="16" borderId="0" xfId="0" applyFill="1">
      <alignment vertical="center"/>
    </xf>
    <xf numFmtId="0" fontId="256" fillId="0" borderId="0" xfId="17" applyNumberFormat="1" applyFont="1" applyFill="1"/>
    <xf numFmtId="14" fontId="111" fillId="0" borderId="0" xfId="17" applyNumberFormat="1" applyFont="1" applyFill="1"/>
    <xf numFmtId="0" fontId="0" fillId="0"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22</xdr:col>
      <xdr:colOff>103432</xdr:colOff>
      <xdr:row>67</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52382" cy="7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52381"/>
        </a:xfrm>
        <a:prstGeom prst="rect">
          <a:avLst/>
        </a:prstGeom>
      </xdr:spPr>
    </xdr:pic>
    <xdr:clientData/>
  </xdr:twoCellAnchor>
  <xdr:twoCellAnchor editAs="oneCell">
    <xdr:from>
      <xdr:col>6</xdr:col>
      <xdr:colOff>0</xdr:colOff>
      <xdr:row>1</xdr:row>
      <xdr:rowOff>0</xdr:rowOff>
    </xdr:from>
    <xdr:to>
      <xdr:col>19</xdr:col>
      <xdr:colOff>541744</xdr:colOff>
      <xdr:row>49</xdr:row>
      <xdr:rowOff>113258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9457144" cy="8342858"/>
        </a:xfrm>
        <a:prstGeom prst="rect">
          <a:avLst/>
        </a:prstGeom>
      </xdr:spPr>
    </xdr:pic>
    <xdr:clientData/>
  </xdr:twoCellAnchor>
  <xdr:twoCellAnchor editAs="oneCell">
    <xdr:from>
      <xdr:col>0</xdr:col>
      <xdr:colOff>0</xdr:colOff>
      <xdr:row>52</xdr:row>
      <xdr:rowOff>0</xdr:rowOff>
    </xdr:from>
    <xdr:to>
      <xdr:col>13</xdr:col>
      <xdr:colOff>551267</xdr:colOff>
      <xdr:row>98</xdr:row>
      <xdr:rowOff>37110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466667" cy="7923810"/>
        </a:xfrm>
        <a:prstGeom prst="rect">
          <a:avLst/>
        </a:prstGeom>
      </xdr:spPr>
    </xdr:pic>
    <xdr:clientData/>
  </xdr:twoCellAnchor>
  <xdr:twoCellAnchor editAs="oneCell">
    <xdr:from>
      <xdr:col>0</xdr:col>
      <xdr:colOff>504825</xdr:colOff>
      <xdr:row>103</xdr:row>
      <xdr:rowOff>28575</xdr:rowOff>
    </xdr:from>
    <xdr:to>
      <xdr:col>6</xdr:col>
      <xdr:colOff>361454</xdr:colOff>
      <xdr:row>124</xdr:row>
      <xdr:rowOff>123363</xdr:rowOff>
    </xdr:to>
    <xdr:pic>
      <xdr:nvPicPr>
        <xdr:cNvPr id="5" name="图片 4"/>
        <xdr:cNvPicPr>
          <a:picLocks noChangeAspect="1"/>
        </xdr:cNvPicPr>
      </xdr:nvPicPr>
      <xdr:blipFill>
        <a:blip xmlns:r="http://schemas.openxmlformats.org/officeDocument/2006/relationships" r:embed="rId4"/>
        <a:stretch>
          <a:fillRect/>
        </a:stretch>
      </xdr:blipFill>
      <xdr:spPr>
        <a:xfrm>
          <a:off x="504825" y="17687925"/>
          <a:ext cx="3971429" cy="3695238"/>
        </a:xfrm>
        <a:prstGeom prst="rect">
          <a:avLst/>
        </a:prstGeom>
      </xdr:spPr>
    </xdr:pic>
    <xdr:clientData/>
  </xdr:twoCellAnchor>
  <xdr:twoCellAnchor editAs="oneCell">
    <xdr:from>
      <xdr:col>7</xdr:col>
      <xdr:colOff>0</xdr:colOff>
      <xdr:row>104</xdr:row>
      <xdr:rowOff>0</xdr:rowOff>
    </xdr:from>
    <xdr:to>
      <xdr:col>12</xdr:col>
      <xdr:colOff>504334</xdr:colOff>
      <xdr:row>140</xdr:row>
      <xdr:rowOff>103991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7830800"/>
          <a:ext cx="3933334" cy="6276191"/>
        </a:xfrm>
        <a:prstGeom prst="rect">
          <a:avLst/>
        </a:prstGeom>
      </xdr:spPr>
    </xdr:pic>
    <xdr:clientData/>
  </xdr:twoCellAnchor>
  <xdr:twoCellAnchor editAs="oneCell">
    <xdr:from>
      <xdr:col>13</xdr:col>
      <xdr:colOff>0</xdr:colOff>
      <xdr:row>104</xdr:row>
      <xdr:rowOff>0</xdr:rowOff>
    </xdr:from>
    <xdr:to>
      <xdr:col>18</xdr:col>
      <xdr:colOff>542429</xdr:colOff>
      <xdr:row>141</xdr:row>
      <xdr:rowOff>170636</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7830800"/>
          <a:ext cx="3971429"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估价对象为北京市房地产，为所有。根据《国有土地使用证》[]，估价对象（分摊）出让国有建设用地使用权面积为15644.81平方米，建筑面积为95896.06平方米。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估价对象为北京市房地产,属开发建设的，该项目尚在开发建设中。根据《国有土地使用证》[]，估价对象（分摊）出让国有建设用地使用权面积为15644.81平方米，规划建筑面积为95896.06平方米。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2022年10月31日</v>
      </c>
    </row>
    <row r="13" spans="1:2" s="1317" customFormat="1">
      <c r="A13" s="1315" t="s">
        <v>954</v>
      </c>
      <c r="B13" s="1316" t="str">
        <f>'预评函-1'!A18</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131447</v>
      </c>
    </row>
    <row r="21" spans="1:2" s="1317" customFormat="1">
      <c r="A21" s="1315" t="s">
        <v>962</v>
      </c>
      <c r="B21" s="1316">
        <f ca="1">'预评函-2'!D7</f>
        <v>13707</v>
      </c>
    </row>
    <row r="22" spans="1:2" s="1317" customFormat="1">
      <c r="A22" s="1315" t="s">
        <v>963</v>
      </c>
      <c r="B22" s="1316" t="str">
        <f ca="1">'预评函-2'!D6</f>
        <v>壹拾叁亿壹仟肆佰肆拾柒万元整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131447</v>
      </c>
    </row>
    <row r="31" spans="1:2" s="1317" customFormat="1">
      <c r="A31" s="1315" t="s">
        <v>1001</v>
      </c>
      <c r="B31" s="1316">
        <f ca="1">'预评函-2'!D15</f>
        <v>13707</v>
      </c>
    </row>
    <row r="32" spans="1:2" s="1317" customFormat="1">
      <c r="A32" s="1315" t="s">
        <v>968</v>
      </c>
      <c r="B32" s="1316" t="str">
        <f ca="1">'预评函-2'!D14</f>
        <v>壹拾叁亿壹仟肆佰肆拾柒万元整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95896.06</v>
      </c>
    </row>
    <row r="44" spans="1:2" s="1317" customFormat="1">
      <c r="A44" s="1315" t="s">
        <v>1000</v>
      </c>
      <c r="B44" s="1316" t="str">
        <f>'预评函-3'!C2</f>
        <v>(分摊)土地面积</v>
      </c>
    </row>
    <row r="45" spans="1:2" s="1317" customFormat="1">
      <c r="A45" s="1315" t="s">
        <v>972</v>
      </c>
      <c r="B45" s="1316">
        <f>'预评函-3'!C4</f>
        <v>15644.81</v>
      </c>
    </row>
    <row r="46" spans="1:2" s="1317" customFormat="1">
      <c r="A46" s="1315" t="s">
        <v>998</v>
      </c>
      <c r="B46" s="1316" t="str">
        <f>'预评函-3'!D2</f>
        <v>出让国有建设用地使用权价值</v>
      </c>
    </row>
    <row r="47" spans="1:2" s="1317" customFormat="1">
      <c r="A47" s="1315" t="s">
        <v>973</v>
      </c>
      <c r="B47" s="1316">
        <f ca="1">'预评函-3'!D4</f>
        <v>106866</v>
      </c>
    </row>
    <row r="48" spans="1:2" s="1317" customFormat="1">
      <c r="A48" s="1315" t="s">
        <v>974</v>
      </c>
      <c r="B48" s="1316">
        <f ca="1">'预评函-3'!E4</f>
        <v>11144</v>
      </c>
    </row>
    <row r="49" spans="1:2" s="1317" customFormat="1">
      <c r="A49" s="1315" t="s">
        <v>975</v>
      </c>
      <c r="B49" s="1316" t="str">
        <f ca="1">'预评函-3'!D5</f>
        <v>壹拾亿陆仟捌佰陆拾陆万元整</v>
      </c>
    </row>
    <row r="50" spans="1:2" s="1317" customFormat="1">
      <c r="A50" s="1315" t="s">
        <v>999</v>
      </c>
      <c r="B50" s="1316" t="str">
        <f>'预评函-3'!F2</f>
        <v>在建建筑物价值</v>
      </c>
    </row>
    <row r="51" spans="1:2" s="1317" customFormat="1">
      <c r="A51" s="1315" t="s">
        <v>976</v>
      </c>
      <c r="B51" s="1316">
        <f ca="1">'预评函-3'!F4</f>
        <v>24581</v>
      </c>
    </row>
    <row r="52" spans="1:2" s="1317" customFormat="1">
      <c r="A52" s="1315" t="s">
        <v>977</v>
      </c>
      <c r="B52" s="1316">
        <f ca="1">'预评函-3'!G4</f>
        <v>2563</v>
      </c>
    </row>
    <row r="53" spans="1:2" s="1317" customFormat="1">
      <c r="A53" s="1315" t="s">
        <v>1005</v>
      </c>
      <c r="B53" s="1316" t="str">
        <f ca="1">'预评函-3'!F5</f>
        <v>贰亿肆仟伍佰捌拾壹万元整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3328</v>
      </c>
      <c r="C19" s="1682"/>
    </row>
    <row r="20" spans="1:3">
      <c r="A20" s="1681" t="s">
        <v>1493</v>
      </c>
      <c r="B20" s="1681" t="s">
        <v>3330</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c r="C3" s="2546" t="s">
        <v>2669</v>
      </c>
      <c r="D3" s="2545">
        <v>44865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3176</v>
      </c>
      <c r="C8" s="2562"/>
      <c r="D8" s="3319" t="s">
        <v>2675</v>
      </c>
      <c r="E8" s="2563" t="s">
        <v>3177</v>
      </c>
      <c r="F8" s="2564"/>
      <c r="G8" s="2838"/>
      <c r="H8" s="2838"/>
      <c r="I8" s="2838"/>
      <c r="J8" s="2613"/>
      <c r="K8" s="2788"/>
      <c r="L8" s="2787"/>
      <c r="M8" s="2787"/>
      <c r="N8" s="2613"/>
      <c r="O8" s="2624"/>
      <c r="P8" s="2613"/>
      <c r="Q8" s="2613"/>
      <c r="R8" s="2613"/>
    </row>
    <row r="9" spans="1:28" ht="13.5" thickBot="1">
      <c r="A9" s="2565" t="s">
        <v>2676</v>
      </c>
      <c r="B9" s="2566" t="s">
        <v>3177</v>
      </c>
      <c r="C9" s="2567"/>
      <c r="D9" s="3320"/>
      <c r="E9" s="2566"/>
      <c r="F9" s="2568"/>
      <c r="G9" s="2840"/>
      <c r="H9" s="2840"/>
      <c r="I9" s="2840"/>
      <c r="J9" s="2613"/>
      <c r="K9" s="2790"/>
      <c r="L9" s="2787"/>
      <c r="M9" s="2787"/>
      <c r="N9" s="2613"/>
      <c r="O9" s="2624"/>
      <c r="P9" s="2613"/>
      <c r="Q9" s="2613"/>
      <c r="R9" s="2613"/>
    </row>
    <row r="10" spans="1:28" ht="13.5" thickTop="1">
      <c r="A10" s="2569" t="s">
        <v>2677</v>
      </c>
      <c r="B10" s="2570" t="s">
        <v>3178</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3179</v>
      </c>
      <c r="C11" s="2575"/>
      <c r="D11" s="2576"/>
      <c r="E11" s="2542"/>
      <c r="F11" s="2542"/>
      <c r="G11" s="2542"/>
      <c r="H11" s="2542"/>
      <c r="I11" s="2542"/>
      <c r="J11" s="2613"/>
      <c r="K11" s="2790"/>
      <c r="L11" s="2787"/>
      <c r="M11" s="2787"/>
      <c r="N11" s="2613"/>
      <c r="O11" s="2624"/>
      <c r="P11" s="2613"/>
      <c r="Q11" s="2613"/>
      <c r="R11" s="2613"/>
    </row>
    <row r="12" spans="1:28">
      <c r="A12" s="2577" t="s">
        <v>2680</v>
      </c>
      <c r="B12" s="2574" t="s">
        <v>3180</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4"/>
      <c r="B13" s="2579"/>
      <c r="C13" s="2580" t="s">
        <v>2688</v>
      </c>
      <c r="D13" s="946"/>
      <c r="E13" s="946">
        <v>56018</v>
      </c>
      <c r="F13" s="946">
        <v>59670</v>
      </c>
      <c r="G13" s="946">
        <v>59670</v>
      </c>
      <c r="H13" s="946"/>
      <c r="I13" s="946"/>
      <c r="J13" s="2613"/>
      <c r="K13" s="2790"/>
      <c r="L13" s="2787"/>
      <c r="M13" s="2787"/>
      <c r="N13" s="2613"/>
      <c r="O13" s="2624"/>
      <c r="P13" s="2613"/>
      <c r="Q13" s="2613"/>
      <c r="R13" s="2613"/>
    </row>
    <row r="14" spans="1:28">
      <c r="A14" s="1194"/>
      <c r="B14" s="2579"/>
      <c r="C14" s="2580" t="s">
        <v>2689</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2690</v>
      </c>
      <c r="D15" s="2584" t="str">
        <f>IF(B12="出让",IF(D13="","",ROUNDDOWN(MIN((D13-$D$3)/365,D14),2)),D14)</f>
        <v/>
      </c>
      <c r="E15" s="2584">
        <f>IF(B12="出让",IF(E13="","",ROUNDDOWN(MIN((E13-$D$3)/365,E14),2)),E14)</f>
        <v>30.55</v>
      </c>
      <c r="F15" s="2584">
        <f>IF(B12="出让",IF(F13="","",ROUNDDOWN(MIN((F13-$D$3)/365,F14),2)),F14)</f>
        <v>40.56</v>
      </c>
      <c r="G15" s="2584">
        <f>IF(B12="出让",IF(G13="","",ROUNDDOWN(MIN((G13-$D$3)/365,G14),2)),G14)</f>
        <v>40.56</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326"/>
      <c r="C16" s="3327"/>
      <c r="D16" s="3328"/>
      <c r="E16" s="2587" t="s">
        <v>2692</v>
      </c>
      <c r="F16" s="3329"/>
      <c r="G16" s="3330"/>
      <c r="H16" s="3330"/>
      <c r="I16" s="3331"/>
      <c r="J16" s="2613"/>
      <c r="K16" s="2792"/>
      <c r="L16" s="2625"/>
      <c r="M16" s="2625"/>
      <c r="N16" s="2683"/>
      <c r="O16" s="2625"/>
      <c r="P16" s="2683"/>
      <c r="Q16" s="2613"/>
      <c r="R16" s="2613"/>
    </row>
    <row r="17" spans="1:28">
      <c r="A17" s="319" t="s">
        <v>2693</v>
      </c>
      <c r="B17" s="308" t="s">
        <v>2694</v>
      </c>
      <c r="C17" s="11">
        <f>'数据-汇总表'!E3</f>
        <v>95896.06</v>
      </c>
      <c r="D17" s="2494" t="s">
        <v>2695</v>
      </c>
      <c r="E17" s="3332" t="s">
        <v>2696</v>
      </c>
      <c r="F17" s="3333"/>
      <c r="G17" s="3333"/>
      <c r="H17" s="3333"/>
      <c r="I17" s="3334"/>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15644.81</v>
      </c>
      <c r="D18" s="1205" t="s">
        <v>2699</v>
      </c>
      <c r="E18" s="3335" t="s">
        <v>2700</v>
      </c>
      <c r="F18" s="3336"/>
      <c r="G18" s="3336"/>
      <c r="H18" s="3336"/>
      <c r="I18" s="3337"/>
      <c r="J18" s="2613"/>
      <c r="K18" s="2793"/>
      <c r="L18" s="2625"/>
      <c r="M18" s="2625"/>
      <c r="N18" s="2683"/>
      <c r="O18" s="2625"/>
      <c r="P18" s="2683"/>
      <c r="Q18" s="2613"/>
      <c r="R18" s="2613"/>
      <c r="S18" s="2613"/>
      <c r="T18" s="2613"/>
      <c r="U18" s="2613"/>
      <c r="V18" s="2613"/>
    </row>
    <row r="19" spans="1:28" ht="37.5" thickTop="1" thickBot="1">
      <c r="A19" s="333" t="s">
        <v>1500</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22" t="s">
        <v>2704</v>
      </c>
      <c r="C20" s="3323"/>
      <c r="D20" s="3324" t="s">
        <v>2705</v>
      </c>
      <c r="E20" s="3325"/>
      <c r="F20" s="2822" t="s">
        <v>1501</v>
      </c>
      <c r="G20" s="2839"/>
      <c r="H20" s="2839"/>
      <c r="I20" s="2839"/>
      <c r="J20" s="2613"/>
      <c r="K20" s="3321"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3" t="s">
        <v>2708</v>
      </c>
      <c r="E21" s="2810" t="s">
        <v>1502</v>
      </c>
      <c r="F21" s="2823"/>
      <c r="G21" s="2839"/>
      <c r="H21" s="2839"/>
      <c r="I21" s="2839"/>
      <c r="J21" s="2613"/>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9"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9"/>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9"/>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0"/>
      <c r="B30" s="308" t="s">
        <v>2716</v>
      </c>
      <c r="C30" s="3311"/>
      <c r="D30" s="3312"/>
      <c r="E30" s="2839"/>
      <c r="F30" s="2839"/>
      <c r="G30" s="2839"/>
      <c r="H30" s="2839"/>
      <c r="I30" s="2839"/>
      <c r="J30" s="2613"/>
      <c r="K30" s="2790"/>
      <c r="L30" s="2787"/>
      <c r="M30" s="2787"/>
      <c r="N30" s="2613"/>
      <c r="O30" s="2624"/>
      <c r="P30" s="2613"/>
      <c r="Q30" s="2613"/>
      <c r="R30" s="2613"/>
      <c r="S30" s="2613"/>
      <c r="T30" s="2613"/>
      <c r="U30" s="2613"/>
      <c r="V30" s="2613"/>
    </row>
    <row r="31" spans="1:28">
      <c r="A31" s="3313" t="s">
        <v>2717</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14"/>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14"/>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08" t="s">
        <v>2726</v>
      </c>
      <c r="T34" s="2602" t="str">
        <f>NUMBERSTRING(7-K34,1)&amp;"通"</f>
        <v>七通</v>
      </c>
      <c r="U34" s="2613"/>
      <c r="V34" s="2613"/>
    </row>
    <row r="35" spans="1:30">
      <c r="A35" s="2603"/>
      <c r="B35" s="3315" t="s">
        <v>2727</v>
      </c>
      <c r="C35" s="3315"/>
      <c r="D35" s="3315"/>
      <c r="E35" s="3315"/>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8"/>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137</v>
      </c>
      <c r="C37" s="2605" t="s">
        <v>137</v>
      </c>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16160</v>
      </c>
      <c r="B3" s="14">
        <f>IF(C3="否",G5-AT5,G5)</f>
        <v>99053.95</v>
      </c>
      <c r="C3" s="1715" t="s">
        <v>3172</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480"/>
      <c r="AV5" s="15" t="s">
        <v>1515</v>
      </c>
      <c r="AW5" s="1481"/>
      <c r="AX5" s="148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24" customFormat="1" ht="12.75">
      <c r="A6" s="15" t="s">
        <v>1516</v>
      </c>
      <c r="B6" s="1721"/>
      <c r="C6" s="1721"/>
      <c r="D6" s="172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23"/>
      <c r="AV6" s="15" t="s">
        <v>1516</v>
      </c>
      <c r="AW6" s="1721"/>
      <c r="AX6" s="172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3173</v>
      </c>
      <c r="J9" s="899"/>
      <c r="K9" s="1738" t="s">
        <v>3173</v>
      </c>
      <c r="L9" s="899"/>
      <c r="M9" s="1738" t="s">
        <v>3174</v>
      </c>
      <c r="N9" s="899"/>
      <c r="O9" s="1738" t="s">
        <v>3174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27</v>
      </c>
      <c r="J10" s="899"/>
      <c r="K10" s="1744" t="s">
        <v>1102</v>
      </c>
      <c r="L10" s="899"/>
      <c r="M10" s="1744" t="s">
        <v>1102</v>
      </c>
      <c r="N10" s="899"/>
      <c r="O10" s="1744" t="s">
        <v>3175</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办公</v>
      </c>
      <c r="BC11" s="1734" t="str">
        <f>K10</f>
        <v>商业</v>
      </c>
      <c r="BD11" s="1734" t="str">
        <f>M10</f>
        <v>商业</v>
      </c>
      <c r="BE11" s="1734" t="str">
        <f>O10</f>
        <v>车库—办公</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3172</v>
      </c>
      <c r="E13" s="16">
        <f>IF($C$3="是",ROUND($A$3*G13/$B$3,2),ROUND($A$3*(G13-AT13)/$B$3,2))</f>
        <v>16160</v>
      </c>
      <c r="F13" s="32"/>
      <c r="G13" s="33">
        <f>H13+AC13+AT13</f>
        <v>99053.95</v>
      </c>
      <c r="H13" s="20">
        <f>SUMIF(I$12:AB$12,"总值",I13:AB13)</f>
        <v>86430.56</v>
      </c>
      <c r="I13" s="1761">
        <v>28977.16</v>
      </c>
      <c r="J13" s="1761"/>
      <c r="K13" s="1761">
        <v>25665.52</v>
      </c>
      <c r="L13" s="1761"/>
      <c r="M13" s="1761">
        <v>13156.32</v>
      </c>
      <c r="N13" s="1761"/>
      <c r="O13" s="1761">
        <v>18631.560000000001</v>
      </c>
      <c r="P13" s="1761"/>
      <c r="Q13" s="1761"/>
      <c r="R13" s="1761"/>
      <c r="S13" s="1761"/>
      <c r="T13" s="1761"/>
      <c r="U13" s="1761"/>
      <c r="V13" s="1761"/>
      <c r="W13" s="1761"/>
      <c r="X13" s="1761"/>
      <c r="Y13" s="1761"/>
      <c r="Z13" s="1761"/>
      <c r="AA13" s="1761"/>
      <c r="AB13" s="1761"/>
      <c r="AC13" s="16">
        <f>SUMIF(AD$12:AS$12,"总值",AD13:AS13)</f>
        <v>9465.5</v>
      </c>
      <c r="AD13" s="1762"/>
      <c r="AE13" s="1762"/>
      <c r="AF13" s="1762"/>
      <c r="AG13" s="1762"/>
      <c r="AH13" s="1762"/>
      <c r="AI13" s="1762"/>
      <c r="AJ13" s="1762"/>
      <c r="AK13" s="1762"/>
      <c r="AL13" s="1762">
        <v>1966.19</v>
      </c>
      <c r="AM13" s="1762"/>
      <c r="AN13" s="1762">
        <v>7499.31</v>
      </c>
      <c r="AO13" s="1762"/>
      <c r="AP13" s="1762"/>
      <c r="AQ13" s="1762"/>
      <c r="AR13" s="1762"/>
      <c r="AS13" s="1762"/>
      <c r="AT13" s="1763">
        <v>3157.89</v>
      </c>
      <c r="AU13" s="1764"/>
      <c r="AV13" s="11">
        <f t="shared" ref="AV13:AX17" si="6">A13</f>
        <v>0</v>
      </c>
      <c r="AW13" s="11">
        <f t="shared" si="6"/>
        <v>0</v>
      </c>
      <c r="AX13" s="11">
        <f t="shared" si="6"/>
        <v>0</v>
      </c>
      <c r="AY13" s="1483">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E40" sqref="E4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49" t="s">
        <v>1575</v>
      </c>
      <c r="B2" s="3349"/>
      <c r="C2" s="3349"/>
      <c r="D2" s="885" t="s">
        <v>1551</v>
      </c>
      <c r="E2" s="1774" t="s">
        <v>1552</v>
      </c>
      <c r="F2" s="2834"/>
      <c r="G2" s="2825"/>
      <c r="H2" s="2826"/>
      <c r="I2" s="2497" t="s">
        <v>1576</v>
      </c>
      <c r="J2" s="2834"/>
      <c r="K2" s="2834"/>
      <c r="L2" s="2834"/>
      <c r="M2" s="2834"/>
      <c r="N2" s="2836"/>
      <c r="O2" s="2834"/>
      <c r="P2" s="2834"/>
    </row>
    <row r="3" spans="1:16" ht="15.75" thickBot="1">
      <c r="A3" s="3350" t="s">
        <v>1549</v>
      </c>
      <c r="B3" s="3350"/>
      <c r="C3" s="3350"/>
      <c r="D3" s="46">
        <f>'数据-基础表'!AY6</f>
        <v>15644.81</v>
      </c>
      <c r="E3" s="46">
        <f>'数据-基础表'!AZ5</f>
        <v>95896.06</v>
      </c>
      <c r="F3" s="2834"/>
      <c r="G3" s="1260"/>
      <c r="H3" s="1138" t="s">
        <v>1550</v>
      </c>
      <c r="I3" s="945">
        <f>ROUND('数据-基础表'!B3/'数据-基础表'!A3,2)</f>
        <v>6.13</v>
      </c>
      <c r="J3" s="2834"/>
      <c r="K3" s="2834"/>
      <c r="L3" s="2834"/>
      <c r="M3" s="2834"/>
      <c r="N3" s="2836"/>
      <c r="O3" s="2834"/>
      <c r="P3" s="2834"/>
    </row>
    <row r="4" spans="1:16" ht="15">
      <c r="A4" s="3351"/>
      <c r="B4" s="3352"/>
      <c r="C4" s="3353"/>
      <c r="D4" s="1776" t="s">
        <v>1551</v>
      </c>
      <c r="E4" s="1777" t="s">
        <v>1552</v>
      </c>
      <c r="F4" s="2834"/>
      <c r="G4" s="2827" t="s">
        <v>1577</v>
      </c>
      <c r="H4" s="1138" t="s">
        <v>1557</v>
      </c>
      <c r="I4" s="945">
        <f>ROUND(SUMIF('数据-基础表'!I9:AS9,"地上",'数据-基础表'!I5:AS5)/'数据-基础表'!A3,2)</f>
        <v>3.5</v>
      </c>
      <c r="J4" s="2834"/>
      <c r="K4" s="2834"/>
      <c r="L4" s="2834"/>
      <c r="M4" s="2834"/>
      <c r="N4" s="2836"/>
      <c r="O4" s="2834"/>
      <c r="P4" s="2834"/>
    </row>
    <row r="5" spans="1:16">
      <c r="A5" s="47" t="s">
        <v>1553</v>
      </c>
      <c r="B5" s="3354" t="s">
        <v>1554</v>
      </c>
      <c r="C5" s="3354"/>
      <c r="D5" s="48">
        <f>ROUND($D$3*E5/$E$3,2)</f>
        <v>0</v>
      </c>
      <c r="E5" s="49">
        <f>SUMIF('数据-基础表'!$11:$11,"住宅",'数据-基础表'!$5:$5)</f>
        <v>0</v>
      </c>
      <c r="F5" s="2834"/>
      <c r="G5" s="1260"/>
      <c r="H5" s="1138" t="s">
        <v>1550</v>
      </c>
      <c r="I5" s="945">
        <f>ROUND(E31/D31,2)</f>
        <v>6.13</v>
      </c>
      <c r="J5" s="2834"/>
      <c r="K5" s="2834"/>
      <c r="L5" s="2834"/>
      <c r="M5" s="2834"/>
      <c r="N5" s="2834"/>
      <c r="O5" s="2834"/>
      <c r="P5" s="2834"/>
    </row>
    <row r="6" spans="1:16" ht="15" thickBot="1">
      <c r="A6" s="1779"/>
      <c r="B6" s="3354" t="s">
        <v>1555</v>
      </c>
      <c r="C6" s="3354"/>
      <c r="D6" s="48">
        <f>ROUND($D$3*E6/$E$3,2)</f>
        <v>15644.81</v>
      </c>
      <c r="E6" s="49">
        <f>E3-E5</f>
        <v>95896.06</v>
      </c>
      <c r="F6" s="2834"/>
      <c r="G6" s="2828" t="s">
        <v>1556</v>
      </c>
      <c r="H6" s="1261" t="s">
        <v>1557</v>
      </c>
      <c r="I6" s="2829">
        <f>ROUND(F31/D31,2)</f>
        <v>3.62</v>
      </c>
      <c r="J6" s="2834"/>
      <c r="K6" s="2834"/>
      <c r="L6" s="2834"/>
      <c r="M6" s="2834"/>
      <c r="N6" s="2834"/>
      <c r="O6" s="2834"/>
      <c r="P6" s="2834"/>
    </row>
    <row r="7" spans="1:16" ht="15.75" thickBot="1">
      <c r="A7" s="3346"/>
      <c r="B7" s="3347"/>
      <c r="C7" s="3348"/>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8914.59</v>
      </c>
      <c r="E8" s="51">
        <f>SUMIF('数据-基础表'!BB10:BK10,"地上",'数据-基础表'!BB5:BK5)</f>
        <v>54642.68</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2146.37</v>
      </c>
      <c r="E10" s="51">
        <f>SUMPRODUCT(('数据-基础表'!BB10:BK10="地下")*('数据-基础表'!BB11:BK11="商业")*('数据-基础表'!BB5:BK5))</f>
        <v>13156.32</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3039.62</v>
      </c>
      <c r="E15" s="51">
        <f>SUMPRODUCT(('数据-基础表'!BB10:BK10="地下")*('数据-基础表'!BB11:BK11="车库—办公")*('数据-基础表'!BB5:BK5))</f>
        <v>18631.560000000001</v>
      </c>
      <c r="F15" s="2834"/>
      <c r="G15" s="2835"/>
      <c r="H15" s="2835"/>
      <c r="I15" s="2834"/>
      <c r="J15" s="2834"/>
      <c r="K15" s="2834"/>
      <c r="L15" s="2834"/>
      <c r="M15" s="2834"/>
      <c r="N15" s="2834"/>
      <c r="O15" s="2834"/>
      <c r="P15" s="2834"/>
    </row>
    <row r="16" spans="1:16" ht="15.75" thickBot="1">
      <c r="A16" s="1779"/>
      <c r="B16" s="1782"/>
      <c r="C16" s="50" t="s">
        <v>1567</v>
      </c>
      <c r="D16" s="50">
        <f>SUM(D8:D15)</f>
        <v>14100.579999999998</v>
      </c>
      <c r="E16" s="53">
        <f>SUM(E8:E15)</f>
        <v>86430.56</v>
      </c>
      <c r="F16" s="2834"/>
      <c r="G16" s="2835"/>
      <c r="H16" s="1783" t="s">
        <v>1579</v>
      </c>
      <c r="I16" s="1784"/>
      <c r="J16" s="1254"/>
      <c r="K16" s="3343" t="s">
        <v>1579</v>
      </c>
      <c r="L16" s="3344"/>
      <c r="M16" s="3344"/>
      <c r="N16" s="3344"/>
      <c r="O16" s="3344"/>
      <c r="P16" s="3345"/>
    </row>
    <row r="17" spans="1:19" ht="15">
      <c r="A17" s="1785" t="s">
        <v>1580</v>
      </c>
      <c r="B17" s="1786" t="s">
        <v>1581</v>
      </c>
      <c r="C17" s="1787" t="s">
        <v>1582</v>
      </c>
      <c r="D17" s="1788" t="s">
        <v>1570</v>
      </c>
      <c r="E17" s="1789" t="s">
        <v>1571</v>
      </c>
      <c r="F17" s="1790"/>
      <c r="G17" s="1791"/>
      <c r="H17" s="1792" t="s">
        <v>1583</v>
      </c>
      <c r="I17" s="1793" t="s">
        <v>1568</v>
      </c>
      <c r="J17" s="1254"/>
      <c r="K17" s="3340" t="s">
        <v>1584</v>
      </c>
      <c r="L17" s="3341"/>
      <c r="M17" s="3342"/>
      <c r="N17" s="3340" t="s">
        <v>1585</v>
      </c>
      <c r="O17" s="3341"/>
      <c r="P17" s="334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0" t="s">
        <v>3181</v>
      </c>
      <c r="D19" s="48">
        <f>ROUND($D$3*E19/$E$3,2)</f>
        <v>4727.43</v>
      </c>
      <c r="E19" s="56">
        <f t="shared" ref="E19:E26" si="1">SUM(F19:G19)</f>
        <v>28977.16</v>
      </c>
      <c r="F19" s="2974">
        <f>'数据-基础表'!I13</f>
        <v>28977.16</v>
      </c>
      <c r="G19" s="2975"/>
      <c r="H19" s="679">
        <f>ROUND($D$3*I19/$E$3,2)</f>
        <v>517.73</v>
      </c>
      <c r="I19" s="51">
        <f t="shared" ref="I19:I26" si="2">IF($I$17="自定义",P19,M19)</f>
        <v>3173.45</v>
      </c>
      <c r="J19" s="1254"/>
      <c r="K19" s="1253">
        <f t="shared" ref="K19:K26" si="3">ROUND(E$28*E19/E$27,2)</f>
        <v>3173.45</v>
      </c>
      <c r="L19" s="1138">
        <f t="shared" ref="L19:L26" si="4">ROUND(IF(COUNTIF(C19,"*住宅*")&gt;0,E$29*E19/E$32,0),2)</f>
        <v>0</v>
      </c>
      <c r="M19" s="1265">
        <f>K19+L19</f>
        <v>3173.45</v>
      </c>
      <c r="N19" s="1803"/>
      <c r="O19" s="1804"/>
      <c r="P19" s="1265">
        <f>N19+O19</f>
        <v>0</v>
      </c>
      <c r="R19" s="1138">
        <f t="shared" ref="R19:S26" si="5">D19+H19</f>
        <v>5245.16</v>
      </c>
      <c r="S19" s="1139">
        <f t="shared" si="5"/>
        <v>32150.61</v>
      </c>
    </row>
    <row r="20" spans="1:19">
      <c r="A20" s="1805"/>
      <c r="B20" s="50" t="s">
        <v>1597</v>
      </c>
      <c r="C20" s="3240" t="s">
        <v>3182</v>
      </c>
      <c r="D20" s="48">
        <f t="shared" ref="D20:D26" si="6">ROUND($D$3*E20/$E$3,2)</f>
        <v>6333.53</v>
      </c>
      <c r="E20" s="56">
        <f t="shared" si="1"/>
        <v>38821.839999999997</v>
      </c>
      <c r="F20" s="2974">
        <f>'数据-基础表'!K13</f>
        <v>25665.52</v>
      </c>
      <c r="G20" s="2975">
        <f>'数据-基础表'!M13</f>
        <v>13156.32</v>
      </c>
      <c r="H20" s="679">
        <f t="shared" ref="H20:H26" si="7">ROUND($D$3*I20/$E$3,2)</f>
        <v>693.62</v>
      </c>
      <c r="I20" s="51">
        <f t="shared" si="2"/>
        <v>4251.6000000000004</v>
      </c>
      <c r="J20" s="1254"/>
      <c r="K20" s="1253">
        <f t="shared" si="3"/>
        <v>4251.6000000000004</v>
      </c>
      <c r="L20" s="1138">
        <f t="shared" si="4"/>
        <v>0</v>
      </c>
      <c r="M20" s="1265">
        <f t="shared" ref="M20:M26" si="8">K20+L20</f>
        <v>4251.6000000000004</v>
      </c>
      <c r="N20" s="1803"/>
      <c r="O20" s="1804"/>
      <c r="P20" s="1265">
        <f t="shared" ref="P20:P26" si="9">N20+O20</f>
        <v>0</v>
      </c>
      <c r="R20" s="1138">
        <f t="shared" si="5"/>
        <v>7027.15</v>
      </c>
      <c r="S20" s="1139">
        <f t="shared" si="5"/>
        <v>43073.439999999995</v>
      </c>
    </row>
    <row r="21" spans="1:19">
      <c r="A21" s="1805"/>
      <c r="B21" s="50" t="s">
        <v>1597</v>
      </c>
      <c r="C21" s="3240" t="s">
        <v>3184</v>
      </c>
      <c r="D21" s="48">
        <f t="shared" si="6"/>
        <v>3039.62</v>
      </c>
      <c r="E21" s="56">
        <f t="shared" si="1"/>
        <v>18631.560000000001</v>
      </c>
      <c r="F21" s="2974"/>
      <c r="G21" s="2975">
        <f>'数据-基础表'!O13</f>
        <v>18631.560000000001</v>
      </c>
      <c r="H21" s="679">
        <f t="shared" si="7"/>
        <v>332.89</v>
      </c>
      <c r="I21" s="51">
        <f t="shared" si="2"/>
        <v>2040.45</v>
      </c>
      <c r="J21" s="1254"/>
      <c r="K21" s="1253">
        <f t="shared" si="3"/>
        <v>2040.45</v>
      </c>
      <c r="L21" s="1138">
        <f t="shared" si="4"/>
        <v>0</v>
      </c>
      <c r="M21" s="1265">
        <f t="shared" si="8"/>
        <v>2040.45</v>
      </c>
      <c r="N21" s="1803"/>
      <c r="O21" s="1804"/>
      <c r="P21" s="1265">
        <f t="shared" si="9"/>
        <v>0</v>
      </c>
      <c r="R21" s="1138">
        <f t="shared" si="5"/>
        <v>3372.5099999999998</v>
      </c>
      <c r="S21" s="1139">
        <f t="shared" si="5"/>
        <v>20672.010000000002</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29.25" thickBot="1">
      <c r="A27" s="1805"/>
      <c r="B27" s="48"/>
      <c r="C27" s="1808" t="s">
        <v>1598</v>
      </c>
      <c r="D27" s="1255">
        <f>SUM(D19:D26)</f>
        <v>14100.579999999998</v>
      </c>
      <c r="E27" s="1256">
        <f>IF(SUM(E19:E26)='数据-基础表'!BA5,SUM(E19:E26),IF(F27="地上面积有误","面积有误","地下面积有误"))</f>
        <v>86430.56</v>
      </c>
      <c r="F27" s="1255">
        <f>IF(SUM(F19:F26)=E8,SUM(F19:F26),"地上面积有误")</f>
        <v>54642.68</v>
      </c>
      <c r="G27" s="1257">
        <f>SUM(G19:G26)</f>
        <v>31787.88</v>
      </c>
      <c r="H27" s="1258">
        <f>SUM(H19:H26)</f>
        <v>1544.2399999999998</v>
      </c>
      <c r="I27" s="1259">
        <f>SUM(I19:I26)</f>
        <v>9465.5</v>
      </c>
      <c r="J27" s="1254"/>
      <c r="K27" s="1262">
        <f>SUM(K19:K26)</f>
        <v>9465.5</v>
      </c>
      <c r="L27" s="1263">
        <f>SUM(L19:L26)</f>
        <v>0</v>
      </c>
      <c r="M27" s="1266">
        <f>SUM(M19:M26)</f>
        <v>9465.5</v>
      </c>
      <c r="N27" s="1262">
        <f t="shared" ref="N27:O27" si="10">SUM(N19:N26)</f>
        <v>0</v>
      </c>
      <c r="O27" s="1263">
        <f t="shared" si="10"/>
        <v>0</v>
      </c>
      <c r="P27" s="1264">
        <f>SUM(P19:P26)</f>
        <v>0</v>
      </c>
      <c r="R27" s="1140" t="str">
        <f>IF(SUM(R19:R26)=$D$3,SUM(R19:R26),SUM(R19:R26)&amp;"误差"&amp;ROUND(SUM(R19:R26)-$D$3,2))</f>
        <v>15644.82误差0.01</v>
      </c>
      <c r="S27" s="1138">
        <f>IF(SUM(S19:S26)=$E$3,SUM(S19:S26),SUM(S19:S26)&amp;"误差"&amp;ROUND(SUM(S19:S26)-E3,2))</f>
        <v>95896.06</v>
      </c>
    </row>
    <row r="28" spans="1:19">
      <c r="A28" s="1805"/>
      <c r="B28" s="50" t="s">
        <v>1599</v>
      </c>
      <c r="C28" s="1150" t="s">
        <v>1600</v>
      </c>
      <c r="D28" s="48">
        <f>ROUND($D$3*E28/$E$3,2)</f>
        <v>1544.23</v>
      </c>
      <c r="E28" s="56">
        <f>SUM(F28:G28)</f>
        <v>9465.5</v>
      </c>
      <c r="F28" s="60">
        <f>'数据-基础表'!BQ5+'数据-基础表'!BS5</f>
        <v>1966.19</v>
      </c>
      <c r="G28" s="61">
        <f>'数据-基础表'!BR5+'数据-基础表'!BT5</f>
        <v>7499.31</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1544.23</v>
      </c>
      <c r="E30" s="1255">
        <f>SUM(E28:E29)</f>
        <v>9465.5</v>
      </c>
      <c r="F30" s="1255">
        <f>SUM(F28:F29)</f>
        <v>1966.19</v>
      </c>
      <c r="G30" s="1257">
        <f>SUM(G28:G29)</f>
        <v>7499.31</v>
      </c>
      <c r="H30" s="2834"/>
      <c r="I30" s="2834"/>
      <c r="J30" s="2834"/>
      <c r="K30" s="2834"/>
      <c r="L30" s="2834"/>
      <c r="M30" s="2834"/>
      <c r="N30" s="2834"/>
      <c r="O30" s="2834"/>
      <c r="P30" s="2834"/>
    </row>
    <row r="31" spans="1:19" ht="15.75" thickBot="1">
      <c r="A31" s="1811"/>
      <c r="B31" s="1812"/>
      <c r="C31" s="925" t="s">
        <v>1602</v>
      </c>
      <c r="D31" s="685">
        <f>D27+D30</f>
        <v>15644.809999999998</v>
      </c>
      <c r="E31" s="685">
        <f>E27+E30</f>
        <v>95896.06</v>
      </c>
      <c r="F31" s="686">
        <f>F27+F30</f>
        <v>56608.87</v>
      </c>
      <c r="G31" s="687">
        <f>G27+G30</f>
        <v>39287.19</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24" width="6.75" style="1817" customWidth="1"/>
    <col min="25" max="25" width="8"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44865</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办公</v>
      </c>
      <c r="B6" s="1848" t="str">
        <f>IF(A6=0,"","经营性")</f>
        <v>经营性</v>
      </c>
      <c r="C6" s="1849" t="s">
        <v>27</v>
      </c>
      <c r="D6" s="948">
        <f>SUMIF(项目基本情况!D$12:I$12,C6,项目基本情况!D$14:I$14)</f>
        <v>50</v>
      </c>
      <c r="E6" s="947">
        <f>IF(B6="","",SUMIF(项目基本情况!D$12:I$12,C6,项目基本情况!D$13:I$13))</f>
        <v>59670</v>
      </c>
      <c r="F6" s="68">
        <f>SUMIF(项目基本情况!D$12:I$12,C6,项目基本情况!D$15:I$15)</f>
        <v>40.56</v>
      </c>
      <c r="G6" s="69">
        <f>IF(ISERROR(ROUND(POWER(1+H6,D6-F6)*(POWER(1+H6,F6)-1)/(POWER(1+H6,D6)-1),3)),0,ROUND(POWER(1+H6,D6-F6)*(POWER(1+H6,F6)-1)/(POWER(1+H6,D6)-1),3))</f>
        <v>0.94399999999999995</v>
      </c>
      <c r="H6" s="741">
        <v>0.05</v>
      </c>
      <c r="I6" s="741">
        <v>5.5E-2</v>
      </c>
      <c r="J6" s="70">
        <v>7.0000000000000007E-2</v>
      </c>
      <c r="K6" s="1142">
        <f>SUMIF('数据-汇总表'!C$19:C$33,A6,'数据-汇总表'!E$19:E$33)</f>
        <v>28977.16</v>
      </c>
      <c r="L6" s="742">
        <v>4500</v>
      </c>
      <c r="M6" s="71">
        <f t="shared" ref="M6:M14" si="0">ROUND(K6*L6/10000,0)</f>
        <v>13040</v>
      </c>
      <c r="N6" s="740">
        <v>0.5</v>
      </c>
      <c r="O6" s="71">
        <f>IF($N$5="成新度","——",ROUND(M6*N6,0))</f>
        <v>6520</v>
      </c>
      <c r="P6" s="72">
        <f>IF($N$5="成新度","——",M6-O6)</f>
        <v>6520</v>
      </c>
      <c r="Q6" s="743">
        <v>0.15</v>
      </c>
      <c r="R6" s="73">
        <f ca="1">SUMIF('数据-汇总表'!C$19:C$33,A6,'数据-汇总表'!R$19:R$27)</f>
        <v>5245.16</v>
      </c>
      <c r="S6" s="54">
        <f>IF('数据-汇总表'!$I$17="按面积比例",SUMIF('数据-汇总表'!C$19:C$33,A6,'数据-汇总表'!K$19:K$33),SUMIF('数据-汇总表'!C$19:C$33,A6,'数据-汇总表'!N$19:N$33))</f>
        <v>3173.45</v>
      </c>
      <c r="T6" s="1287">
        <f>ROUND($L$14*S6/10000,0)</f>
        <v>952</v>
      </c>
      <c r="U6" s="74">
        <v>5</v>
      </c>
      <c r="V6" s="75">
        <v>1.4999999999999999E-2</v>
      </c>
      <c r="W6" s="75">
        <v>0.1</v>
      </c>
      <c r="X6" s="1152"/>
      <c r="Y6" s="76">
        <v>1</v>
      </c>
      <c r="Z6" s="77"/>
      <c r="AA6" s="70"/>
      <c r="AB6" s="70"/>
      <c r="AC6" s="1152"/>
      <c r="AD6" s="78"/>
      <c r="AE6" s="1153">
        <f ca="1">IF(AN6="",0,SUMIF(INDIRECT("'"&amp;AN6&amp;"'"&amp;"!E:E"),$AE$5,INDIRECT("'"&amp;AN6&amp;"'"&amp;"!F:F")))</f>
        <v>39.06</v>
      </c>
      <c r="AF6" s="1482"/>
      <c r="AG6" s="143">
        <f>IF(AF6="",0,AE6-AF6)</f>
        <v>0</v>
      </c>
      <c r="AH6" s="79"/>
      <c r="AI6" s="81">
        <v>365</v>
      </c>
      <c r="AJ6" s="82"/>
      <c r="AK6" s="83">
        <v>0.01</v>
      </c>
      <c r="AL6" s="84">
        <v>1E-3</v>
      </c>
      <c r="AM6" s="85">
        <v>0.01</v>
      </c>
      <c r="AN6" s="1850" t="s">
        <v>3331</v>
      </c>
      <c r="AO6" s="55">
        <f ca="1">SUMIF(INDIRECT("'"&amp;AN6&amp;"'"&amp;"!A:A"),"总价",INDIRECT("'"&amp;AN6&amp;"'"&amp;"!B:B"))</f>
        <v>72022</v>
      </c>
      <c r="AP6" s="1851">
        <f>IF(C6="住宅",K6*L6,0)</f>
        <v>0</v>
      </c>
      <c r="AQ6" s="55">
        <f>ROUND($L$14*$N$14*S6/10000,0)</f>
        <v>476</v>
      </c>
      <c r="AR6" s="55">
        <f>ROUND($L$14*(1-$N$14)*S6/10000,0)</f>
        <v>476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商业</v>
      </c>
      <c r="B7" s="1848" t="str">
        <f t="shared" ref="B7:B13" si="1">IF(A7=0,"","经营性")</f>
        <v>经营性</v>
      </c>
      <c r="C7" s="1849" t="s">
        <v>1102</v>
      </c>
      <c r="D7" s="948">
        <f>SUMIF(项目基本情况!D$12:I$12,C7,项目基本情况!D$14:I$14)</f>
        <v>40</v>
      </c>
      <c r="E7" s="947">
        <f>IF(B7="","",SUMIF(项目基本情况!D$12:I$12,C7,项目基本情况!D$13:I$13))</f>
        <v>56018</v>
      </c>
      <c r="F7" s="68">
        <f>SUMIF(项目基本情况!D$12:I$12,C7,项目基本情况!D$15:I$15)</f>
        <v>30.55</v>
      </c>
      <c r="G7" s="69">
        <f t="shared" ref="G7:G11" si="2">IF(ISERROR(ROUND(POWER(1+H7,D7-F7)*(POWER(1+H7,F7)-1)/(POWER(1+H7,D7)-1),3)),0,ROUND(POWER(1+H7,D7-F7)*(POWER(1+H7,F7)-1)/(POWER(1+H7,D7)-1),3))</f>
        <v>0.91200000000000003</v>
      </c>
      <c r="H7" s="741">
        <v>5.5E-2</v>
      </c>
      <c r="I7" s="741">
        <v>0.06</v>
      </c>
      <c r="J7" s="70">
        <v>7.4999999999999997E-2</v>
      </c>
      <c r="K7" s="1142">
        <f>SUMIF('数据-汇总表'!C$19:C$33,A7,'数据-汇总表'!E$19:E$33)</f>
        <v>38821.839999999997</v>
      </c>
      <c r="L7" s="742">
        <v>4000</v>
      </c>
      <c r="M7" s="71">
        <f t="shared" si="0"/>
        <v>15529</v>
      </c>
      <c r="N7" s="740">
        <f>N6</f>
        <v>0.5</v>
      </c>
      <c r="O7" s="71">
        <f t="shared" ref="O7:O14" si="3">IF($N$5="成新度","——",ROUND(M7*N7,0))</f>
        <v>7765</v>
      </c>
      <c r="P7" s="72">
        <f t="shared" ref="P7:P14" si="4">IF($N$5="成新度","——",M7-O7)</f>
        <v>7764</v>
      </c>
      <c r="Q7" s="743">
        <v>0.15</v>
      </c>
      <c r="R7" s="73">
        <f ca="1">SUMIF('数据-汇总表'!C$19:C$33,A7,'数据-汇总表'!R$19:R$27)</f>
        <v>7027.15</v>
      </c>
      <c r="S7" s="54">
        <f>IF('数据-汇总表'!$I$17="按面积比例",SUMIF('数据-汇总表'!C$19:C$33,A7,'数据-汇总表'!K$19:K$33),SUMIF('数据-汇总表'!C$19:C$33,A7,'数据-汇总表'!N$19:N$33))</f>
        <v>4251.6000000000004</v>
      </c>
      <c r="T7" s="1287">
        <f t="shared" ref="T7:T13" si="5">ROUND($L$14*S7/10000,0)</f>
        <v>1275</v>
      </c>
      <c r="U7" s="74">
        <v>6.4</v>
      </c>
      <c r="V7" s="75">
        <v>1.4999999999999999E-2</v>
      </c>
      <c r="W7" s="75">
        <v>0.1</v>
      </c>
      <c r="X7" s="1152"/>
      <c r="Y7" s="76">
        <v>1</v>
      </c>
      <c r="Z7" s="77"/>
      <c r="AA7" s="70"/>
      <c r="AB7" s="70"/>
      <c r="AC7" s="1152"/>
      <c r="AD7" s="78"/>
      <c r="AE7" s="1153">
        <f t="shared" ref="AE7:AE13" ca="1" si="6">IF(AN7="",0,SUMIF(INDIRECT("'"&amp;AN7&amp;"'"&amp;"!E:E"),$AE$5,INDIRECT("'"&amp;AN7&amp;"'"&amp;"!F:F")))</f>
        <v>29.05</v>
      </c>
      <c r="AF7" s="1482"/>
      <c r="AG7" s="143">
        <f t="shared" ref="AG7:AG13" si="7">IF(AF7="",0,AE7-AF7)</f>
        <v>0</v>
      </c>
      <c r="AH7" s="79"/>
      <c r="AI7" s="81">
        <v>365</v>
      </c>
      <c r="AJ7" s="82"/>
      <c r="AK7" s="83">
        <v>0.01</v>
      </c>
      <c r="AL7" s="84">
        <v>1E-3</v>
      </c>
      <c r="AM7" s="85">
        <v>0.01</v>
      </c>
      <c r="AN7" s="1850" t="s">
        <v>3327</v>
      </c>
      <c r="AO7" s="55">
        <f t="shared" ref="AO7:AO13" ca="1" si="8">SUMIF(INDIRECT("'"&amp;AN7&amp;"'"&amp;"!A:A"),"总价",INDIRECT("'"&amp;AN7&amp;"'"&amp;"!B:B"))</f>
        <v>102812</v>
      </c>
      <c r="AP7" s="1851">
        <f t="shared" ref="AP7:AP13" si="9">IF(C7="住宅",K7*L7,0)</f>
        <v>0</v>
      </c>
      <c r="AQ7" s="55">
        <f t="shared" ref="AQ7:AQ13" si="10">ROUND($L$14*$N$14*S7/10000,0)</f>
        <v>638</v>
      </c>
      <c r="AR7" s="55">
        <f t="shared" ref="AR7:AR13" si="11">ROUND($L$14*(1-$N$14)*S7/10000,0)</f>
        <v>638</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车库</v>
      </c>
      <c r="B8" s="1848" t="str">
        <f t="shared" si="1"/>
        <v>经营性</v>
      </c>
      <c r="C8" s="1849" t="s">
        <v>3183</v>
      </c>
      <c r="D8" s="948">
        <f>SUMIF(项目基本情况!D$12:I$12,C8,项目基本情况!D$14:I$14)</f>
        <v>50</v>
      </c>
      <c r="E8" s="947">
        <f>IF(B8="","",SUMIF(项目基本情况!D$12:I$12,C8,项目基本情况!D$13:I$13))</f>
        <v>59670</v>
      </c>
      <c r="F8" s="68">
        <f>SUMIF(项目基本情况!D$12:I$12,C8,项目基本情况!D$15:I$15)</f>
        <v>40.56</v>
      </c>
      <c r="G8" s="69">
        <f t="shared" si="2"/>
        <v>0.93600000000000005</v>
      </c>
      <c r="H8" s="741">
        <v>4.4999999999999998E-2</v>
      </c>
      <c r="I8" s="741">
        <v>0.05</v>
      </c>
      <c r="J8" s="70">
        <v>6.5000000000000002E-2</v>
      </c>
      <c r="K8" s="1142">
        <f>SUMIF('数据-汇总表'!C$19:C$33,A8,'数据-汇总表'!E$19:E$33)</f>
        <v>18631.560000000001</v>
      </c>
      <c r="L8" s="742">
        <v>3000</v>
      </c>
      <c r="M8" s="71">
        <f>ROUND(K8*L8/10000,0)</f>
        <v>5589</v>
      </c>
      <c r="N8" s="740">
        <f>N6</f>
        <v>0.5</v>
      </c>
      <c r="O8" s="71">
        <f t="shared" si="3"/>
        <v>2795</v>
      </c>
      <c r="P8" s="72">
        <f t="shared" si="4"/>
        <v>2794</v>
      </c>
      <c r="Q8" s="743">
        <v>0.05</v>
      </c>
      <c r="R8" s="73">
        <f ca="1">SUMIF('数据-汇总表'!C$19:C$33,A8,'数据-汇总表'!R$19:R$27)</f>
        <v>3372.5099999999998</v>
      </c>
      <c r="S8" s="54">
        <f>IF('数据-汇总表'!$I$17="按面积比例",SUMIF('数据-汇总表'!C$19:C$33,A8,'数据-汇总表'!K$19:K$33),SUMIF('数据-汇总表'!C$19:C$33,A8,'数据-汇总表'!N$19:N$33))</f>
        <v>2040.45</v>
      </c>
      <c r="T8" s="1287">
        <f t="shared" si="5"/>
        <v>612</v>
      </c>
      <c r="U8" s="744">
        <v>800</v>
      </c>
      <c r="V8" s="745">
        <v>0</v>
      </c>
      <c r="W8" s="745">
        <v>0.2</v>
      </c>
      <c r="X8" s="1152"/>
      <c r="Y8" s="746">
        <v>1</v>
      </c>
      <c r="Z8" s="77"/>
      <c r="AA8" s="70"/>
      <c r="AB8" s="70"/>
      <c r="AC8" s="1152"/>
      <c r="AD8" s="78"/>
      <c r="AE8" s="1153">
        <f t="shared" ca="1" si="6"/>
        <v>39.06</v>
      </c>
      <c r="AF8" s="1482"/>
      <c r="AG8" s="143">
        <f t="shared" si="7"/>
        <v>0</v>
      </c>
      <c r="AH8" s="747">
        <v>532</v>
      </c>
      <c r="AI8" s="81">
        <v>12</v>
      </c>
      <c r="AJ8" s="82"/>
      <c r="AK8" s="748">
        <v>0.01</v>
      </c>
      <c r="AL8" s="749">
        <v>1E-3</v>
      </c>
      <c r="AM8" s="750">
        <v>0.01</v>
      </c>
      <c r="AN8" s="1850" t="s">
        <v>3329</v>
      </c>
      <c r="AO8" s="55">
        <f t="shared" ca="1" si="8"/>
        <v>4137</v>
      </c>
      <c r="AP8" s="1851">
        <f t="shared" si="9"/>
        <v>0</v>
      </c>
      <c r="AQ8" s="55">
        <f t="shared" si="10"/>
        <v>306</v>
      </c>
      <c r="AR8" s="55">
        <f t="shared" si="11"/>
        <v>306</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9465.5</v>
      </c>
      <c r="L14" s="87">
        <v>3000</v>
      </c>
      <c r="M14" s="71">
        <f t="shared" si="0"/>
        <v>2840</v>
      </c>
      <c r="N14" s="88">
        <f>N6</f>
        <v>0.5</v>
      </c>
      <c r="O14" s="71">
        <f t="shared" si="3"/>
        <v>1420</v>
      </c>
      <c r="P14" s="72">
        <f t="shared" si="4"/>
        <v>1420</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0.92800000000000005</v>
      </c>
      <c r="H16" s="95">
        <f>ROUND(SUMPRODUCT(H6:H13,K6:K13)/SUMPRODUCT((H6:H13&gt;0)*(K6:K13)),3)</f>
        <v>5.0999999999999997E-2</v>
      </c>
      <c r="I16" s="96"/>
      <c r="J16" s="96"/>
      <c r="K16" s="97">
        <f>SUM(K6:K15)</f>
        <v>95896.06</v>
      </c>
      <c r="L16" s="98">
        <f>ROUND(M16*10000/SUM(K6:K14),0)</f>
        <v>3858</v>
      </c>
      <c r="M16" s="98">
        <f>SUM(M6:M14)</f>
        <v>36998</v>
      </c>
      <c r="N16" s="99">
        <f>ROUND(SUMPRODUCT(M6:M14,N6:N14)/M16,3)</f>
        <v>0.5</v>
      </c>
      <c r="O16" s="98">
        <f>SUM(O6:O14)</f>
        <v>18500</v>
      </c>
      <c r="P16" s="98">
        <f>SUM(P6:P14)</f>
        <v>18498</v>
      </c>
      <c r="Q16" s="100">
        <f>ROUND(SUMPRODUCT(Q6:Q13,K6:K13)/SUMPRODUCT((Q6:Q13&gt;0)*(K6:K13)),2)</f>
        <v>0.13</v>
      </c>
      <c r="R16" s="1146">
        <f ca="1">SUM(R6:R13)</f>
        <v>15644.82</v>
      </c>
      <c r="S16" s="101">
        <f>SUM(S6:S13)</f>
        <v>9465.5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3241" t="s">
        <v>3186</v>
      </c>
      <c r="W19" s="3241" t="s">
        <v>3187</v>
      </c>
      <c r="X19" s="3241" t="s">
        <v>3188</v>
      </c>
      <c r="Y19" s="3241" t="s">
        <v>3189</v>
      </c>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v>3</v>
      </c>
      <c r="V20" s="2848">
        <f>'数据-汇总表'!F20-'数据-取费表'!V22-'数据-取费表'!V21</f>
        <v>8555.1799999999985</v>
      </c>
      <c r="W20" s="2848">
        <v>0.5</v>
      </c>
      <c r="X20" s="2848">
        <f>W20*X22</f>
        <v>5</v>
      </c>
      <c r="Y20" s="2848">
        <f>ROUND(V20/$V$24,2)</f>
        <v>0.22</v>
      </c>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1.5</v>
      </c>
      <c r="C21" s="2850"/>
      <c r="D21" s="2853"/>
      <c r="E21" s="2850"/>
      <c r="F21" s="2850"/>
      <c r="G21" s="2850"/>
      <c r="H21" s="2850"/>
      <c r="I21" s="2850"/>
      <c r="J21" s="2850"/>
      <c r="K21" s="2849"/>
      <c r="L21" s="2849"/>
      <c r="M21" s="2848"/>
      <c r="N21" s="2848"/>
      <c r="O21" s="2848"/>
      <c r="P21" s="2848"/>
      <c r="Q21" s="2848"/>
      <c r="R21" s="2848"/>
      <c r="S21" s="2848"/>
      <c r="T21" s="2848"/>
      <c r="U21" s="2848">
        <v>2</v>
      </c>
      <c r="V21" s="2848">
        <f>V22</f>
        <v>8555.17</v>
      </c>
      <c r="W21" s="2848">
        <v>0.6</v>
      </c>
      <c r="X21" s="2848">
        <f>W21*X22</f>
        <v>6</v>
      </c>
      <c r="Y21" s="2848">
        <f t="shared" ref="Y21:Y23" si="12">ROUND(V21/$V$24,2)</f>
        <v>0.22</v>
      </c>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2849"/>
      <c r="M22" s="2848"/>
      <c r="N22" s="2848"/>
      <c r="O22" s="2848"/>
      <c r="P22" s="2848"/>
      <c r="Q22" s="2848"/>
      <c r="R22" s="2848"/>
      <c r="S22" s="2848"/>
      <c r="T22" s="2848"/>
      <c r="U22" s="2848">
        <v>1</v>
      </c>
      <c r="V22" s="2848">
        <f>ROUND('数据-汇总表'!F20/3,2)</f>
        <v>8555.17</v>
      </c>
      <c r="W22" s="2848">
        <v>1</v>
      </c>
      <c r="X22" s="2848">
        <v>10</v>
      </c>
      <c r="Y22" s="2848">
        <f t="shared" si="12"/>
        <v>0.22</v>
      </c>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1660</v>
      </c>
      <c r="B23" s="110">
        <f>B19+B21</f>
        <v>1.5</v>
      </c>
      <c r="C23" s="2850"/>
      <c r="D23" s="2853"/>
      <c r="E23" s="2850"/>
      <c r="F23" s="2850"/>
      <c r="G23" s="2850"/>
      <c r="H23" s="2850"/>
      <c r="I23" s="2850"/>
      <c r="J23" s="2850"/>
      <c r="K23" s="2849"/>
      <c r="L23" s="2849"/>
      <c r="M23" s="2848"/>
      <c r="N23" s="2848"/>
      <c r="O23" s="2848"/>
      <c r="P23" s="2848"/>
      <c r="Q23" s="2848"/>
      <c r="R23" s="2848"/>
      <c r="S23" s="2848"/>
      <c r="T23" s="2848"/>
      <c r="U23" s="2848" t="s">
        <v>3190</v>
      </c>
      <c r="V23" s="2848">
        <f>'数据-汇总表'!G20</f>
        <v>13156.32</v>
      </c>
      <c r="W23" s="2848">
        <v>0.5</v>
      </c>
      <c r="X23" s="2848">
        <f>W23*X22</f>
        <v>5</v>
      </c>
      <c r="Y23" s="2848">
        <f t="shared" si="12"/>
        <v>0.34</v>
      </c>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1.5</v>
      </c>
      <c r="C24" s="2850"/>
      <c r="D24" s="2853"/>
      <c r="E24" s="2850"/>
      <c r="F24" s="2850"/>
      <c r="G24" s="2850"/>
      <c r="H24" s="2850"/>
      <c r="I24" s="2850"/>
      <c r="J24" s="2850"/>
      <c r="K24" s="2849"/>
      <c r="L24" s="2849"/>
      <c r="M24" s="2848"/>
      <c r="N24" s="2848"/>
      <c r="O24" s="2848"/>
      <c r="P24" s="2848"/>
      <c r="Q24" s="2848"/>
      <c r="R24" s="2848"/>
      <c r="S24" s="2848"/>
      <c r="T24" s="2848"/>
      <c r="U24" s="2848"/>
      <c r="V24" s="2848">
        <f>V20+V21+V22+V23</f>
        <v>38821.839999999997</v>
      </c>
      <c r="W24" s="2848"/>
      <c r="X24" s="2848">
        <f>X20*Y20+X21*Y21+X22*Y22+X23*Y23</f>
        <v>6.32</v>
      </c>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1918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55" t="s">
        <v>2784</v>
      </c>
      <c r="B1" s="3356"/>
      <c r="C1" s="3356"/>
      <c r="D1" s="3356"/>
      <c r="E1" s="3356"/>
      <c r="F1" s="3356"/>
      <c r="G1" s="335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95896.06</v>
      </c>
      <c r="C1" s="2863"/>
      <c r="D1" s="2863"/>
      <c r="E1" s="2863"/>
      <c r="F1" s="2863"/>
      <c r="G1" s="2864"/>
      <c r="H1" s="2865"/>
      <c r="I1" s="2865"/>
      <c r="J1" s="2865"/>
      <c r="K1" s="2865"/>
    </row>
    <row r="2" spans="1:11" ht="16.5">
      <c r="A2" s="2686" t="s">
        <v>1078</v>
      </c>
      <c r="B2" s="2686">
        <f>SUM(C14:C23)</f>
        <v>15644.81</v>
      </c>
      <c r="C2" s="2863"/>
      <c r="D2" s="2863"/>
      <c r="E2" s="2863"/>
      <c r="F2" s="2863"/>
      <c r="G2" s="2864"/>
      <c r="H2" s="2865"/>
      <c r="I2" s="2865"/>
      <c r="J2" s="2865"/>
      <c r="K2" s="2865"/>
    </row>
    <row r="3" spans="1:11" ht="16.5">
      <c r="A3" s="2686" t="s">
        <v>1087</v>
      </c>
      <c r="B3" s="2688">
        <f>项目基本情况!D3</f>
        <v>44865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131447</v>
      </c>
      <c r="C5" s="2686">
        <f ca="1">ROUND(B5*10000/$B$1,0)</f>
        <v>13707</v>
      </c>
      <c r="D5" s="2686">
        <f ca="1">ROUND(B5*10000/$B$2,0)</f>
        <v>84020</v>
      </c>
      <c r="E5" s="2863"/>
      <c r="F5" s="2864"/>
      <c r="G5" s="2864"/>
      <c r="H5" s="2865"/>
      <c r="I5" s="2865"/>
      <c r="J5" s="2865"/>
      <c r="K5" s="2865"/>
    </row>
    <row r="6" spans="1:11" ht="16.5">
      <c r="A6" s="2686" t="s">
        <v>1081</v>
      </c>
      <c r="B6" s="2686">
        <f ca="1">SUM(G14:G23)</f>
        <v>131447</v>
      </c>
      <c r="C6" s="2686">
        <f ca="1">ROUND(B6*10000/$B$1,0)</f>
        <v>13707</v>
      </c>
      <c r="D6" s="2686">
        <f ca="1">ROUND(B6*10000/$B$2,0)</f>
        <v>84020</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95896.06</v>
      </c>
      <c r="C14" s="2692">
        <f>结果表!C118</f>
        <v>15644.81</v>
      </c>
      <c r="D14" s="2692">
        <f ca="1">结果表!H118</f>
        <v>131447</v>
      </c>
      <c r="E14" s="2692">
        <f ca="1">ROUND(D14*10000/B14,0)</f>
        <v>13707</v>
      </c>
      <c r="F14" s="2692">
        <f ca="1">ROUND(D14*10000/C14,0)</f>
        <v>84020</v>
      </c>
      <c r="G14" s="2692">
        <f ca="1">结果表!D122</f>
        <v>131447</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A120" sqref="A120:C120"/>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91" t="str">
        <f>项目基本情况!S2</f>
        <v>北京市房地产</v>
      </c>
      <c r="B2" s="3392"/>
      <c r="C2" s="3392"/>
      <c r="D2" s="3392"/>
      <c r="E2" s="3392"/>
      <c r="F2" s="3392"/>
      <c r="G2" s="3392"/>
      <c r="H2" s="3392"/>
      <c r="I2" s="3393"/>
    </row>
    <row r="3" spans="1:12" ht="12.75">
      <c r="A3" s="3395" t="s">
        <v>1709</v>
      </c>
      <c r="B3" s="3396"/>
      <c r="C3" s="3396"/>
      <c r="D3" s="3396"/>
      <c r="E3" s="3396"/>
      <c r="F3" s="3396"/>
      <c r="G3" s="3396"/>
      <c r="H3" s="3396"/>
      <c r="I3" s="3396"/>
    </row>
    <row r="4" spans="1:12" ht="14.25">
      <c r="A4" s="1889" t="s">
        <v>1710</v>
      </c>
      <c r="B4" s="1890" t="s">
        <v>1711</v>
      </c>
      <c r="C4" s="1891" t="s">
        <v>3335</v>
      </c>
      <c r="D4" s="1891" t="s">
        <v>3336</v>
      </c>
      <c r="E4" s="3397" t="s">
        <v>1712</v>
      </c>
      <c r="F4" s="3398"/>
      <c r="G4" s="3398"/>
      <c r="H4" s="3398"/>
      <c r="I4" s="33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1" t="s">
        <v>1713</v>
      </c>
      <c r="B5" s="3358">
        <v>25</v>
      </c>
      <c r="C5" s="3374"/>
      <c r="D5" s="3394"/>
      <c r="E5" s="136" t="s">
        <v>1714</v>
      </c>
      <c r="F5" s="1892"/>
      <c r="G5" s="1892"/>
      <c r="H5" s="1892"/>
      <c r="I5" s="1507"/>
    </row>
    <row r="6" spans="1:12" ht="12.75">
      <c r="A6" s="3371"/>
      <c r="B6" s="3358"/>
      <c r="C6" s="3375"/>
      <c r="D6" s="3394"/>
      <c r="E6" s="136" t="s">
        <v>1715</v>
      </c>
      <c r="F6" s="1892"/>
      <c r="G6" s="1892"/>
      <c r="H6" s="1892"/>
      <c r="I6" s="1507"/>
    </row>
    <row r="7" spans="1:12" ht="12.75">
      <c r="A7" s="3371"/>
      <c r="B7" s="3358"/>
      <c r="C7" s="3376"/>
      <c r="D7" s="3394"/>
      <c r="E7" s="136" t="s">
        <v>1716</v>
      </c>
      <c r="F7" s="1892"/>
      <c r="G7" s="1892"/>
      <c r="H7" s="1892"/>
      <c r="I7" s="1507"/>
    </row>
    <row r="8" spans="1:12" ht="12.75">
      <c r="A8" s="3371" t="s">
        <v>1717</v>
      </c>
      <c r="B8" s="3358">
        <v>15</v>
      </c>
      <c r="C8" s="3374"/>
      <c r="D8" s="3394"/>
      <c r="E8" s="136" t="s">
        <v>1718</v>
      </c>
      <c r="F8" s="1892"/>
      <c r="G8" s="1892"/>
      <c r="H8" s="1892"/>
      <c r="I8" s="1507"/>
    </row>
    <row r="9" spans="1:12" ht="12.75">
      <c r="A9" s="3371"/>
      <c r="B9" s="3358"/>
      <c r="C9" s="3376"/>
      <c r="D9" s="3394"/>
      <c r="E9" s="136" t="s">
        <v>1719</v>
      </c>
      <c r="F9" s="1892"/>
      <c r="G9" s="1892"/>
      <c r="H9" s="1892"/>
      <c r="I9" s="1507"/>
    </row>
    <row r="10" spans="1:12" ht="12.75">
      <c r="A10" s="3371" t="s">
        <v>1720</v>
      </c>
      <c r="B10" s="3358">
        <v>15</v>
      </c>
      <c r="C10" s="3374"/>
      <c r="D10" s="3394"/>
      <c r="E10" s="136" t="s">
        <v>1721</v>
      </c>
      <c r="F10" s="1892"/>
      <c r="G10" s="1892"/>
      <c r="H10" s="1892"/>
      <c r="I10" s="1507"/>
    </row>
    <row r="11" spans="1:12" ht="12.75">
      <c r="A11" s="3371"/>
      <c r="B11" s="3358"/>
      <c r="C11" s="3376"/>
      <c r="D11" s="3394"/>
      <c r="E11" s="136" t="s">
        <v>1722</v>
      </c>
      <c r="F11" s="1892"/>
      <c r="G11" s="1892"/>
      <c r="H11" s="1892"/>
      <c r="I11" s="1507"/>
    </row>
    <row r="12" spans="1:12" ht="12.75">
      <c r="A12" s="3371" t="s">
        <v>1723</v>
      </c>
      <c r="B12" s="3358">
        <v>15</v>
      </c>
      <c r="C12" s="3374"/>
      <c r="D12" s="3394"/>
      <c r="E12" s="136" t="s">
        <v>1724</v>
      </c>
      <c r="F12" s="1892"/>
      <c r="G12" s="1892"/>
      <c r="H12" s="1892"/>
      <c r="I12" s="1507"/>
    </row>
    <row r="13" spans="1:12" ht="12.75">
      <c r="A13" s="3371"/>
      <c r="B13" s="3358"/>
      <c r="C13" s="3376"/>
      <c r="D13" s="3394"/>
      <c r="E13" s="136" t="s">
        <v>1725</v>
      </c>
      <c r="F13" s="1892"/>
      <c r="G13" s="1892"/>
      <c r="H13" s="1892"/>
      <c r="I13" s="1507"/>
    </row>
    <row r="14" spans="1:12" ht="12.75">
      <c r="A14" s="3371" t="s">
        <v>1726</v>
      </c>
      <c r="B14" s="3358">
        <v>30</v>
      </c>
      <c r="C14" s="3374">
        <v>5</v>
      </c>
      <c r="D14" s="3394">
        <v>5</v>
      </c>
      <c r="E14" s="136" t="s">
        <v>1727</v>
      </c>
      <c r="F14" s="1892"/>
      <c r="G14" s="1892"/>
      <c r="H14" s="1892"/>
      <c r="I14" s="1507"/>
    </row>
    <row r="15" spans="1:12" ht="12.75">
      <c r="A15" s="3371"/>
      <c r="B15" s="3358"/>
      <c r="C15" s="3375"/>
      <c r="D15" s="3394"/>
      <c r="E15" s="136" t="s">
        <v>1728</v>
      </c>
      <c r="F15" s="1892"/>
      <c r="G15" s="1892"/>
      <c r="H15" s="1892"/>
      <c r="I15" s="1507"/>
    </row>
    <row r="16" spans="1:12" ht="12.75">
      <c r="A16" s="3371"/>
      <c r="B16" s="3358"/>
      <c r="C16" s="3376"/>
      <c r="D16" s="3394"/>
      <c r="E16" s="136" t="s">
        <v>1729</v>
      </c>
      <c r="F16" s="1892"/>
      <c r="G16" s="1892"/>
      <c r="H16" s="1892"/>
      <c r="I16" s="1507"/>
    </row>
    <row r="17" spans="1:36" ht="15">
      <c r="A17" s="1893" t="s">
        <v>1730</v>
      </c>
      <c r="B17" s="60"/>
      <c r="C17" s="137">
        <f>SUM(C5:C16)</f>
        <v>5</v>
      </c>
      <c r="D17" s="137">
        <f>SUM(D5:D16)</f>
        <v>5</v>
      </c>
      <c r="E17" s="134"/>
      <c r="F17" s="134"/>
      <c r="G17" s="134"/>
      <c r="H17" s="134"/>
      <c r="I17" s="134"/>
      <c r="K17" s="308"/>
      <c r="L17" s="308" t="s">
        <v>1731</v>
      </c>
      <c r="M17" s="308" t="s">
        <v>1732</v>
      </c>
    </row>
    <row r="18" spans="1:36" ht="31.9" customHeight="1" thickBot="1">
      <c r="A18" s="1894" t="s">
        <v>1733</v>
      </c>
      <c r="B18" s="1895"/>
      <c r="C18" s="138">
        <f>ROUND(C17/SUM(C17:D17),2)</f>
        <v>0.5</v>
      </c>
      <c r="D18" s="138">
        <f>1-C18</f>
        <v>0.5</v>
      </c>
      <c r="E18" s="3381" t="s">
        <v>2629</v>
      </c>
      <c r="F18" s="3382"/>
      <c r="G18" s="3382"/>
      <c r="H18" s="3382"/>
      <c r="I18" s="3382"/>
      <c r="K18" s="308" t="s">
        <v>1734</v>
      </c>
      <c r="L18" s="308">
        <f>IF(C1="",'数据-汇总表'!E3,SUMIF(项目类型,C1,'数据-汇总表'!E17:E26)+SUMIF(项目类型,C1,'数据-汇总表'!I17:I26))</f>
        <v>95896.06</v>
      </c>
      <c r="M18" s="308">
        <f>IF(C1="",'数据-汇总表'!E3,SUMIF(项目类型,C1,'数据-汇总表'!E17:E26))</f>
        <v>95896.06</v>
      </c>
    </row>
    <row r="19" spans="1:36" ht="15">
      <c r="A19" s="1896" t="s">
        <v>1735</v>
      </c>
      <c r="B19" s="1897" t="s">
        <v>1736</v>
      </c>
      <c r="C19" s="139">
        <f ca="1">SUMIF(INDIRECT("'"&amp;C4&amp;"'"&amp;"!A:A"),结果表!B19,INDIRECT("'"&amp;C4&amp;"'"&amp;"!B:B"))</f>
        <v>139257</v>
      </c>
      <c r="D19" s="140">
        <f ca="1">SUMIF(INDIRECT("'"&amp;D4&amp;"'"&amp;"!A:A"),结果表!B19,INDIRECT("'"&amp;D4&amp;"'"&amp;"!B:B"))</f>
        <v>123636</v>
      </c>
      <c r="E19" s="1896" t="s">
        <v>1737</v>
      </c>
      <c r="F19" s="1897" t="s">
        <v>1736</v>
      </c>
      <c r="G19" s="141">
        <f ca="1">ROUND(C19*$C$18+D19*$D$18,0)</f>
        <v>131447</v>
      </c>
      <c r="H19" s="1898" t="s">
        <v>1738</v>
      </c>
      <c r="I19" s="134"/>
      <c r="J19" s="734">
        <v>125404</v>
      </c>
      <c r="K19" s="308" t="s">
        <v>1739</v>
      </c>
      <c r="L19" s="308">
        <f>IF(C1="",'数据-汇总表'!D3,SUMIF(项目类型,C1,'数据-汇总表'!D17:D26)+SUMIF(项目类型,C1,'数据-汇总表'!H17:H27))</f>
        <v>15644.81</v>
      </c>
      <c r="M19" s="308">
        <f>IF(C1="",'数据-汇总表'!D3,SUMIF(项目类型,C1,'数据-汇总表'!D17:D26))</f>
        <v>15644.81</v>
      </c>
    </row>
    <row r="20" spans="1:36" ht="15">
      <c r="A20" s="1899"/>
      <c r="B20" s="1138" t="s">
        <v>1740</v>
      </c>
      <c r="C20" s="142">
        <f ca="1">SUMIF(INDIRECT("'"&amp;C4&amp;"'"&amp;"!A:A"),结果表!B20,INDIRECT("'"&amp;C4&amp;"'"&amp;"!B:B"))</f>
        <v>14522</v>
      </c>
      <c r="D20" s="143">
        <f ca="1">SUMIF(INDIRECT("'"&amp;D4&amp;"'"&amp;"!A:A"),结果表!B20,INDIRECT("'"&amp;D4&amp;"'"&amp;"!B:B"))</f>
        <v>12893</v>
      </c>
      <c r="E20" s="1899"/>
      <c r="F20" s="1138" t="s">
        <v>1740</v>
      </c>
      <c r="G20" s="144">
        <f ca="1">ROUND(C20*$C$18+D20*$D$18,0)</f>
        <v>13708</v>
      </c>
      <c r="H20" s="898" t="s">
        <v>1741</v>
      </c>
      <c r="I20" s="134"/>
    </row>
    <row r="21" spans="1:36" ht="15" customHeight="1" thickBot="1">
      <c r="A21" s="918"/>
      <c r="B21" s="1900" t="s">
        <v>1742</v>
      </c>
      <c r="C21" s="728">
        <f ca="1">ROUND(C19*10000/L19,0)</f>
        <v>89012</v>
      </c>
      <c r="D21" s="729">
        <f ca="1">ROUND(D19*10000/L19,0)</f>
        <v>79027</v>
      </c>
      <c r="E21" s="918"/>
      <c r="F21" s="1900" t="s">
        <v>1742</v>
      </c>
      <c r="G21" s="145">
        <f ca="1">ROUND(G19*10000/L19,0)</f>
        <v>84020</v>
      </c>
      <c r="H21" s="1901" t="s">
        <v>1741</v>
      </c>
      <c r="I21" s="134"/>
    </row>
    <row r="22" spans="1:36" ht="15" thickBot="1">
      <c r="A22" s="1823" t="s">
        <v>1743</v>
      </c>
      <c r="B22" s="1902"/>
      <c r="C22" s="1903"/>
      <c r="D22" s="730">
        <f ca="1">IF(C19&lt;D19,D19/C19-1,C19/D19-1)</f>
        <v>0.12634669513733865</v>
      </c>
      <c r="E22" s="134"/>
      <c r="F22" s="134"/>
      <c r="G22" s="134"/>
      <c r="H22" s="134"/>
      <c r="I22" s="134"/>
    </row>
    <row r="23" spans="1:36" ht="13.5" thickBot="1">
      <c r="A23" s="1882"/>
      <c r="B23" s="1882"/>
      <c r="C23" s="1882"/>
      <c r="D23" s="1882"/>
      <c r="E23" s="134"/>
      <c r="F23" s="134"/>
      <c r="G23" s="134"/>
      <c r="H23" s="134"/>
      <c r="I23" s="134"/>
    </row>
    <row r="24" spans="1:36" ht="14.25">
      <c r="A24" s="3365" t="s">
        <v>1744</v>
      </c>
      <c r="B24" s="1897" t="s">
        <v>1736</v>
      </c>
      <c r="C24" s="141">
        <f>IF(B30=0,0,D30)</f>
        <v>0</v>
      </c>
      <c r="D24" s="1904"/>
      <c r="E24" s="134"/>
      <c r="F24" s="134"/>
      <c r="G24" s="134"/>
      <c r="H24" s="134"/>
      <c r="I24" s="134"/>
    </row>
    <row r="25" spans="1:36" ht="14.25">
      <c r="A25" s="3366"/>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131447</v>
      </c>
      <c r="D32" s="1910" t="s">
        <v>3337</v>
      </c>
      <c r="E32" s="134"/>
      <c r="F32" s="134"/>
      <c r="G32" s="134"/>
      <c r="H32" s="134"/>
      <c r="I32" s="134"/>
    </row>
    <row r="33" spans="1:15" ht="15">
      <c r="A33" s="875" t="s">
        <v>1751</v>
      </c>
      <c r="B33" s="1911"/>
      <c r="C33" s="1912" t="s">
        <v>3338</v>
      </c>
      <c r="D33" s="1913" t="s">
        <v>3335</v>
      </c>
      <c r="E33" s="1914" t="s">
        <v>1752</v>
      </c>
      <c r="F33" s="1915" t="str">
        <f>IF(D32="楼面单价","取值（单价）","取值（总价）")</f>
        <v>取值（总价）</v>
      </c>
      <c r="G33" s="134"/>
      <c r="H33" s="134"/>
      <c r="I33" s="134"/>
    </row>
    <row r="34" spans="1:15" ht="15">
      <c r="A34" s="1916"/>
      <c r="B34" s="1917" t="s">
        <v>1753</v>
      </c>
      <c r="C34" s="153">
        <f ca="1">IF(C33="自定义",F34,C32-C35)</f>
        <v>106866</v>
      </c>
      <c r="D34" s="951">
        <f ca="1">IF(C33="自定义",ROUND(C34/C32,3),IF(C33="收益比率",SUMIF(INDIRECT("'"&amp;D33&amp;"'"&amp;"!b:b"),"土地收益比率",INDIRECT("'"&amp;D33&amp;"'"&amp;"!c:c")),SUMIF(INDIRECT("'"&amp;D33&amp;"'"&amp;"!b:b"),"土地成本比率",INDIRECT("'"&amp;D33&amp;"'"&amp;"!c:c"))))</f>
        <v>0.81299999999999994</v>
      </c>
      <c r="E34" s="1918" t="s">
        <v>1754</v>
      </c>
      <c r="F34" s="1450"/>
      <c r="G34" s="134"/>
      <c r="H34" s="134"/>
      <c r="I34" s="134"/>
    </row>
    <row r="35" spans="1:15" ht="15.75" thickBot="1">
      <c r="A35" s="1919"/>
      <c r="B35" s="1920" t="s">
        <v>1755</v>
      </c>
      <c r="C35" s="1285">
        <f ca="1">IF(C33="自定义",F35,ROUND(C32*D35,0))</f>
        <v>24581</v>
      </c>
      <c r="D35" s="1286">
        <f ca="1">IF(C33="自定义",ROUND(C35/C32,3),IF(C33="收益比率",SUMIF(INDIRECT("'"&amp;D33&amp;"'"&amp;"!b:b"),"建筑物收益比率",INDIRECT("'"&amp;D33&amp;"'"&amp;"!c:c")),SUMIF(INDIRECT("'"&amp;D33&amp;"'"&amp;"!b:b"),"建筑物成本比率",INDIRECT("'"&amp;D33&amp;"'"&amp;"!c:c"))))</f>
        <v>0.187</v>
      </c>
      <c r="E35" s="1921" t="s">
        <v>1756</v>
      </c>
      <c r="F35" s="159"/>
      <c r="G35" s="134"/>
      <c r="H35" s="134"/>
      <c r="I35" s="134"/>
    </row>
    <row r="36" spans="1:15" ht="15.75" thickBot="1">
      <c r="A36" s="3385" t="s">
        <v>1757</v>
      </c>
      <c r="B36" s="1922" t="s">
        <v>1758</v>
      </c>
      <c r="C36" s="150"/>
      <c r="D36" s="1923"/>
      <c r="E36" s="1924"/>
      <c r="F36" s="1925"/>
      <c r="G36" s="134"/>
      <c r="H36" s="134"/>
      <c r="I36" s="134"/>
    </row>
    <row r="37" spans="1:15" ht="15.75" thickBot="1">
      <c r="A37" s="3386"/>
      <c r="B37" s="1809" t="s">
        <v>1759</v>
      </c>
      <c r="C37" s="152"/>
      <c r="D37" s="1254"/>
      <c r="E37" s="1254"/>
      <c r="F37" s="1925"/>
      <c r="G37" s="134"/>
      <c r="H37" s="134"/>
      <c r="I37" s="134"/>
    </row>
    <row r="38" spans="1:15" ht="15.75" thickBot="1">
      <c r="A38" s="3387"/>
      <c r="B38" s="1926" t="s">
        <v>1760</v>
      </c>
      <c r="C38" s="683"/>
      <c r="D38" s="1927" t="s">
        <v>1761</v>
      </c>
      <c r="E38" s="1254"/>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62" t="s">
        <v>1771</v>
      </c>
      <c r="B45" s="3363"/>
      <c r="C45" s="3364"/>
      <c r="D45" s="160">
        <f ca="1">ROUND(H101*F45,0)</f>
        <v>131447</v>
      </c>
      <c r="E45" s="161" t="s">
        <v>1772</v>
      </c>
      <c r="F45" s="162">
        <v>1</v>
      </c>
      <c r="G45" s="163" t="s">
        <v>1773</v>
      </c>
      <c r="H45" s="134"/>
      <c r="I45" s="134"/>
      <c r="J45" s="3443" t="s">
        <v>1774</v>
      </c>
      <c r="K45" s="3443"/>
      <c r="L45" s="3443"/>
      <c r="M45" s="3443"/>
      <c r="N45" s="3443"/>
      <c r="O45" s="3443"/>
    </row>
    <row r="46" spans="1:15" ht="14.25" customHeight="1">
      <c r="A46" s="3359" t="s">
        <v>1775</v>
      </c>
      <c r="B46" s="3360"/>
      <c r="C46" s="3360"/>
      <c r="D46" s="3360"/>
      <c r="E46" s="3360"/>
      <c r="F46" s="3360"/>
      <c r="G46" s="3361"/>
      <c r="H46" s="1941"/>
      <c r="I46" s="164"/>
      <c r="J46" s="2697">
        <v>1</v>
      </c>
      <c r="K46" s="3424" t="s">
        <v>1776</v>
      </c>
      <c r="L46" s="3424"/>
      <c r="M46" s="3444"/>
      <c r="N46" s="3444"/>
      <c r="O46" s="3444"/>
    </row>
    <row r="47" spans="1:15" ht="12" customHeight="1">
      <c r="A47" s="165" t="s">
        <v>1777</v>
      </c>
      <c r="B47" s="166"/>
      <c r="C47" s="167"/>
      <c r="D47" s="1200" t="s">
        <v>1778</v>
      </c>
      <c r="E47" s="308" t="s">
        <v>1779</v>
      </c>
      <c r="F47" s="168" t="s">
        <v>1780</v>
      </c>
      <c r="G47" s="2720" t="s">
        <v>1781</v>
      </c>
      <c r="H47" s="2721"/>
      <c r="I47" s="164"/>
      <c r="J47" s="2697">
        <v>2</v>
      </c>
      <c r="K47" s="3424" t="s">
        <v>1782</v>
      </c>
      <c r="L47" s="3424"/>
      <c r="M47" s="3445">
        <f>'数据-取费表'!B2</f>
        <v>44865</v>
      </c>
      <c r="N47" s="3445"/>
      <c r="O47" s="3445"/>
    </row>
    <row r="48" spans="1:15" ht="25.5">
      <c r="A48" s="3390" t="s">
        <v>1783</v>
      </c>
      <c r="B48" s="3373"/>
      <c r="C48" s="3373"/>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424" t="s">
        <v>1785</v>
      </c>
      <c r="L48" s="3424"/>
      <c r="M48" s="3446">
        <f ca="1">H101</f>
        <v>131447</v>
      </c>
      <c r="N48" s="3446"/>
      <c r="O48" s="3446"/>
    </row>
    <row r="49" spans="1:35" ht="25.5" customHeight="1">
      <c r="A49" s="2505" t="s">
        <v>1786</v>
      </c>
      <c r="B49" s="3357" t="s">
        <v>1787</v>
      </c>
      <c r="C49" s="3357"/>
      <c r="D49" s="1725">
        <v>0</v>
      </c>
      <c r="E49" s="330" t="s">
        <v>1788</v>
      </c>
      <c r="F49" s="2598" t="s">
        <v>34</v>
      </c>
      <c r="G49" s="3430"/>
      <c r="H49" s="2477" t="s">
        <v>2632</v>
      </c>
      <c r="I49" s="2478"/>
      <c r="J49" s="2697">
        <v>4</v>
      </c>
      <c r="K49" s="3424" t="str">
        <f>IF(项目基本情况!E8="房地产抵押价值","房地产抵押价值","抵押担保权已注销时的房地产抵押价值")</f>
        <v>房地产抵押价值</v>
      </c>
      <c r="L49" s="3424"/>
      <c r="M49" s="3446">
        <f ca="1">IF(项目基本情况!E8="房地产抵押价值",H107,H109)</f>
        <v>131447</v>
      </c>
      <c r="N49" s="3446"/>
      <c r="O49" s="3446"/>
    </row>
    <row r="50" spans="1:35" ht="25.5" customHeight="1">
      <c r="A50" s="2725"/>
      <c r="B50" s="3357" t="s">
        <v>1789</v>
      </c>
      <c r="C50" s="3357"/>
      <c r="D50" s="2726"/>
      <c r="E50" s="338"/>
      <c r="F50" s="2598"/>
      <c r="G50" s="3431"/>
      <c r="H50" s="2479" t="s">
        <v>2633</v>
      </c>
      <c r="I50" s="2478"/>
      <c r="J50" s="3443" t="s">
        <v>1790</v>
      </c>
      <c r="K50" s="3443"/>
      <c r="L50" s="3443"/>
      <c r="M50" s="3443"/>
      <c r="N50" s="3443"/>
      <c r="O50" s="3443"/>
    </row>
    <row r="51" spans="1:35" ht="20.45" customHeight="1">
      <c r="A51" s="2727"/>
      <c r="B51" s="3357" t="s">
        <v>1791</v>
      </c>
      <c r="C51" s="3357"/>
      <c r="D51" s="1200"/>
      <c r="E51" s="333"/>
      <c r="F51" s="2598"/>
      <c r="G51" s="3432"/>
      <c r="H51" s="2479" t="s">
        <v>2634</v>
      </c>
      <c r="I51" s="2478"/>
      <c r="J51" s="2698" t="s">
        <v>1792</v>
      </c>
      <c r="K51" s="3424" t="s">
        <v>1793</v>
      </c>
      <c r="L51" s="3424"/>
      <c r="M51" s="2698" t="s">
        <v>1794</v>
      </c>
      <c r="N51" s="2698" t="s">
        <v>1795</v>
      </c>
      <c r="O51" s="2698" t="s">
        <v>1796</v>
      </c>
    </row>
    <row r="52" spans="1:35" ht="24" customHeight="1">
      <c r="A52" s="2507" t="s">
        <v>1797</v>
      </c>
      <c r="B52" s="3357" t="s">
        <v>1798</v>
      </c>
      <c r="C52" s="3357"/>
      <c r="D52" s="1200">
        <f ca="1">ROUND(D45*'数据-取费表'!B41/(1+'数据-取费表'!C42),0)</f>
        <v>6885</v>
      </c>
      <c r="E52" s="2506" t="s">
        <v>1799</v>
      </c>
      <c r="F52" s="2728">
        <f>'数据-取费表'!B41</f>
        <v>5.5000000000000007E-2</v>
      </c>
      <c r="G52" s="2729"/>
      <c r="H52" s="2718"/>
      <c r="I52" s="1942"/>
      <c r="J52" s="2697">
        <v>1</v>
      </c>
      <c r="K52" s="3425" t="s">
        <v>1800</v>
      </c>
      <c r="L52" s="3425"/>
      <c r="M52" s="2699" t="b">
        <f>D48</f>
        <v>0</v>
      </c>
      <c r="N52" s="2697" t="str">
        <f>E48</f>
        <v>销售额×税（费）率</v>
      </c>
      <c r="O52" s="2700">
        <f>F48</f>
        <v>5.5000000000000007E-2</v>
      </c>
    </row>
    <row r="53" spans="1:35" ht="12" customHeight="1">
      <c r="A53" s="2507" t="s">
        <v>1801</v>
      </c>
      <c r="B53" s="3383" t="s">
        <v>2789</v>
      </c>
      <c r="C53" s="3384"/>
      <c r="D53" s="1200">
        <f ca="1">ROUND(D45*'数据-取费表'!B41/(1+'数据-取费表'!C42),0)</f>
        <v>6885</v>
      </c>
      <c r="E53" s="2506" t="s">
        <v>1799</v>
      </c>
      <c r="F53" s="2728">
        <f>'数据-取费表'!B41</f>
        <v>5.5000000000000007E-2</v>
      </c>
      <c r="G53" s="2729"/>
      <c r="H53" s="2718"/>
      <c r="I53" s="1942"/>
      <c r="J53" s="2697">
        <v>2</v>
      </c>
      <c r="K53" s="3425" t="s">
        <v>1802</v>
      </c>
      <c r="L53" s="3425"/>
      <c r="M53" s="2699">
        <f t="shared" ref="M53:O54" ca="1" si="0">D55</f>
        <v>66</v>
      </c>
      <c r="N53" s="2697" t="str">
        <f t="shared" si="0"/>
        <v>销售额×税（费）率</v>
      </c>
      <c r="O53" s="2700" t="str">
        <f t="shared" si="0"/>
        <v>免征</v>
      </c>
    </row>
    <row r="54" spans="1:35" ht="12" customHeight="1">
      <c r="A54" s="2507" t="s">
        <v>1803</v>
      </c>
      <c r="B54" s="3383" t="s">
        <v>2790</v>
      </c>
      <c r="C54" s="3384"/>
      <c r="D54" s="1200">
        <f ca="1">C68</f>
        <v>6885</v>
      </c>
      <c r="E54" s="333" t="s">
        <v>1804</v>
      </c>
      <c r="F54" s="2728">
        <f>'数据-取费表'!B41</f>
        <v>5.5000000000000007E-2</v>
      </c>
      <c r="G54" s="2729"/>
      <c r="H54" s="2730"/>
      <c r="I54" s="1942"/>
      <c r="J54" s="2697">
        <v>3</v>
      </c>
      <c r="K54" s="3425" t="s">
        <v>1805</v>
      </c>
      <c r="L54" s="3425"/>
      <c r="M54" s="2699">
        <f t="shared" ca="1" si="0"/>
        <v>74518</v>
      </c>
      <c r="N54" s="2697" t="str">
        <f t="shared" si="0"/>
        <v>增值额×税（费）率</v>
      </c>
      <c r="O54" s="2701" t="str">
        <f t="shared" si="0"/>
        <v>免征</v>
      </c>
    </row>
    <row r="55" spans="1:35" ht="24" customHeight="1">
      <c r="A55" s="3372" t="s">
        <v>1806</v>
      </c>
      <c r="B55" s="3373"/>
      <c r="C55" s="3373"/>
      <c r="D55" s="2496">
        <f ca="1">IF(H55="个人住宅",0,ROUND(D45*I55,0))</f>
        <v>66</v>
      </c>
      <c r="E55" s="2506" t="s">
        <v>1807</v>
      </c>
      <c r="F55" s="2728" t="str">
        <f>IF(H55="正常",I55,"免征")</f>
        <v>免征</v>
      </c>
      <c r="G55" s="2729"/>
      <c r="H55" s="2724"/>
      <c r="I55" s="170">
        <f>'数据-取费表'!B49</f>
        <v>5.0000000000000001E-4</v>
      </c>
      <c r="J55" s="2697">
        <f>IF(H59="非个人房产","",4)</f>
        <v>4</v>
      </c>
      <c r="K55" s="3425" t="str">
        <f>IF(H59="非个人房产","——","个人所得税")</f>
        <v>个人所得税</v>
      </c>
      <c r="L55" s="3425"/>
      <c r="M55" s="2702">
        <f ca="1">D59</f>
        <v>1252</v>
      </c>
      <c r="N55" s="2177" t="str">
        <f>E59</f>
        <v>差额计税</v>
      </c>
      <c r="O55" s="2703">
        <f>F59</f>
        <v>0.01</v>
      </c>
    </row>
    <row r="56" spans="1:35" ht="24.75">
      <c r="A56" s="3372" t="s">
        <v>1808</v>
      </c>
      <c r="B56" s="3373"/>
      <c r="C56" s="3373"/>
      <c r="D56" s="2496">
        <f ca="1">IF(H56="个人住宅",D57,D58)</f>
        <v>74518</v>
      </c>
      <c r="E56" s="2506" t="s">
        <v>1809</v>
      </c>
      <c r="F56" s="2728" t="str">
        <f>IF(H56="正常",F58,"免征")</f>
        <v>免征</v>
      </c>
      <c r="G56" s="2731" t="s">
        <v>1810</v>
      </c>
      <c r="H56" s="2732"/>
      <c r="I56" s="1943"/>
      <c r="J56" s="2697" t="str">
        <f>IF(项目基本情况!K6="上海银行",IF(J55="",4,J55+1),"")</f>
        <v/>
      </c>
      <c r="K56" s="3448" t="str">
        <f>IF(项目基本情况!K6="上海银行","其他处置费用","")</f>
        <v/>
      </c>
      <c r="L56" s="3449"/>
      <c r="M56" s="2699" t="str">
        <f>IF(项目基本情况!K6="上海银行",M69,"")</f>
        <v/>
      </c>
      <c r="N56" s="3448" t="str">
        <f>IF(项目基本情况!K6="上海银行","包含处置中涉及的律师、诉讼、拍卖、评估等费用","")</f>
        <v/>
      </c>
      <c r="O56" s="3451"/>
    </row>
    <row r="57" spans="1:35" ht="12.75">
      <c r="A57" s="2507" t="s">
        <v>1786</v>
      </c>
      <c r="B57" s="3383" t="s">
        <v>1811</v>
      </c>
      <c r="C57" s="3384"/>
      <c r="D57" s="1725">
        <v>0</v>
      </c>
      <c r="E57" s="330" t="s">
        <v>1788</v>
      </c>
      <c r="F57" s="308"/>
      <c r="G57" s="2729"/>
      <c r="H57" s="2733"/>
      <c r="I57" s="1943"/>
      <c r="J57" s="3425">
        <f>IF(AND(J55="",J56=""),4,IF(项目基本情况!K6="上海银行",结果表!J56+1,结果表!J55+1))</f>
        <v>5</v>
      </c>
      <c r="K57" s="3425" t="s">
        <v>1812</v>
      </c>
      <c r="L57" s="2704" t="s">
        <v>1813</v>
      </c>
      <c r="M57" s="2705"/>
      <c r="N57" s="2706">
        <f ca="1">SUMIF(M52:M56,"&lt;9e307")</f>
        <v>75836</v>
      </c>
      <c r="O57" s="2707"/>
      <c r="P57" s="2867">
        <f ca="1">N57/M49</f>
        <v>0.57693214755757072</v>
      </c>
    </row>
    <row r="58" spans="1:35" ht="24.75">
      <c r="A58" s="2507" t="s">
        <v>1797</v>
      </c>
      <c r="B58" s="3383" t="s">
        <v>1814</v>
      </c>
      <c r="C58" s="3357"/>
      <c r="D58" s="2496">
        <f ca="1">IF(H58="转让取得",C81,C97)</f>
        <v>74518</v>
      </c>
      <c r="E58" s="2506" t="s">
        <v>1809</v>
      </c>
      <c r="F58" s="308" t="s">
        <v>34</v>
      </c>
      <c r="G58" s="2729"/>
      <c r="H58" s="2732"/>
      <c r="I58" s="1943"/>
      <c r="J58" s="3425"/>
      <c r="K58" s="3425"/>
      <c r="L58" s="2704" t="s">
        <v>1815</v>
      </c>
      <c r="M58" s="2708"/>
      <c r="N58" s="2709" t="str">
        <f ca="1">NUMBERSTRING(INT(N57*10000),2)&amp;"元整"</f>
        <v>柒亿伍仟捌佰叁拾陆万元整</v>
      </c>
      <c r="O58" s="2710"/>
    </row>
    <row r="59" spans="1:35" ht="24.75" thickBot="1">
      <c r="A59" s="3428" t="s">
        <v>1816</v>
      </c>
      <c r="B59" s="3429"/>
      <c r="C59" s="3429"/>
      <c r="D59" s="2734">
        <f ca="1">IF(H59="非个人房产","——",IF(H59="个人住宅（满五唯一有凭证）",0,IF(H59="个人其他（无凭证）",ROUND(D45*F59,0),ROUND(C67*F59,0))))</f>
        <v>1252</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2635</v>
      </c>
      <c r="J59" s="3426">
        <f>J57+1</f>
        <v>6</v>
      </c>
      <c r="K59" s="3425" t="s">
        <v>1817</v>
      </c>
      <c r="L59" s="2697" t="s">
        <v>1813</v>
      </c>
      <c r="M59" s="2711"/>
      <c r="N59" s="2712">
        <f ca="1">M49-N57</f>
        <v>55611</v>
      </c>
      <c r="O59" s="2713"/>
    </row>
    <row r="60" spans="1:35" ht="12" customHeight="1">
      <c r="A60" s="1944"/>
      <c r="B60" s="1882"/>
      <c r="C60" s="1882"/>
      <c r="D60" s="1882"/>
      <c r="E60" s="1713"/>
      <c r="F60" s="1943"/>
      <c r="G60" s="1943"/>
      <c r="H60" s="1945"/>
      <c r="I60" s="134"/>
      <c r="J60" s="3427"/>
      <c r="K60" s="3425"/>
      <c r="L60" s="2704" t="s">
        <v>1815</v>
      </c>
      <c r="M60" s="2708"/>
      <c r="N60" s="2709" t="str">
        <f ca="1">NUMBERSTRING(INT(N59*10000),2)&amp;"元整"</f>
        <v>伍亿伍仟陆佰壹拾壹万元整</v>
      </c>
      <c r="O60" s="2710"/>
    </row>
    <row r="61" spans="1:35" ht="13.5" thickBot="1">
      <c r="A61" s="3370" t="s">
        <v>1818</v>
      </c>
      <c r="B61" s="3370"/>
      <c r="C61" s="3370"/>
      <c r="D61" s="3370"/>
      <c r="E61" s="3370"/>
      <c r="F61" s="1943"/>
      <c r="G61" s="1943"/>
      <c r="H61" s="1945"/>
      <c r="I61" s="134"/>
      <c r="J61" s="2697">
        <f>J59+1</f>
        <v>7</v>
      </c>
      <c r="K61" s="3425" t="s">
        <v>1819</v>
      </c>
      <c r="L61" s="3425"/>
      <c r="M61" s="2714"/>
      <c r="N61" s="2715">
        <f ca="1">ROUND(N59*10000/'数据-汇总表'!E3,0)</f>
        <v>5799</v>
      </c>
      <c r="O61" s="2716"/>
    </row>
    <row r="62" spans="1:35" ht="12.75">
      <c r="A62" s="3388" t="s">
        <v>1820</v>
      </c>
      <c r="B62" s="3389"/>
      <c r="C62" s="2158"/>
      <c r="D62" s="2158" t="s">
        <v>1821</v>
      </c>
      <c r="E62" s="171" t="s">
        <v>1822</v>
      </c>
      <c r="F62" s="1943"/>
      <c r="G62" s="1943"/>
      <c r="H62" s="1945"/>
      <c r="I62" s="134"/>
    </row>
    <row r="63" spans="1:35" ht="12.75">
      <c r="A63" s="178" t="s">
        <v>594</v>
      </c>
      <c r="B63" s="172" t="s">
        <v>1823</v>
      </c>
      <c r="C63" s="2738">
        <f ca="1">ROUND((C64+C65)/(1+'数据-取费表'!C42),0)</f>
        <v>125188</v>
      </c>
      <c r="D63" s="172"/>
      <c r="E63" s="173"/>
      <c r="F63" s="1943"/>
      <c r="G63" s="1943"/>
      <c r="H63" s="1945"/>
      <c r="I63" s="134"/>
      <c r="J63" s="3450" t="s">
        <v>1824</v>
      </c>
      <c r="K63" s="1452" t="s">
        <v>1825</v>
      </c>
      <c r="L63" s="1452">
        <f ca="1">IF(M49&gt;10000,M49*0.5%,IF(AND(M49&gt;1000,M49&lt;=10000),M49*1%,IF(AND(M49&gt;100,M49&lt;=1000),M49*3%,IF(AND(M49&gt;10,M49&lt;=100),M49*5%,M49*8%))))</f>
        <v>657.23500000000001</v>
      </c>
      <c r="M63" s="308">
        <f ca="1">ROUND(L63,1)</f>
        <v>657.2</v>
      </c>
      <c r="N63" s="2717"/>
      <c r="Z63" s="1887"/>
      <c r="AI63" s="1888"/>
    </row>
    <row r="64" spans="1:35" ht="14.25" customHeight="1">
      <c r="A64" s="174" t="s">
        <v>589</v>
      </c>
      <c r="B64" s="175" t="s">
        <v>1826</v>
      </c>
      <c r="C64" s="2739">
        <f ca="1">D45</f>
        <v>131447</v>
      </c>
      <c r="D64" s="175" t="s">
        <v>32</v>
      </c>
      <c r="E64" s="177"/>
      <c r="F64" s="1943"/>
      <c r="G64" s="1943"/>
      <c r="H64" s="1945"/>
      <c r="I64" s="134"/>
      <c r="J64" s="3450"/>
      <c r="K64" s="1452" t="s">
        <v>1827</v>
      </c>
      <c r="L64" s="1452">
        <f ca="1">IF(M49&gt;2000,M49*0.5%,IF(AND(M49&gt;1000,M49&lt;=2000),M49*0.6%,IF(AND(M49&gt;500,M49&lt;=1000),M49*0.7%,IF(AND(M49&gt;200,M49&lt;=500),M49*0.8%,IF(AND(M49&gt;100,M49&lt;=200),M49*0.9%,IF(AND(M49&gt;50,M49&lt;=100),M49*1%,IF(AND(M49&gt;20,M49&lt;=50),M49*1.5%,IF(AND(M49&gt;10,M49&lt;=20),M49*2%,IF(AND(M49&gt;1,M49&lt;=10),M49*2.5%)))))))))</f>
        <v>657.23500000000001</v>
      </c>
      <c r="M64" s="308">
        <f t="shared" ref="M64:M65" ca="1" si="1">ROUND(L64,1)</f>
        <v>657.2</v>
      </c>
      <c r="N64" s="2718" t="s">
        <v>1828</v>
      </c>
      <c r="Z64" s="1887"/>
      <c r="AI64" s="1888"/>
    </row>
    <row r="65" spans="1:35" ht="14.25" customHeight="1">
      <c r="A65" s="174" t="s">
        <v>590</v>
      </c>
      <c r="B65" s="175" t="s">
        <v>1829</v>
      </c>
      <c r="C65" s="2740"/>
      <c r="D65" s="175"/>
      <c r="E65" s="177"/>
      <c r="F65" s="1943"/>
      <c r="G65" s="1943"/>
      <c r="H65" s="1945"/>
      <c r="I65" s="134"/>
      <c r="J65" s="3450"/>
      <c r="K65" s="1452" t="s">
        <v>1830</v>
      </c>
      <c r="L65" s="1452">
        <f ca="1">IF(M49&gt;1000,M49*0.1%,IF(AND(M49&gt;500,M49&lt;=1000),M49*0.5%,IF(AND(M49&gt;50,M49&lt;=500),M49*1%,IF(AND(M49&gt;1,M49&lt;=50),M49*1.5%))))</f>
        <v>131.447</v>
      </c>
      <c r="M65" s="308">
        <f t="shared" ca="1" si="1"/>
        <v>131.4</v>
      </c>
      <c r="N65" s="2718" t="s">
        <v>1828</v>
      </c>
      <c r="Z65" s="1887"/>
      <c r="AI65" s="1888"/>
    </row>
    <row r="66" spans="1:35" ht="14.25" customHeight="1">
      <c r="A66" s="178" t="s">
        <v>591</v>
      </c>
      <c r="B66" s="179" t="s">
        <v>1831</v>
      </c>
      <c r="C66" s="2741"/>
      <c r="D66" s="179" t="s">
        <v>32</v>
      </c>
      <c r="E66" s="1459" t="s">
        <v>1096</v>
      </c>
      <c r="F66" s="1943"/>
      <c r="G66" s="1943"/>
      <c r="H66" s="1945"/>
      <c r="I66" s="134"/>
      <c r="J66" s="3450"/>
      <c r="K66" s="1452" t="s">
        <v>1832</v>
      </c>
      <c r="L66" s="1452">
        <f ca="1">M49*0.5%</f>
        <v>657.23500000000001</v>
      </c>
      <c r="M66" s="308">
        <f ca="1">IF(L66&gt;0.5,0.5,ROUND(L66,0))</f>
        <v>0.5</v>
      </c>
      <c r="N66" s="2718" t="s">
        <v>1833</v>
      </c>
      <c r="Z66" s="1887"/>
      <c r="AI66" s="1888"/>
    </row>
    <row r="67" spans="1:35" ht="14.25" customHeight="1">
      <c r="A67" s="178" t="s">
        <v>592</v>
      </c>
      <c r="B67" s="179" t="s">
        <v>1834</v>
      </c>
      <c r="C67" s="2742">
        <f ca="1">C63-C66</f>
        <v>125188</v>
      </c>
      <c r="D67" s="175" t="s">
        <v>32</v>
      </c>
      <c r="E67" s="177"/>
      <c r="F67" s="1943"/>
      <c r="G67" s="1943"/>
      <c r="H67" s="1945"/>
      <c r="I67" s="134"/>
      <c r="J67" s="3450"/>
      <c r="K67" s="1452" t="s">
        <v>1835</v>
      </c>
      <c r="L67" s="1452">
        <f ca="1">IF(M49&gt;=10000,(8.25+(M49-10000)*0.01%),IF(AND(M49&gt;=8000,M49&lt;10000),(7.85+(M49-8000)*0.02%),IF(AND(M49&gt;=5000,M49&lt;8000),(6.65+(M49-5000)*0.04%),IF(AND(M49&gt;=2000,M49&lt;5000),(4.25+(PM49-2000)*0.08%),IF(AND(M49&gt;=1000,M49&lt;2000),(2.75+(M49-1000)*0.15%),IF(AND(M49&gt;=100,M49&lt;1000),(0.5+(M49-100)*0.25%),IF(AND(M49&gt;0,M49&lt;100),M49*0.5%)))))))</f>
        <v>20.3947</v>
      </c>
      <c r="M67" s="308">
        <f ca="1">ROUND(L67*0.9,1)</f>
        <v>18.399999999999999</v>
      </c>
      <c r="N67" s="2717"/>
      <c r="Z67" s="1887"/>
      <c r="AI67" s="1888"/>
    </row>
    <row r="68" spans="1:35" ht="14.25" customHeight="1" thickBot="1">
      <c r="A68" s="181" t="s">
        <v>593</v>
      </c>
      <c r="B68" s="182" t="s">
        <v>1836</v>
      </c>
      <c r="C68" s="2743">
        <f ca="1">IF(C67&lt;=0,0,ROUND(C67*D68,0))</f>
        <v>6885</v>
      </c>
      <c r="D68" s="2744">
        <f>'数据-取费表'!B41</f>
        <v>5.5000000000000007E-2</v>
      </c>
      <c r="E68" s="184"/>
      <c r="F68" s="1943"/>
      <c r="G68" s="1943"/>
      <c r="H68" s="1945"/>
      <c r="I68" s="134"/>
      <c r="J68" s="3450"/>
      <c r="K68" s="1452" t="s">
        <v>1837</v>
      </c>
      <c r="L68" s="1452">
        <f ca="1">IF(M49&gt;10000,M49*0.5%,IF(AND(M49&gt;5000,M49&lt;=10000),M49*1%,IF(AND(M49&gt;1000,M49&lt;=5000),M49*2%,IF(AND(M49&gt;200,M49&lt;=1000),M49*3%,M49*5%))))</f>
        <v>657.23500000000001</v>
      </c>
      <c r="M68" s="308">
        <f ca="1">ROUND(L68,1)</f>
        <v>657.2</v>
      </c>
      <c r="N68" s="2717"/>
      <c r="Z68" s="1887"/>
      <c r="AI68" s="1888"/>
    </row>
    <row r="69" spans="1:35" s="1907" customFormat="1" ht="16.5" customHeight="1">
      <c r="A69" s="1946"/>
      <c r="B69" s="1947"/>
      <c r="C69" s="1948"/>
      <c r="D69" s="1949"/>
      <c r="E69" s="1950"/>
      <c r="F69" s="1713"/>
      <c r="G69" s="1713"/>
      <c r="H69" s="1712"/>
      <c r="I69" s="1882"/>
      <c r="J69" s="3450"/>
      <c r="K69" s="1452" t="s">
        <v>1838</v>
      </c>
      <c r="L69" s="1452"/>
      <c r="M69" s="308">
        <f ca="1">ROUND(SUM(M63:M68),0)</f>
        <v>2122</v>
      </c>
      <c r="N69" s="2719">
        <f ca="1">M69/M49</f>
        <v>1.614338859007813E-2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09" t="s">
        <v>1839</v>
      </c>
      <c r="B70" s="3410"/>
      <c r="C70" s="3410"/>
      <c r="D70" s="3410"/>
      <c r="E70" s="3410"/>
      <c r="F70" s="3410"/>
      <c r="G70" s="3410"/>
      <c r="H70" s="3410"/>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8" t="s">
        <v>1820</v>
      </c>
      <c r="B71" s="3389"/>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125188</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626</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383" t="s">
        <v>1847</v>
      </c>
      <c r="F76" s="3357"/>
      <c r="G76" s="3357"/>
      <c r="H76" s="3408"/>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626</v>
      </c>
      <c r="D78" s="2751">
        <f>'数据-取费表'!B43</f>
        <v>5.000000000000001E-3</v>
      </c>
      <c r="E78" s="3367" t="s">
        <v>1851</v>
      </c>
      <c r="F78" s="3368"/>
      <c r="G78" s="3368"/>
      <c r="H78" s="337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124562</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198.98083067092651</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74518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9" t="s">
        <v>1855</v>
      </c>
      <c r="B83" s="3410"/>
      <c r="C83" s="3410"/>
      <c r="D83" s="3410"/>
      <c r="E83" s="3410"/>
      <c r="F83" s="3410"/>
      <c r="G83" s="3410"/>
      <c r="H83" s="3410"/>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8" t="s">
        <v>1820</v>
      </c>
      <c r="B84" s="3389"/>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125188</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626</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452" t="s">
        <v>2627</v>
      </c>
      <c r="H90" s="3453"/>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367" t="s">
        <v>1864</v>
      </c>
      <c r="F91" s="3368"/>
      <c r="G91" s="336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367" t="s">
        <v>1867</v>
      </c>
      <c r="F92" s="3368"/>
      <c r="G92" s="3368"/>
      <c r="H92" s="3377"/>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626</v>
      </c>
      <c r="D93" s="2751">
        <f>'数据-取费表'!B43</f>
        <v>5.000000000000001E-3</v>
      </c>
      <c r="E93" s="3367" t="s">
        <v>1851</v>
      </c>
      <c r="F93" s="3368"/>
      <c r="G93" s="3368"/>
      <c r="H93" s="337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378" t="s">
        <v>1871</v>
      </c>
      <c r="F94" s="3379"/>
      <c r="G94" s="3379"/>
      <c r="H94" s="338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124562</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198.98083067092651</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74518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51" t="s">
        <v>1873</v>
      </c>
      <c r="B100" s="3352"/>
      <c r="C100" s="3352"/>
      <c r="D100" s="3369"/>
      <c r="E100" s="3352" t="s">
        <v>1874</v>
      </c>
      <c r="F100" s="3352"/>
      <c r="G100" s="3352"/>
      <c r="H100" s="3369"/>
      <c r="I100" s="134"/>
    </row>
    <row r="101" spans="1:35" ht="18.75" customHeight="1">
      <c r="A101" s="3433" t="s">
        <v>1875</v>
      </c>
      <c r="B101" s="3434"/>
      <c r="C101" s="2759" t="str">
        <f>C4</f>
        <v>成本法</v>
      </c>
      <c r="D101" s="2760" t="str">
        <f>D4</f>
        <v>假设开发法</v>
      </c>
      <c r="E101" s="3447" t="s">
        <v>1876</v>
      </c>
      <c r="F101" s="3401"/>
      <c r="G101" s="1962" t="s">
        <v>1877</v>
      </c>
      <c r="H101" s="2769">
        <f ca="1">H118</f>
        <v>131447</v>
      </c>
      <c r="I101" s="134"/>
    </row>
    <row r="102" spans="1:35" ht="18.75" customHeight="1">
      <c r="A102" s="3403" t="s">
        <v>1878</v>
      </c>
      <c r="B102" s="2758" t="s">
        <v>1877</v>
      </c>
      <c r="C102" s="2759">
        <f ca="1">C19</f>
        <v>139257</v>
      </c>
      <c r="D102" s="2760">
        <f ca="1">D19</f>
        <v>123636</v>
      </c>
      <c r="E102" s="3447"/>
      <c r="F102" s="3401"/>
      <c r="G102" s="1962" t="s">
        <v>1879</v>
      </c>
      <c r="H102" s="2729">
        <f ca="1">I118</f>
        <v>13707</v>
      </c>
      <c r="I102" s="134"/>
    </row>
    <row r="103" spans="1:35" ht="42.75" customHeight="1">
      <c r="A103" s="3403"/>
      <c r="B103" s="2758" t="s">
        <v>1879</v>
      </c>
      <c r="C103" s="2761">
        <f ca="1">C20</f>
        <v>14522</v>
      </c>
      <c r="D103" s="2762">
        <f ca="1">D20</f>
        <v>12893</v>
      </c>
      <c r="E103" s="3441" t="s">
        <v>1880</v>
      </c>
      <c r="F103" s="3442"/>
      <c r="G103" s="1963" t="s">
        <v>1881</v>
      </c>
      <c r="H103" s="2769">
        <f>IF(D36="正常操作",H104+H105+H106,H105+H106)</f>
        <v>0</v>
      </c>
      <c r="I103" s="134"/>
    </row>
    <row r="104" spans="1:35" ht="18.75" customHeight="1">
      <c r="A104" s="3403" t="s">
        <v>1882</v>
      </c>
      <c r="B104" s="2763" t="s">
        <v>1877</v>
      </c>
      <c r="C104" s="2764">
        <f ca="1">H118</f>
        <v>131447</v>
      </c>
      <c r="D104" s="2765"/>
      <c r="E104" s="1809" t="s">
        <v>1883</v>
      </c>
      <c r="F104" s="1801"/>
      <c r="G104" s="1963" t="s">
        <v>1881</v>
      </c>
      <c r="H104" s="2770">
        <f>IF(D36="同一抵押权人同一抵押物续贷",C36&amp;"（续贷，未扣减，详见特别提示）",C36)</f>
        <v>0</v>
      </c>
      <c r="I104" s="134"/>
    </row>
    <row r="105" spans="1:35" ht="18.75" customHeight="1" thickBot="1">
      <c r="A105" s="3404"/>
      <c r="B105" s="2766" t="s">
        <v>1879</v>
      </c>
      <c r="C105" s="2767">
        <f ca="1">I118</f>
        <v>13707</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400" t="str">
        <f>IF(项目基本情况!E8="已注销","——","3.房地产抵押价值")</f>
        <v>3.房地产抵押价值</v>
      </c>
      <c r="F107" s="3401"/>
      <c r="G107" s="1962" t="s">
        <v>1877</v>
      </c>
      <c r="H107" s="2769">
        <f ca="1">IF(E107="——","——",H101-H103)</f>
        <v>131447</v>
      </c>
      <c r="I107" s="134"/>
    </row>
    <row r="108" spans="1:35" ht="18.75" customHeight="1">
      <c r="A108" s="134"/>
      <c r="B108" s="134"/>
      <c r="C108" s="134"/>
      <c r="D108" s="134"/>
      <c r="E108" s="3400"/>
      <c r="F108" s="3401"/>
      <c r="G108" s="1962" t="s">
        <v>1879</v>
      </c>
      <c r="H108" s="2729">
        <f ca="1">ROUND(H107*10000/'数据-汇总表'!E3,0)</f>
        <v>13707</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401"/>
      <c r="G109" s="1962" t="s">
        <v>1877</v>
      </c>
      <c r="H109" s="2772" t="str">
        <f>IF(E109="——","——",H101-H105-H106)</f>
        <v>——</v>
      </c>
      <c r="I109" s="134"/>
    </row>
    <row r="110" spans="1:35" ht="18.75" customHeight="1">
      <c r="A110" s="134"/>
      <c r="B110" s="134"/>
      <c r="C110" s="134"/>
      <c r="D110" s="134"/>
      <c r="E110" s="3400"/>
      <c r="F110" s="3401"/>
      <c r="G110" s="1962" t="s">
        <v>1879</v>
      </c>
      <c r="H110" s="2729" t="str">
        <f>IF(H109="——","——",ROUND(H109*10000/'数据-汇总表'!E3,0))</f>
        <v>——</v>
      </c>
      <c r="I110" s="134"/>
    </row>
    <row r="111" spans="1:35" ht="18.75" customHeight="1">
      <c r="A111" s="134"/>
      <c r="B111" s="134"/>
      <c r="C111" s="134"/>
      <c r="D111" s="134"/>
      <c r="E111" s="3435" t="str">
        <f>IF(项目基本情况!E9="抵押净值",IF(OR(项目基本情况!E8="已注销",项目基本情况!E8="房地产抵押价值"),"4.抵押净值","5.抵押净值"),"——")</f>
        <v>——</v>
      </c>
      <c r="F111" s="3402"/>
      <c r="G111" s="1962" t="s">
        <v>1877</v>
      </c>
      <c r="H111" s="2769" t="str">
        <f>IF(E111="——","——",N59)</f>
        <v>——</v>
      </c>
      <c r="I111" s="134"/>
    </row>
    <row r="112" spans="1:35" ht="18.75" customHeight="1" thickBot="1">
      <c r="A112" s="134"/>
      <c r="B112" s="134"/>
      <c r="C112" s="134"/>
      <c r="D112" s="134"/>
      <c r="E112" s="3436"/>
      <c r="F112" s="3437"/>
      <c r="G112" s="1965" t="s">
        <v>1879</v>
      </c>
      <c r="H112" s="2773" t="str">
        <f>IF(E111="——","——",N61)</f>
        <v>——</v>
      </c>
      <c r="I112" s="134"/>
    </row>
    <row r="113" spans="1:27" ht="18.75" customHeight="1">
      <c r="A113" s="134"/>
      <c r="B113" s="134"/>
      <c r="C113" s="134"/>
      <c r="D113" s="134"/>
      <c r="E113" s="3405" t="s">
        <v>1885</v>
      </c>
      <c r="F113" s="3405"/>
      <c r="G113" s="3405"/>
      <c r="H113" s="3405"/>
      <c r="I113" s="134"/>
    </row>
    <row r="114" spans="1:27" ht="3.75" customHeight="1">
      <c r="A114" s="1882"/>
      <c r="B114" s="1882"/>
      <c r="C114" s="1882"/>
      <c r="D114" s="1882"/>
      <c r="E114" s="1944"/>
      <c r="F114" s="1944"/>
      <c r="G114" s="1944"/>
      <c r="H114" s="1944"/>
      <c r="I114" s="1882"/>
    </row>
    <row r="115" spans="1:27" ht="18.75" customHeight="1">
      <c r="A115" s="3418" t="s">
        <v>1887</v>
      </c>
      <c r="B115" s="3419"/>
      <c r="C115" s="3419"/>
      <c r="D115" s="3419"/>
      <c r="E115" s="3419"/>
      <c r="F115" s="3419"/>
      <c r="G115" s="3419"/>
      <c r="H115" s="3419"/>
      <c r="I115" s="3420"/>
    </row>
    <row r="116" spans="1:27" ht="27" customHeight="1">
      <c r="A116" s="3371" t="s">
        <v>1888</v>
      </c>
      <c r="B116" s="3406" t="s">
        <v>1889</v>
      </c>
      <c r="C116" s="3406" t="s">
        <v>1890</v>
      </c>
      <c r="D116" s="3422" t="s">
        <v>1891</v>
      </c>
      <c r="E116" s="3423"/>
      <c r="F116" s="3414" t="s">
        <v>1892</v>
      </c>
      <c r="G116" s="3414"/>
      <c r="H116" s="3371" t="s">
        <v>1893</v>
      </c>
      <c r="I116" s="3371"/>
    </row>
    <row r="117" spans="1:27" ht="18.75" customHeight="1">
      <c r="A117" s="3371"/>
      <c r="B117" s="3407"/>
      <c r="C117" s="3407"/>
      <c r="D117" s="2501" t="s">
        <v>1894</v>
      </c>
      <c r="E117" s="2501" t="s">
        <v>1895</v>
      </c>
      <c r="F117" s="2501" t="s">
        <v>1894</v>
      </c>
      <c r="G117" s="2501" t="s">
        <v>1896</v>
      </c>
      <c r="H117" s="2501" t="s">
        <v>1894</v>
      </c>
      <c r="I117" s="2501" t="s">
        <v>1896</v>
      </c>
    </row>
    <row r="118" spans="1:27" ht="24.75" customHeight="1">
      <c r="A118" s="2774" t="str">
        <f>项目基本情况!S2</f>
        <v>北京市房地产</v>
      </c>
      <c r="B118" s="2501">
        <f>M18</f>
        <v>95896.06</v>
      </c>
      <c r="C118" s="2501">
        <f>M19</f>
        <v>15644.81</v>
      </c>
      <c r="D118" s="2501">
        <f ca="1">ROUND(IF(D32="总价",C34,E118*B118/10000),0)</f>
        <v>106866</v>
      </c>
      <c r="E118" s="2501">
        <f ca="1">ROUND(IF(C33="自定义",IF(D32="楼面单价",C34,D118*10000/B118),I118-G118),0)</f>
        <v>11144</v>
      </c>
      <c r="F118" s="2501">
        <f ca="1">ROUND(IF(D32="总价",C35,G118*B118/10000),0)</f>
        <v>24581</v>
      </c>
      <c r="G118" s="2501">
        <f ca="1">ROUND(IF(D32="楼面单价",C35,F118*10000/B118),0)</f>
        <v>2563</v>
      </c>
      <c r="H118" s="2501">
        <f ca="1">ROUND(IF(D32="总价",C32,I118*B118/10000),0)</f>
        <v>131447</v>
      </c>
      <c r="I118" s="2501">
        <f ca="1">ROUND(IF(D32="楼面单价",C32,H118*10000/B118),0)</f>
        <v>13707</v>
      </c>
    </row>
    <row r="119" spans="1:27" ht="18.75" customHeight="1">
      <c r="A119" s="3371" t="s">
        <v>1897</v>
      </c>
      <c r="B119" s="3371"/>
      <c r="C119" s="3371"/>
      <c r="D119" s="3411" t="str">
        <f ca="1">NUMBERSTRING(INT(D118*10000),2)&amp;"元整"</f>
        <v>壹拾亿陆仟捌佰陆拾陆万元整</v>
      </c>
      <c r="E119" s="3413"/>
      <c r="F119" s="3411" t="str">
        <f ca="1">NUMBERSTRING(INT(F118*10000),2)&amp;"元整"</f>
        <v>贰亿肆仟伍佰捌拾壹万元整</v>
      </c>
      <c r="G119" s="3413"/>
      <c r="H119" s="3411" t="str">
        <f ca="1">NUMBERSTRING(INT(H118*10000),2)&amp;"元整"</f>
        <v>壹拾叁亿壹仟肆佰肆拾柒万元整</v>
      </c>
      <c r="I119" s="3413"/>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15" t="s">
        <v>1897</v>
      </c>
      <c r="B121" s="3416"/>
      <c r="C121" s="3417"/>
      <c r="D121" s="3411" t="str">
        <f>IF(D120=0,"零元整",NUMBERSTRING(INT(D120*10000),2)&amp;"元整")</f>
        <v>零元整</v>
      </c>
      <c r="E121" s="3412"/>
      <c r="F121" s="3412"/>
      <c r="G121" s="3412"/>
      <c r="H121" s="3412"/>
      <c r="I121" s="3413"/>
      <c r="AA121" s="734"/>
    </row>
    <row r="122" spans="1:27" ht="18.75" customHeight="1">
      <c r="A122" s="3402" t="str">
        <f>IF(项目基本情况!B9="房地产市场价值","",MID(E107,3,LEN(E107)-2))</f>
        <v>房地产抵押价值</v>
      </c>
      <c r="B122" s="3402"/>
      <c r="C122" s="3402"/>
      <c r="D122" s="3438">
        <f ca="1">H107</f>
        <v>131447</v>
      </c>
      <c r="E122" s="3439"/>
      <c r="F122" s="3439"/>
      <c r="G122" s="3439"/>
      <c r="H122" s="3439"/>
      <c r="I122" s="3440"/>
      <c r="AA122" s="734"/>
    </row>
    <row r="123" spans="1:27" ht="18.75" customHeight="1">
      <c r="A123" s="3371" t="s">
        <v>1897</v>
      </c>
      <c r="B123" s="3371"/>
      <c r="C123" s="3371"/>
      <c r="D123" s="3411" t="str">
        <f ca="1">NUMBERSTRING(INT(D122*10000),2)&amp;"元整"</f>
        <v>壹拾叁亿壹仟肆佰肆拾柒万元整</v>
      </c>
      <c r="E123" s="3412"/>
      <c r="F123" s="3412"/>
      <c r="G123" s="3412"/>
      <c r="H123" s="3412"/>
      <c r="I123" s="3413"/>
      <c r="AA123" s="734"/>
    </row>
    <row r="124" spans="1:27" ht="18.75" customHeight="1">
      <c r="A124" s="3402" t="str">
        <f>IF(项目基本情况!B9="房地产市场价值","",MID(E109,3,LEN(E109)-2))</f>
        <v/>
      </c>
      <c r="B124" s="3402"/>
      <c r="C124" s="3402"/>
      <c r="D124" s="3438" t="str">
        <f>H109</f>
        <v>——</v>
      </c>
      <c r="E124" s="3439"/>
      <c r="F124" s="3439"/>
      <c r="G124" s="3439"/>
      <c r="H124" s="3439"/>
      <c r="I124" s="3440"/>
      <c r="AA124" s="734"/>
    </row>
    <row r="125" spans="1:27" ht="18.75" customHeight="1">
      <c r="A125" s="3371" t="s">
        <v>1897</v>
      </c>
      <c r="B125" s="3371"/>
      <c r="C125" s="3371"/>
      <c r="D125" s="3411" t="e">
        <f>NUMBERSTRING(INT(D124*10000),2)&amp;"元整"</f>
        <v>#VALUE!</v>
      </c>
      <c r="E125" s="3412"/>
      <c r="F125" s="3412"/>
      <c r="G125" s="3412"/>
      <c r="H125" s="3412"/>
      <c r="I125" s="3413"/>
      <c r="AA125" s="734"/>
    </row>
    <row r="126" spans="1:27" ht="18.75" customHeight="1">
      <c r="A126" s="3402" t="str">
        <f>IF(项目基本情况!B9="房地产市场价值","",MID(E111,3,LEN(E111)-2))</f>
        <v/>
      </c>
      <c r="B126" s="3402"/>
      <c r="C126" s="3402"/>
      <c r="D126" s="3438" t="str">
        <f>H111</f>
        <v>——</v>
      </c>
      <c r="E126" s="3439"/>
      <c r="F126" s="3439"/>
      <c r="G126" s="3439"/>
      <c r="H126" s="3439"/>
      <c r="I126" s="3440"/>
      <c r="AA126" s="734"/>
    </row>
    <row r="127" spans="1:27" ht="18.75" customHeight="1">
      <c r="A127" s="3371" t="s">
        <v>1897</v>
      </c>
      <c r="B127" s="3371"/>
      <c r="C127" s="3371"/>
      <c r="D127" s="3411" t="e">
        <f>NUMBERSTRING(INT(D126*10000),2)&amp;"元整"</f>
        <v>#VALUE!</v>
      </c>
      <c r="E127" s="3412"/>
      <c r="F127" s="3412"/>
      <c r="G127" s="3412"/>
      <c r="H127" s="3412"/>
      <c r="I127" s="3413"/>
      <c r="AA127" s="734"/>
    </row>
    <row r="128" spans="1:27" ht="21.75" customHeight="1">
      <c r="A128" s="3421" t="s">
        <v>1898</v>
      </c>
      <c r="B128" s="3421"/>
      <c r="C128" s="3421"/>
      <c r="D128" s="3421"/>
      <c r="E128" s="3421"/>
      <c r="F128" s="3421"/>
      <c r="G128" s="3421"/>
      <c r="H128" s="3421"/>
      <c r="I128" s="3421"/>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139257</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14522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91186</v>
      </c>
      <c r="D5" s="217" t="s">
        <v>1914</v>
      </c>
      <c r="E5" s="218" t="s">
        <v>1915</v>
      </c>
      <c r="F5" s="218" t="s">
        <v>1916</v>
      </c>
      <c r="G5" s="219"/>
    </row>
    <row r="6" spans="1:9" s="220" customFormat="1" ht="13.5" customHeight="1">
      <c r="A6" s="867" t="s">
        <v>1917</v>
      </c>
      <c r="B6" s="221" t="s">
        <v>1918</v>
      </c>
      <c r="C6" s="222">
        <f>'土地比较法-住宅、综合'!B2</f>
        <v>86626</v>
      </c>
      <c r="D6" s="223"/>
      <c r="E6" s="224"/>
      <c r="F6" s="224"/>
      <c r="G6" s="225"/>
    </row>
    <row r="7" spans="1:9" s="220" customFormat="1" ht="13.5" customHeight="1">
      <c r="A7" s="867" t="s">
        <v>1919</v>
      </c>
      <c r="B7" s="221" t="s">
        <v>1920</v>
      </c>
      <c r="C7" s="226">
        <f>ROUND(C6*F7,0)</f>
        <v>2642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1918</v>
      </c>
      <c r="D8" s="228"/>
      <c r="E8" s="226"/>
      <c r="F8" s="227"/>
      <c r="G8" s="1991" t="s">
        <v>3332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2" t="s">
        <v>3333</v>
      </c>
      <c r="H9" s="1252"/>
      <c r="I9" s="1993" t="s">
        <v>1924</v>
      </c>
    </row>
    <row r="10" spans="1:9" s="220" customFormat="1" ht="13.5" customHeight="1">
      <c r="A10" s="868" t="s">
        <v>620</v>
      </c>
      <c r="B10" s="230" t="s">
        <v>1925</v>
      </c>
      <c r="C10" s="231">
        <f ca="1">ROUND(D10*E10/10000,0)</f>
        <v>1918</v>
      </c>
      <c r="D10" s="935">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95896.06</v>
      </c>
      <c r="E19" s="217">
        <f>'数据-取费表'!B31</f>
        <v>200</v>
      </c>
      <c r="F19" s="237"/>
      <c r="G19" s="1991" t="s">
        <v>3334</v>
      </c>
    </row>
    <row r="20" spans="1:7" s="220" customFormat="1" ht="13.5" customHeight="1">
      <c r="A20" s="261" t="s">
        <v>1938</v>
      </c>
      <c r="B20" s="216" t="s">
        <v>1939</v>
      </c>
      <c r="C20" s="238">
        <f ca="1">ROUND((C5+C19)*F20,0)</f>
        <v>1824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5791</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5735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6046</v>
      </c>
      <c r="D27" s="241">
        <f ca="1">C29</f>
        <v>1.2999999999999999E-3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6046</v>
      </c>
      <c r="D28" s="241"/>
      <c r="E28" s="242"/>
      <c r="F28" s="252"/>
      <c r="G28" s="253"/>
    </row>
    <row r="29" spans="1:7" s="220" customFormat="1" ht="13.5" customHeight="1">
      <c r="A29" s="869" t="s">
        <v>611</v>
      </c>
      <c r="B29" s="254" t="s">
        <v>1962</v>
      </c>
      <c r="C29" s="244">
        <f ca="1">ROUND(C21*F27*'数据-取费表'!B21/'数据-取费表'!B20,4)</f>
        <v>1.2999999999999999E-3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113262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18500</v>
      </c>
      <c r="D34" s="223"/>
      <c r="E34" s="226"/>
      <c r="F34" s="263">
        <f ca="1">IF('数据-取费表'!B24=0,1,IF(B1="",'数据-取费表'!N16,INDIRECT("'数据-取费表'!n"&amp;$G$1)))</f>
        <v>0.5</v>
      </c>
      <c r="G34" s="225" t="s">
        <v>1971</v>
      </c>
    </row>
    <row r="35" spans="1:7" ht="13.5" customHeight="1">
      <c r="A35" s="869" t="s">
        <v>615</v>
      </c>
      <c r="B35" s="221" t="s">
        <v>1972</v>
      </c>
      <c r="C35" s="226">
        <f ca="1">ROUND(C34*F35,0)</f>
        <v>555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959</v>
      </c>
      <c r="D37" s="223">
        <f ca="1">D19</f>
        <v>95896.06</v>
      </c>
      <c r="E37" s="255">
        <f>'数据-取费表'!B35</f>
        <v>200</v>
      </c>
      <c r="F37" s="265"/>
      <c r="G37" s="267" t="s">
        <v>1977</v>
      </c>
    </row>
    <row r="38" spans="1:7" ht="13.5" customHeight="1">
      <c r="A38" s="869" t="s">
        <v>618</v>
      </c>
      <c r="B38" s="221" t="s">
        <v>1978</v>
      </c>
      <c r="C38" s="226">
        <f ca="1">ROUND(C34*F38,0)</f>
        <v>278</v>
      </c>
      <c r="D38" s="226"/>
      <c r="E38" s="226"/>
      <c r="F38" s="265">
        <f>'数据-取费表'!B36</f>
        <v>1.4999999999999999E-2</v>
      </c>
      <c r="G38" s="225" t="s">
        <v>1973</v>
      </c>
    </row>
    <row r="39" spans="1:7" s="220" customFormat="1" ht="13.5" customHeight="1">
      <c r="A39" s="261" t="s">
        <v>1979</v>
      </c>
      <c r="B39" s="216" t="s">
        <v>1980</v>
      </c>
      <c r="C39" s="238">
        <f ca="1">ROUND(C33*F20,0)</f>
        <v>406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641</v>
      </c>
      <c r="D41" s="241">
        <f ca="1">C44</f>
        <v>5.9999999999999995E-4</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628</v>
      </c>
      <c r="D42" s="244"/>
      <c r="E42" s="244"/>
      <c r="F42" s="245"/>
      <c r="G42" s="3454" t="s">
        <v>1989</v>
      </c>
    </row>
    <row r="43" spans="1:7" ht="13.5" customHeight="1">
      <c r="A43" s="869" t="s">
        <v>611</v>
      </c>
      <c r="B43" s="221" t="s">
        <v>1990</v>
      </c>
      <c r="C43" s="244">
        <f ca="1">ROUND(IF('数据-取费表'!B22&lt;=1,C39*F22*'数据-取费表'!B21/2,C39*(POWER((1+F22),'数据-取费表'!B21/2)-1)),0)</f>
        <v>13</v>
      </c>
      <c r="D43" s="244"/>
      <c r="E43" s="244"/>
      <c r="F43" s="245"/>
      <c r="G43" s="3455"/>
    </row>
    <row r="44" spans="1:7" ht="13.5" customHeight="1">
      <c r="A44" s="869" t="s">
        <v>612</v>
      </c>
      <c r="B44" s="221" t="s">
        <v>1991</v>
      </c>
      <c r="C44" s="244">
        <f ca="1">ROUND(IF('数据-取费表'!B22&lt;=1,C40*F22*'数据-取费表'!B21/2,C40*(POWER((1+F22),'数据-取费表'!B21/2)-1)),4)</f>
        <v>5.9999999999999995E-4</v>
      </c>
      <c r="D44" s="244"/>
      <c r="E44" s="244"/>
      <c r="F44" s="245"/>
      <c r="G44" s="3456"/>
    </row>
    <row r="45" spans="1:7" s="220" customFormat="1" ht="13.5" customHeight="1">
      <c r="A45" s="261" t="s">
        <v>1992</v>
      </c>
      <c r="B45" s="250" t="s">
        <v>1958</v>
      </c>
      <c r="C45" s="251">
        <f ca="1">C46</f>
        <v>2691</v>
      </c>
      <c r="D45" s="241">
        <f ca="1">C47</f>
        <v>2.5999999999999999E-3</v>
      </c>
      <c r="E45" s="242" t="s">
        <v>1984</v>
      </c>
      <c r="F45" s="2486">
        <f ca="1">F27</f>
        <v>0.13</v>
      </c>
      <c r="G45" s="253" t="s">
        <v>1993</v>
      </c>
    </row>
    <row r="46" spans="1:7" s="220" customFormat="1" ht="13.5" customHeight="1">
      <c r="A46" s="869" t="s">
        <v>610</v>
      </c>
      <c r="B46" s="254" t="s">
        <v>1994</v>
      </c>
      <c r="C46" s="255">
        <f ca="1">ROUND((C33+C39)*F27,0)</f>
        <v>2691</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25995</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25995</v>
      </c>
      <c r="D51" s="238"/>
      <c r="E51" s="238"/>
      <c r="F51" s="270"/>
      <c r="G51" s="240" t="s">
        <v>2005</v>
      </c>
    </row>
    <row r="52" spans="1:7" s="214" customFormat="1" ht="16.5" thickBot="1">
      <c r="A52" s="271" t="s">
        <v>2006</v>
      </c>
      <c r="B52" s="272"/>
      <c r="C52" s="273">
        <f ca="1">C31+C51</f>
        <v>139257</v>
      </c>
      <c r="D52" s="272"/>
      <c r="E52" s="272"/>
      <c r="F52" s="272"/>
      <c r="G52" s="274"/>
    </row>
    <row r="55" spans="1:7" ht="15">
      <c r="B55" s="276" t="s">
        <v>2007</v>
      </c>
      <c r="C55" s="277"/>
    </row>
    <row r="56" spans="1:7">
      <c r="B56" s="279" t="s">
        <v>1237</v>
      </c>
      <c r="C56" s="281">
        <f ca="1">1-C57</f>
        <v>0.81299999999999994</v>
      </c>
    </row>
    <row r="57" spans="1:7">
      <c r="B57" s="279" t="s">
        <v>1238</v>
      </c>
      <c r="C57" s="280">
        <f ca="1">ROUND(C51/C52,3)</f>
        <v>0.187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5" t="str">
        <f>项目基本情况!B1</f>
        <v>北京市房地产抵押价值预评估</v>
      </c>
      <c r="C37" s="3265"/>
      <c r="D37" s="3265"/>
      <c r="E37" s="3265"/>
      <c r="F37" s="3265"/>
      <c r="G37" s="3265"/>
      <c r="H37" s="3265"/>
      <c r="I37" s="326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58785</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6130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19179212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19179212</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19179212</v>
      </c>
      <c r="D10" s="935">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19179212</v>
      </c>
      <c r="D19" s="939">
        <f ca="1">D9+D10</f>
        <v>95896.06</v>
      </c>
      <c r="E19" s="217">
        <f>'数据-取费表'!B31</f>
        <v>200</v>
      </c>
      <c r="F19" s="237"/>
      <c r="G19" s="1991"/>
    </row>
    <row r="20" spans="1:7" s="220" customFormat="1" ht="13.5" customHeight="1">
      <c r="A20" s="261" t="s">
        <v>2019</v>
      </c>
      <c r="B20" s="216" t="s">
        <v>2020</v>
      </c>
      <c r="C20" s="238">
        <f ca="1">ROUND((C5+C19)*F20,0)</f>
        <v>767168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5024802</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2488277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2488277</v>
      </c>
      <c r="D24" s="244"/>
      <c r="E24" s="244"/>
      <c r="F24" s="245"/>
      <c r="G24" s="246" t="s">
        <v>2031</v>
      </c>
    </row>
    <row r="25" spans="1:7" s="220" customFormat="1" ht="24">
      <c r="A25" s="869" t="s">
        <v>1921</v>
      </c>
      <c r="B25" s="221" t="s">
        <v>2032</v>
      </c>
      <c r="C25" s="1243">
        <f ca="1">ROUND(IF('数据-取费表'!B22&lt;=1,C20*F22*'数据-取费表'!B22/2,C20*(POWER((1+F22),'数据-取费表'!B22/2)-1)),0)</f>
        <v>48248</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5086327</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5086327</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53303801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405803881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369975760</v>
      </c>
      <c r="D34" s="223"/>
      <c r="E34" s="226"/>
      <c r="F34" s="263"/>
      <c r="G34" s="225"/>
    </row>
    <row r="35" spans="1:7" ht="13.5" customHeight="1">
      <c r="A35" s="869" t="s">
        <v>615</v>
      </c>
      <c r="B35" s="221" t="s">
        <v>1972</v>
      </c>
      <c r="C35" s="226">
        <f ca="1">ROUND(C34*F35,0)</f>
        <v>11099273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19179212</v>
      </c>
      <c r="D37" s="223">
        <f ca="1">D19</f>
        <v>95896.06</v>
      </c>
      <c r="E37" s="255">
        <f>'数据-取费表'!B35</f>
        <v>200</v>
      </c>
      <c r="F37" s="265"/>
      <c r="G37" s="267"/>
    </row>
    <row r="38" spans="1:7" ht="13.5" customHeight="1">
      <c r="A38" s="869" t="s">
        <v>618</v>
      </c>
      <c r="B38" s="221" t="s">
        <v>1978</v>
      </c>
      <c r="C38" s="226">
        <f ca="1">ROUND(C34*F38,0)</f>
        <v>5549636</v>
      </c>
      <c r="D38" s="226"/>
      <c r="E38" s="226"/>
      <c r="F38" s="265">
        <f>'数据-取费表'!B36</f>
        <v>1.4999999999999999E-2</v>
      </c>
      <c r="G38" s="225" t="s">
        <v>1973</v>
      </c>
    </row>
    <row r="39" spans="1:7" s="220" customFormat="1" ht="13.5" customHeight="1">
      <c r="A39" s="261" t="s">
        <v>1979</v>
      </c>
      <c r="B39" s="216" t="s">
        <v>1980</v>
      </c>
      <c r="C39" s="238">
        <f ca="1">ROUND(C33*F20,0)</f>
        <v>8116078</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26032024</v>
      </c>
      <c r="D41" s="241">
        <f ca="1">C44</f>
        <v>1.2999999999999999E-3</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25521592</v>
      </c>
      <c r="D42" s="244"/>
      <c r="E42" s="244"/>
      <c r="F42" s="245"/>
      <c r="G42" s="3454" t="s">
        <v>2036</v>
      </c>
    </row>
    <row r="43" spans="1:7" ht="13.5" customHeight="1">
      <c r="A43" s="869" t="s">
        <v>611</v>
      </c>
      <c r="B43" s="221" t="s">
        <v>1990</v>
      </c>
      <c r="C43" s="244">
        <f ca="1">ROUND(IF('数据-取费表'!B22&lt;=1,C39*F22*'数据-取费表'!B20/2,C39*(POWER((1+F22),'数据-取费表'!B20/2)-1)),0)</f>
        <v>510432</v>
      </c>
      <c r="D43" s="244"/>
      <c r="E43" s="244"/>
      <c r="F43" s="245"/>
      <c r="G43" s="3455"/>
    </row>
    <row r="44" spans="1:7" ht="13.5" customHeight="1">
      <c r="A44" s="869" t="s">
        <v>612</v>
      </c>
      <c r="B44" s="221" t="s">
        <v>1991</v>
      </c>
      <c r="C44" s="244">
        <f ca="1">ROUND(IF('数据-取费表'!B22&lt;=1,C40*F22*'数据-取费表'!B20/2,C40*(POWER((1+F22),'数据-取费表'!B20/2)-1)),4)</f>
        <v>1.2999999999999999E-3</v>
      </c>
      <c r="D44" s="244"/>
      <c r="E44" s="244"/>
      <c r="F44" s="245"/>
      <c r="G44" s="3456"/>
    </row>
    <row r="45" spans="1:7" s="220" customFormat="1" ht="13.5" customHeight="1">
      <c r="A45" s="261" t="s">
        <v>1992</v>
      </c>
      <c r="B45" s="250" t="s">
        <v>1958</v>
      </c>
      <c r="C45" s="251">
        <f ca="1">C46</f>
        <v>53809595</v>
      </c>
      <c r="D45" s="241">
        <f ca="1">C47</f>
        <v>2.5999999999999999E-3</v>
      </c>
      <c r="E45" s="242" t="s">
        <v>1984</v>
      </c>
      <c r="F45" s="2486">
        <f ca="1">F27</f>
        <v>0.13</v>
      </c>
      <c r="G45" s="253" t="s">
        <v>1993</v>
      </c>
    </row>
    <row r="46" spans="1:7" s="220" customFormat="1" ht="13.5" customHeight="1">
      <c r="A46" s="869" t="s">
        <v>610</v>
      </c>
      <c r="B46" s="254" t="s">
        <v>1994</v>
      </c>
      <c r="C46" s="255">
        <f ca="1">ROUND((C33+C39)*F27,0)</f>
        <v>53809595</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534547557</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534547557</v>
      </c>
      <c r="D51" s="238"/>
      <c r="E51" s="238"/>
      <c r="F51" s="270"/>
      <c r="G51" s="240" t="s">
        <v>2005</v>
      </c>
    </row>
    <row r="52" spans="1:7" s="214" customFormat="1" ht="16.5" thickBot="1">
      <c r="A52" s="271" t="s">
        <v>2006</v>
      </c>
      <c r="B52" s="272"/>
      <c r="C52" s="273">
        <f ca="1">C31+C51</f>
        <v>587851358</v>
      </c>
      <c r="D52" s="272"/>
      <c r="E52" s="272"/>
      <c r="F52" s="272"/>
      <c r="G52" s="274"/>
    </row>
    <row r="55" spans="1:7" ht="15">
      <c r="B55" s="276" t="s">
        <v>2007</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5" zoomScale="85" zoomScaleNormal="60" zoomScaleSheetLayoutView="85" workbookViewId="0">
      <selection activeCell="F64" activeCellId="1" sqref="F57 F64"/>
    </sheetView>
  </sheetViews>
  <sheetFormatPr defaultColWidth="9" defaultRowHeight="14.25"/>
  <cols>
    <col min="1" max="1" width="14.375" style="363" customWidth="1"/>
    <col min="2" max="2" width="15.75" style="363" customWidth="1"/>
    <col min="3" max="3" width="15.625" style="363" customWidth="1"/>
    <col min="4" max="4" width="14.125" style="363" customWidth="1"/>
    <col min="5" max="5" width="14.375" style="363" customWidth="1"/>
    <col min="6" max="6" width="12.25" style="363" customWidth="1"/>
    <col min="7" max="7" width="14.5" style="363" customWidth="1"/>
    <col min="8" max="8" width="12.25" style="363" customWidth="1"/>
    <col min="9" max="9" width="16"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86626</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9033</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30" ht="15">
      <c r="A5" s="364"/>
      <c r="B5" s="365"/>
      <c r="C5" s="3490" t="s">
        <v>2119</v>
      </c>
      <c r="D5" s="3491"/>
      <c r="E5" s="3497" t="str">
        <f>土地案例!A4</f>
        <v>北京城市副中心0101街区FZX-0101-0902地块F3其他类多功能用地</v>
      </c>
      <c r="F5" s="3498"/>
      <c r="G5" s="3490" t="str">
        <f>土地案例!A11</f>
        <v>北京城市副中心FZX-0902-0229、0230地块</v>
      </c>
      <c r="H5" s="3491"/>
      <c r="I5" s="3490" t="str">
        <f>土地案例!A20</f>
        <v>北京市通州区潞城镇FZX-0901-0162地块F3其他类多功能用地</v>
      </c>
      <c r="J5" s="3491"/>
      <c r="K5" s="567"/>
      <c r="L5" s="2892"/>
      <c r="M5" s="2893"/>
      <c r="N5" s="2893"/>
      <c r="O5" s="2893"/>
      <c r="P5" s="3478"/>
      <c r="Q5" s="3479"/>
      <c r="R5" s="3484"/>
      <c r="S5" s="3485"/>
      <c r="T5" s="3484"/>
      <c r="U5" s="3485"/>
      <c r="V5" s="3469"/>
      <c r="W5" s="3469"/>
      <c r="X5" s="1489"/>
      <c r="Y5" s="3484"/>
      <c r="Z5" s="3485"/>
      <c r="AA5" s="3471"/>
      <c r="AB5" s="3471"/>
      <c r="AC5" s="3471"/>
    </row>
    <row r="6" spans="1:30"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30" s="113" customFormat="1" ht="15.75" thickBot="1">
      <c r="A7" s="368" t="s">
        <v>2125</v>
      </c>
      <c r="B7" s="369"/>
      <c r="C7" s="370">
        <f>'数据-取费表'!B2</f>
        <v>44865</v>
      </c>
      <c r="D7" s="371">
        <v>100</v>
      </c>
      <c r="E7" s="372">
        <f>土地案例!L4</f>
        <v>44566.000497685185</v>
      </c>
      <c r="F7" s="373">
        <f>SUMIF(69:69,YEAR(E7)&amp;"-"&amp;INT((MONTH(E7)+2)/3),70:70)</f>
        <v>98.5</v>
      </c>
      <c r="G7" s="2109">
        <f>土地案例!L11</f>
        <v>44335.000497685185</v>
      </c>
      <c r="H7" s="371">
        <f>SUMIF(69:69,YEAR(G7)&amp;"-"&amp;INT((MONTH(G7)+2)/3),70:70)</f>
        <v>97</v>
      </c>
      <c r="I7" s="2109">
        <f>土地案例!L20</f>
        <v>43755.000497685185</v>
      </c>
      <c r="J7" s="371">
        <f>SUMIF(69:69,YEAR(I7)&amp;"-"&amp;INT((MONTH(I7)+2)/3),70:70)</f>
        <v>94</v>
      </c>
      <c r="K7" s="568"/>
      <c r="L7" s="2894"/>
      <c r="M7" s="2895"/>
      <c r="N7" s="2895"/>
      <c r="O7" s="2895"/>
      <c r="P7" s="3492" t="s">
        <v>2126</v>
      </c>
      <c r="Q7" s="3494"/>
      <c r="R7" s="710" t="s">
        <v>17</v>
      </c>
      <c r="S7" s="711">
        <f t="shared" ref="S7:S15" si="0">F7</f>
        <v>98.5</v>
      </c>
      <c r="T7" s="710" t="s">
        <v>17</v>
      </c>
      <c r="U7" s="711">
        <f t="shared" ref="U7:U15" si="1">H7</f>
        <v>97</v>
      </c>
      <c r="V7" s="710" t="s">
        <v>17</v>
      </c>
      <c r="W7" s="711">
        <f t="shared" ref="W7:W15" si="2">J7</f>
        <v>94</v>
      </c>
      <c r="X7" s="712"/>
      <c r="Y7" s="3492" t="s">
        <v>2126</v>
      </c>
      <c r="Z7" s="3493"/>
      <c r="AA7" s="713">
        <f>D7/F7</f>
        <v>1.015228426395939</v>
      </c>
      <c r="AB7" s="713">
        <f>D7/H7</f>
        <v>1.0309278350515463</v>
      </c>
      <c r="AC7" s="713">
        <f>D7/J7</f>
        <v>1.0638297872340425</v>
      </c>
    </row>
    <row r="8" spans="1:30" s="113" customFormat="1" ht="15.75" thickBot="1">
      <c r="A8" s="368" t="s">
        <v>2127</v>
      </c>
      <c r="B8" s="369"/>
      <c r="C8" s="374" t="s">
        <v>2128</v>
      </c>
      <c r="D8" s="371">
        <v>100</v>
      </c>
      <c r="E8" s="3253" t="s">
        <v>3314</v>
      </c>
      <c r="F8" s="373">
        <f>SUMIF(72:72,E8,73:73)-SUMIF(72:72,C8,73:73)+100</f>
        <v>100</v>
      </c>
      <c r="G8" s="3253" t="s">
        <v>3315</v>
      </c>
      <c r="H8" s="371">
        <f>SUMIF(72:72,G8,73:73)-SUMIF(72:72,C8,73:73)+100</f>
        <v>100</v>
      </c>
      <c r="I8" s="3253" t="s">
        <v>3315</v>
      </c>
      <c r="J8" s="371">
        <f>SUMIF(72:72,I8,73:73)-SUMIF(72:72,C8,73:73)+100</f>
        <v>100</v>
      </c>
      <c r="K8" s="568"/>
      <c r="L8" s="2894"/>
      <c r="M8" s="2895"/>
      <c r="N8" s="2895"/>
      <c r="O8" s="2895"/>
      <c r="P8" s="3492" t="s">
        <v>2129</v>
      </c>
      <c r="Q8" s="3493"/>
      <c r="R8" s="710" t="s">
        <v>17</v>
      </c>
      <c r="S8" s="711">
        <f t="shared" si="0"/>
        <v>100</v>
      </c>
      <c r="T8" s="710" t="s">
        <v>17</v>
      </c>
      <c r="U8" s="711">
        <f t="shared" si="1"/>
        <v>100</v>
      </c>
      <c r="V8" s="710" t="s">
        <v>17</v>
      </c>
      <c r="W8" s="711">
        <f t="shared" si="2"/>
        <v>100</v>
      </c>
      <c r="X8" s="712"/>
      <c r="Y8" s="3492" t="s">
        <v>2129</v>
      </c>
      <c r="Z8" s="3493"/>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108</v>
      </c>
      <c r="G10" s="422"/>
      <c r="H10" s="132">
        <f>ROUND(100/'数据-取费表'!G16,0)</f>
        <v>108</v>
      </c>
      <c r="I10" s="422"/>
      <c r="J10" s="132">
        <f>ROUND(100/'数据-取费表'!G16,0)</f>
        <v>108</v>
      </c>
      <c r="K10" s="628"/>
      <c r="L10" s="2896"/>
      <c r="M10" s="2897"/>
      <c r="N10" s="2897"/>
      <c r="O10" s="2950"/>
      <c r="P10" s="3464"/>
      <c r="Q10" s="1477" t="str">
        <f t="shared" si="6"/>
        <v>土地使用年限（年）</v>
      </c>
      <c r="R10" s="710" t="s">
        <v>17</v>
      </c>
      <c r="S10" s="711">
        <f t="shared" si="0"/>
        <v>108</v>
      </c>
      <c r="T10" s="710" t="s">
        <v>17</v>
      </c>
      <c r="U10" s="711">
        <f t="shared" si="1"/>
        <v>108</v>
      </c>
      <c r="V10" s="710" t="s">
        <v>17</v>
      </c>
      <c r="W10" s="711">
        <f t="shared" si="2"/>
        <v>108</v>
      </c>
      <c r="X10" s="712"/>
      <c r="Y10" s="3358"/>
      <c r="Z10" s="55" t="str">
        <f t="shared" si="7"/>
        <v>土地使用年限（年）</v>
      </c>
      <c r="AA10" s="713">
        <f t="shared" si="3"/>
        <v>0.92592592592592593</v>
      </c>
      <c r="AB10" s="713">
        <f t="shared" si="4"/>
        <v>0.92592592592592593</v>
      </c>
      <c r="AC10" s="713">
        <f t="shared" si="5"/>
        <v>0.92592592592592593</v>
      </c>
    </row>
    <row r="11" spans="1:30" ht="15">
      <c r="A11" s="387"/>
      <c r="B11" s="381" t="s">
        <v>2135</v>
      </c>
      <c r="C11" s="388">
        <f>'数据-汇总表'!I6</f>
        <v>3.62</v>
      </c>
      <c r="D11" s="132">
        <v>100</v>
      </c>
      <c r="E11" s="388">
        <v>4</v>
      </c>
      <c r="F11" s="132">
        <f>LOOKUP(E11,79:79,80:80)-LOOKUP(C11,79:79,80:80)+100</f>
        <v>98</v>
      </c>
      <c r="G11" s="389">
        <v>3.1</v>
      </c>
      <c r="H11" s="132">
        <f>LOOKUP(G11,79:79,80:80)-LOOKUP(C11,79:79,80:80)+100</f>
        <v>100</v>
      </c>
      <c r="I11" s="388">
        <v>2.5</v>
      </c>
      <c r="J11" s="132">
        <f>LOOKUP(I11,79:79,80:80)-LOOKUP(C11,79:79,80:80)+100</f>
        <v>100</v>
      </c>
      <c r="K11" s="629">
        <v>2</v>
      </c>
      <c r="L11" s="2898"/>
      <c r="M11" s="2893"/>
      <c r="N11" s="2893"/>
      <c r="O11" s="2951"/>
      <c r="P11" s="3464"/>
      <c r="Q11" s="1477" t="str">
        <f t="shared" si="6"/>
        <v>容积率</v>
      </c>
      <c r="R11" s="710" t="s">
        <v>17</v>
      </c>
      <c r="S11" s="711">
        <f t="shared" si="0"/>
        <v>98</v>
      </c>
      <c r="T11" s="710" t="s">
        <v>17</v>
      </c>
      <c r="U11" s="711">
        <f t="shared" si="1"/>
        <v>100</v>
      </c>
      <c r="V11" s="710" t="s">
        <v>17</v>
      </c>
      <c r="W11" s="711">
        <f t="shared" si="2"/>
        <v>100</v>
      </c>
      <c r="X11" s="712"/>
      <c r="Y11" s="3358"/>
      <c r="Z11" s="55" t="str">
        <f t="shared" si="7"/>
        <v>容积率</v>
      </c>
      <c r="AA11" s="713">
        <f t="shared" si="3"/>
        <v>1.0204081632653061</v>
      </c>
      <c r="AB11" s="713">
        <f t="shared" si="4"/>
        <v>1</v>
      </c>
      <c r="AC11" s="713">
        <f t="shared" si="5"/>
        <v>1</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4"/>
      <c r="Q12" s="1477" t="str">
        <f t="shared" si="6"/>
        <v>配建</v>
      </c>
      <c r="R12" s="710" t="s">
        <v>17</v>
      </c>
      <c r="S12" s="711">
        <f t="shared" si="0"/>
        <v>100</v>
      </c>
      <c r="T12" s="710" t="s">
        <v>17</v>
      </c>
      <c r="U12" s="711">
        <f t="shared" si="1"/>
        <v>100</v>
      </c>
      <c r="V12" s="710" t="s">
        <v>17</v>
      </c>
      <c r="W12" s="711">
        <f t="shared" si="2"/>
        <v>100</v>
      </c>
      <c r="X12" s="712"/>
      <c r="Y12" s="335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D14/F14</f>
        <v>1</v>
      </c>
      <c r="AB14" s="713">
        <f>D14/H14</f>
        <v>1</v>
      </c>
      <c r="AC14" s="713">
        <f>D14/J14</f>
        <v>1</v>
      </c>
    </row>
    <row r="15" spans="1:30" ht="85.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5" t="s">
        <v>2137</v>
      </c>
      <c r="Q15" s="1486" t="str">
        <f t="shared" si="6"/>
        <v>居住社区成熟度</v>
      </c>
      <c r="R15" s="714" t="s">
        <v>17</v>
      </c>
      <c r="S15" s="715">
        <f t="shared" si="0"/>
        <v>100</v>
      </c>
      <c r="T15" s="714" t="s">
        <v>17</v>
      </c>
      <c r="U15" s="715">
        <f t="shared" si="1"/>
        <v>100</v>
      </c>
      <c r="V15" s="714" t="s">
        <v>17</v>
      </c>
      <c r="W15" s="715">
        <f t="shared" si="2"/>
        <v>100</v>
      </c>
      <c r="X15" s="1489"/>
      <c r="Y15" s="3465" t="s">
        <v>2137</v>
      </c>
      <c r="Z15" s="1490" t="str">
        <f t="shared" si="7"/>
        <v>居住社区成熟度</v>
      </c>
      <c r="AA15" s="1487">
        <f t="shared" si="3"/>
        <v>1</v>
      </c>
      <c r="AB15" s="1487">
        <f t="shared" si="4"/>
        <v>1</v>
      </c>
      <c r="AC15" s="1487">
        <f t="shared" si="5"/>
        <v>1</v>
      </c>
    </row>
    <row r="16" spans="1:30" ht="15">
      <c r="A16" s="387"/>
      <c r="B16" s="405"/>
      <c r="C16" s="3254"/>
      <c r="D16" s="407"/>
      <c r="E16" s="3255"/>
      <c r="F16" s="407"/>
      <c r="G16" s="3255"/>
      <c r="H16" s="409"/>
      <c r="I16" s="3256"/>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57">
      <c r="A17" s="387"/>
      <c r="B17" s="410" t="s">
        <v>2230</v>
      </c>
      <c r="C17" s="2090"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899"/>
      <c r="M17" s="2893"/>
      <c r="N17" s="2893"/>
      <c r="O17" s="2951"/>
      <c r="P17" s="3466"/>
      <c r="Q17" s="1486" t="str">
        <f>B17</f>
        <v>商业繁华度</v>
      </c>
      <c r="R17" s="714" t="s">
        <v>17</v>
      </c>
      <c r="S17" s="715">
        <f>F17</f>
        <v>95</v>
      </c>
      <c r="T17" s="714" t="s">
        <v>17</v>
      </c>
      <c r="U17" s="715">
        <f>H17</f>
        <v>95</v>
      </c>
      <c r="V17" s="714" t="s">
        <v>17</v>
      </c>
      <c r="W17" s="715">
        <f>J17</f>
        <v>95</v>
      </c>
      <c r="X17" s="1489"/>
      <c r="Y17" s="3466"/>
      <c r="Z17" s="1490" t="str">
        <f>Q17</f>
        <v>商业繁华度</v>
      </c>
      <c r="AA17" s="1487">
        <f t="shared" si="3"/>
        <v>1.0526315789473684</v>
      </c>
      <c r="AB17" s="1487">
        <f t="shared" si="4"/>
        <v>1.0526315789473684</v>
      </c>
      <c r="AC17" s="1487">
        <f t="shared" si="5"/>
        <v>1.0526315789473684</v>
      </c>
    </row>
    <row r="18" spans="1:29" ht="15">
      <c r="A18" s="387"/>
      <c r="B18" s="415"/>
      <c r="C18" s="3257" t="s">
        <v>3316</v>
      </c>
      <c r="D18" s="409"/>
      <c r="E18" s="3258" t="s">
        <v>3317</v>
      </c>
      <c r="F18" s="409"/>
      <c r="G18" s="3258" t="s">
        <v>3317</v>
      </c>
      <c r="H18" s="407"/>
      <c r="I18" s="3259" t="s">
        <v>3317</v>
      </c>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95</v>
      </c>
      <c r="G19" s="416"/>
      <c r="H19" s="409">
        <f>SUMIF(91:91,G20,92:92)-SUMIF(91:91,C20,92:92)+100</f>
        <v>95</v>
      </c>
      <c r="I19" s="418"/>
      <c r="J19" s="409">
        <f>SUMIF(91:91,I20,92:92)-SUMIF(91:91,C20,92:92)+100</f>
        <v>95</v>
      </c>
      <c r="K19" s="629">
        <v>5</v>
      </c>
      <c r="L19" s="2899"/>
      <c r="M19" s="2893"/>
      <c r="N19" s="2893"/>
      <c r="O19" s="2951"/>
      <c r="P19" s="3466"/>
      <c r="Q19" s="1486" t="str">
        <f>B19</f>
        <v>办公集聚程度</v>
      </c>
      <c r="R19" s="714" t="s">
        <v>17</v>
      </c>
      <c r="S19" s="715">
        <f>F19</f>
        <v>95</v>
      </c>
      <c r="T19" s="714" t="s">
        <v>17</v>
      </c>
      <c r="U19" s="715">
        <f>H19</f>
        <v>95</v>
      </c>
      <c r="V19" s="714" t="s">
        <v>17</v>
      </c>
      <c r="W19" s="715">
        <f>J19</f>
        <v>95</v>
      </c>
      <c r="X19" s="1489"/>
      <c r="Y19" s="3466"/>
      <c r="Z19" s="1490" t="str">
        <f>Q19</f>
        <v>办公集聚程度</v>
      </c>
      <c r="AA19" s="1487">
        <f t="shared" si="3"/>
        <v>1.0526315789473684</v>
      </c>
      <c r="AB19" s="1487">
        <f t="shared" si="4"/>
        <v>1.0526315789473684</v>
      </c>
      <c r="AC19" s="1487">
        <f t="shared" si="5"/>
        <v>1.0526315789473684</v>
      </c>
    </row>
    <row r="20" spans="1:29" ht="15">
      <c r="A20" s="387"/>
      <c r="B20" s="415"/>
      <c r="C20" s="3254" t="s">
        <v>3316</v>
      </c>
      <c r="D20" s="407"/>
      <c r="E20" s="3255" t="s">
        <v>3317</v>
      </c>
      <c r="F20" s="407"/>
      <c r="G20" s="3255" t="s">
        <v>3318</v>
      </c>
      <c r="H20" s="407"/>
      <c r="I20" s="3256" t="s">
        <v>3317</v>
      </c>
      <c r="J20" s="407"/>
      <c r="K20" s="628"/>
      <c r="L20" s="2899"/>
      <c r="M20" s="2893"/>
      <c r="N20" s="2893"/>
      <c r="O20" s="2951"/>
      <c r="P20" s="3466"/>
      <c r="Q20" s="1486"/>
      <c r="R20" s="714"/>
      <c r="S20" s="715"/>
      <c r="T20" s="714"/>
      <c r="U20" s="715"/>
      <c r="V20" s="714"/>
      <c r="W20" s="715"/>
      <c r="X20" s="1489"/>
      <c r="Y20" s="3466"/>
      <c r="Z20" s="1490"/>
      <c r="AA20" s="1487">
        <v>1</v>
      </c>
      <c r="AB20" s="1487">
        <v>1</v>
      </c>
      <c r="AC20" s="1487">
        <v>1</v>
      </c>
    </row>
    <row r="21" spans="1:29" ht="71.25">
      <c r="A21" s="387"/>
      <c r="B21" s="410" t="s">
        <v>2286</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66"/>
      <c r="Q21" s="1486" t="str">
        <f>B21</f>
        <v>交通便捷度</v>
      </c>
      <c r="R21" s="714" t="s">
        <v>17</v>
      </c>
      <c r="S21" s="715">
        <f>F21</f>
        <v>100</v>
      </c>
      <c r="T21" s="714" t="s">
        <v>17</v>
      </c>
      <c r="U21" s="715">
        <f>H21</f>
        <v>100</v>
      </c>
      <c r="V21" s="714" t="s">
        <v>17</v>
      </c>
      <c r="W21" s="715">
        <f>J21</f>
        <v>100</v>
      </c>
      <c r="X21" s="1489"/>
      <c r="Y21" s="3466"/>
      <c r="Z21" s="1490" t="str">
        <f>Q21</f>
        <v>交通便捷度</v>
      </c>
      <c r="AA21" s="1487">
        <f t="shared" si="3"/>
        <v>1</v>
      </c>
      <c r="AB21" s="1487">
        <f t="shared" si="4"/>
        <v>1</v>
      </c>
      <c r="AC21" s="1487">
        <f t="shared" si="5"/>
        <v>1</v>
      </c>
    </row>
    <row r="22" spans="1:29" ht="15">
      <c r="A22" s="387"/>
      <c r="B22" s="1246"/>
      <c r="C22" s="3254" t="s">
        <v>3316</v>
      </c>
      <c r="D22" s="409"/>
      <c r="E22" s="3255" t="s">
        <v>3316</v>
      </c>
      <c r="F22" s="407"/>
      <c r="G22" s="3255" t="s">
        <v>3316</v>
      </c>
      <c r="H22" s="407"/>
      <c r="I22" s="3256" t="s">
        <v>3316</v>
      </c>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6"/>
      <c r="Q23" s="1486" t="str">
        <f t="shared" ref="Q23:Q37" si="8">B23</f>
        <v>区域土地利用方向</v>
      </c>
      <c r="R23" s="714" t="s">
        <v>17</v>
      </c>
      <c r="S23" s="715">
        <f>F23</f>
        <v>100</v>
      </c>
      <c r="T23" s="714" t="s">
        <v>17</v>
      </c>
      <c r="U23" s="715">
        <f>H23</f>
        <v>100</v>
      </c>
      <c r="V23" s="714" t="s">
        <v>17</v>
      </c>
      <c r="W23" s="715">
        <f>J23</f>
        <v>100</v>
      </c>
      <c r="X23" s="1489"/>
      <c r="Y23" s="3466"/>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66"/>
      <c r="Q24" s="1486"/>
      <c r="R24" s="714"/>
      <c r="S24" s="715"/>
      <c r="T24" s="714"/>
      <c r="U24" s="715"/>
      <c r="V24" s="714"/>
      <c r="W24" s="715"/>
      <c r="X24" s="1489"/>
      <c r="Y24" s="3466"/>
      <c r="Z24" s="1490"/>
      <c r="AA24" s="1487"/>
      <c r="AB24" s="1487"/>
      <c r="AC24" s="1487"/>
    </row>
    <row r="25" spans="1:29" ht="42.75">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6"/>
      <c r="Q25" s="1486" t="str">
        <f t="shared" si="8"/>
        <v>自然及人文环境状况</v>
      </c>
      <c r="R25" s="714" t="s">
        <v>17</v>
      </c>
      <c r="S25" s="715">
        <f>F25</f>
        <v>100</v>
      </c>
      <c r="T25" s="714" t="s">
        <v>17</v>
      </c>
      <c r="U25" s="715">
        <f>H25</f>
        <v>100</v>
      </c>
      <c r="V25" s="714" t="s">
        <v>17</v>
      </c>
      <c r="W25" s="715">
        <f>J25</f>
        <v>100</v>
      </c>
      <c r="X25" s="1489"/>
      <c r="Y25" s="3466"/>
      <c r="Z25" s="1490" t="str">
        <f>Q25</f>
        <v>自然及人文环境状况</v>
      </c>
      <c r="AA25" s="1487">
        <f t="shared" si="3"/>
        <v>1</v>
      </c>
      <c r="AB25" s="1487">
        <f t="shared" si="4"/>
        <v>1</v>
      </c>
      <c r="AC25" s="1487">
        <f t="shared" si="5"/>
        <v>1</v>
      </c>
    </row>
    <row r="26" spans="1:29" ht="15">
      <c r="A26" s="364"/>
      <c r="B26" s="415"/>
      <c r="C26" s="3254" t="s">
        <v>3316</v>
      </c>
      <c r="D26" s="407"/>
      <c r="E26" s="3260" t="s">
        <v>3319</v>
      </c>
      <c r="F26" s="407"/>
      <c r="G26" s="3260" t="s">
        <v>3316</v>
      </c>
      <c r="H26" s="407"/>
      <c r="I26" s="3254" t="s">
        <v>3316</v>
      </c>
      <c r="J26" s="407"/>
      <c r="K26" s="628"/>
      <c r="L26" s="2899"/>
      <c r="M26" s="2893"/>
      <c r="N26" s="2893"/>
      <c r="O26" s="2951"/>
      <c r="P26" s="3466"/>
      <c r="Q26" s="1486"/>
      <c r="R26" s="714"/>
      <c r="S26" s="715"/>
      <c r="T26" s="714"/>
      <c r="U26" s="715"/>
      <c r="V26" s="714"/>
      <c r="W26" s="715"/>
      <c r="X26" s="1489"/>
      <c r="Y26" s="3466"/>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95</v>
      </c>
      <c r="G27" s="411"/>
      <c r="H27" s="409">
        <f>SUMIF(99:99,G28,100:100)-SUMIF(99:99,C28,100:100)+100</f>
        <v>95</v>
      </c>
      <c r="I27" s="413"/>
      <c r="J27" s="409">
        <f>SUMIF(99:99,I28,100:100)-SUMIF(99:99,C28,100:100)+100</f>
        <v>95</v>
      </c>
      <c r="K27" s="629">
        <v>5</v>
      </c>
      <c r="L27" s="2894"/>
      <c r="M27" s="2895"/>
      <c r="N27" s="2895"/>
      <c r="O27" s="2949"/>
      <c r="P27" s="3466"/>
      <c r="Q27" s="1477" t="str">
        <f t="shared" si="8"/>
        <v>公共配套设施</v>
      </c>
      <c r="R27" s="710" t="s">
        <v>17</v>
      </c>
      <c r="S27" s="711">
        <f>F27</f>
        <v>95</v>
      </c>
      <c r="T27" s="710" t="s">
        <v>17</v>
      </c>
      <c r="U27" s="711">
        <f>H27</f>
        <v>95</v>
      </c>
      <c r="V27" s="710" t="s">
        <v>17</v>
      </c>
      <c r="W27" s="711">
        <f>J27</f>
        <v>95</v>
      </c>
      <c r="X27" s="712"/>
      <c r="Y27" s="3466"/>
      <c r="Z27" s="55" t="str">
        <f>Q27</f>
        <v>公共配套设施</v>
      </c>
      <c r="AA27" s="1487">
        <f>D27/F27</f>
        <v>1.0526315789473684</v>
      </c>
      <c r="AB27" s="1487">
        <f>D27/H27</f>
        <v>1.0526315789473684</v>
      </c>
      <c r="AC27" s="1487">
        <f>D27/J27</f>
        <v>1.0526315789473684</v>
      </c>
    </row>
    <row r="28" spans="1:29" s="113" customFormat="1" ht="15">
      <c r="A28" s="605"/>
      <c r="B28" s="415"/>
      <c r="C28" s="3261" t="s">
        <v>3316</v>
      </c>
      <c r="D28" s="407"/>
      <c r="E28" s="3260" t="s">
        <v>3317</v>
      </c>
      <c r="F28" s="407"/>
      <c r="G28" s="3260" t="s">
        <v>3317</v>
      </c>
      <c r="H28" s="407"/>
      <c r="I28" s="3254" t="s">
        <v>3317</v>
      </c>
      <c r="J28" s="407"/>
      <c r="K28" s="628"/>
      <c r="L28" s="2894"/>
      <c r="M28" s="2895"/>
      <c r="N28" s="2895"/>
      <c r="O28" s="2949"/>
      <c r="P28" s="3466"/>
      <c r="Q28" s="1477"/>
      <c r="R28" s="710"/>
      <c r="S28" s="711"/>
      <c r="T28" s="710"/>
      <c r="U28" s="711"/>
      <c r="V28" s="710"/>
      <c r="W28" s="711"/>
      <c r="X28" s="712"/>
      <c r="Y28" s="3466"/>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6"/>
      <c r="Q29" s="1477" t="str">
        <f t="shared" ref="Q29" si="9">B29</f>
        <v>基础设施水平</v>
      </c>
      <c r="R29" s="710" t="s">
        <v>17</v>
      </c>
      <c r="S29" s="711">
        <f>F29</f>
        <v>100</v>
      </c>
      <c r="T29" s="710" t="s">
        <v>17</v>
      </c>
      <c r="U29" s="711">
        <f>H29</f>
        <v>100</v>
      </c>
      <c r="V29" s="710" t="s">
        <v>17</v>
      </c>
      <c r="W29" s="711">
        <f>J29</f>
        <v>100</v>
      </c>
      <c r="X29" s="712"/>
      <c r="Y29" s="3466"/>
      <c r="Z29" s="55" t="str">
        <f>Q29</f>
        <v>基础设施水平</v>
      </c>
      <c r="AA29" s="1487">
        <f>D29/F29</f>
        <v>1</v>
      </c>
      <c r="AB29" s="1487">
        <f>D29/H29</f>
        <v>1</v>
      </c>
      <c r="AC29" s="1487">
        <f>D29/J29</f>
        <v>1</v>
      </c>
    </row>
    <row r="30" spans="1:29" s="113" customFormat="1" ht="15">
      <c r="A30" s="605"/>
      <c r="B30" s="415"/>
      <c r="C30" s="3261" t="s">
        <v>3320</v>
      </c>
      <c r="D30" s="407"/>
      <c r="E30" s="3262" t="s">
        <v>3320</v>
      </c>
      <c r="F30" s="407"/>
      <c r="G30" s="3262" t="s">
        <v>3320</v>
      </c>
      <c r="H30" s="407"/>
      <c r="I30" s="3262" t="s">
        <v>3320</v>
      </c>
      <c r="J30" s="407"/>
      <c r="K30" s="628"/>
      <c r="L30" s="2894"/>
      <c r="M30" s="2895"/>
      <c r="N30" s="2895"/>
      <c r="O30" s="2949"/>
      <c r="P30" s="3466"/>
      <c r="Q30" s="1477"/>
      <c r="R30" s="710"/>
      <c r="S30" s="711"/>
      <c r="T30" s="710"/>
      <c r="U30" s="711"/>
      <c r="V30" s="710"/>
      <c r="W30" s="711"/>
      <c r="X30" s="712"/>
      <c r="Y30" s="3466"/>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6"/>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6"/>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6"/>
      <c r="Q32" s="1486" t="str">
        <f t="shared" si="8"/>
        <v>毗邻道路的类型与等级</v>
      </c>
      <c r="R32" s="714" t="s">
        <v>17</v>
      </c>
      <c r="S32" s="715">
        <f t="shared" si="10"/>
        <v>100</v>
      </c>
      <c r="T32" s="714" t="s">
        <v>17</v>
      </c>
      <c r="U32" s="715">
        <f t="shared" si="11"/>
        <v>100</v>
      </c>
      <c r="V32" s="714" t="s">
        <v>17</v>
      </c>
      <c r="W32" s="715">
        <f t="shared" si="12"/>
        <v>100</v>
      </c>
      <c r="X32" s="1489"/>
      <c r="Y32" s="3466"/>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66"/>
      <c r="Q33" s="1486"/>
      <c r="R33" s="714"/>
      <c r="S33" s="715"/>
      <c r="T33" s="714"/>
      <c r="U33" s="715"/>
      <c r="V33" s="714"/>
      <c r="W33" s="715"/>
      <c r="X33" s="1489"/>
      <c r="Y33" s="3466"/>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6"/>
      <c r="Q34" s="1486" t="str">
        <f t="shared" si="8"/>
        <v>土地级别</v>
      </c>
      <c r="R34" s="714" t="s">
        <v>17</v>
      </c>
      <c r="S34" s="715">
        <f t="shared" si="10"/>
        <v>100</v>
      </c>
      <c r="T34" s="714" t="s">
        <v>17</v>
      </c>
      <c r="U34" s="715">
        <f t="shared" si="11"/>
        <v>100</v>
      </c>
      <c r="V34" s="714" t="s">
        <v>17</v>
      </c>
      <c r="W34" s="715">
        <f t="shared" si="12"/>
        <v>100</v>
      </c>
      <c r="X34" s="1489"/>
      <c r="Y34" s="3466"/>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6"/>
      <c r="Q35" s="1486">
        <f t="shared" si="8"/>
        <v>111</v>
      </c>
      <c r="R35" s="714" t="s">
        <v>17</v>
      </c>
      <c r="S35" s="715">
        <f t="shared" si="10"/>
        <v>100</v>
      </c>
      <c r="T35" s="714" t="s">
        <v>17</v>
      </c>
      <c r="U35" s="715">
        <f t="shared" si="11"/>
        <v>100</v>
      </c>
      <c r="V35" s="714" t="s">
        <v>17</v>
      </c>
      <c r="W35" s="715">
        <f t="shared" si="12"/>
        <v>100</v>
      </c>
      <c r="X35" s="1489"/>
      <c r="Y35" s="3466"/>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67" t="s">
        <v>2142</v>
      </c>
      <c r="Q36" s="1486">
        <f t="shared" si="8"/>
        <v>111</v>
      </c>
      <c r="R36" s="714" t="s">
        <v>17</v>
      </c>
      <c r="S36" s="715">
        <f t="shared" si="10"/>
        <v>100</v>
      </c>
      <c r="T36" s="714" t="s">
        <v>17</v>
      </c>
      <c r="U36" s="715">
        <f t="shared" si="11"/>
        <v>100</v>
      </c>
      <c r="V36" s="714" t="s">
        <v>17</v>
      </c>
      <c r="W36" s="715">
        <f t="shared" si="12"/>
        <v>100</v>
      </c>
      <c r="X36" s="1489"/>
      <c r="Y36" s="3468"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8"/>
      <c r="Q37" s="1486">
        <f t="shared" si="8"/>
        <v>111</v>
      </c>
      <c r="R37" s="717" t="s">
        <v>17</v>
      </c>
      <c r="S37" s="718">
        <f t="shared" si="10"/>
        <v>100</v>
      </c>
      <c r="T37" s="717" t="s">
        <v>17</v>
      </c>
      <c r="U37" s="718">
        <f t="shared" si="11"/>
        <v>100</v>
      </c>
      <c r="V37" s="717" t="s">
        <v>17</v>
      </c>
      <c r="W37" s="718">
        <f t="shared" si="12"/>
        <v>100</v>
      </c>
      <c r="X37" s="719"/>
      <c r="Y37" s="3468"/>
      <c r="Z37" s="720">
        <f t="shared" si="13"/>
        <v>111</v>
      </c>
      <c r="AA37" s="1487">
        <f t="shared" si="3"/>
        <v>1</v>
      </c>
      <c r="AB37" s="1487">
        <f t="shared" si="4"/>
        <v>1</v>
      </c>
      <c r="AC37" s="1487">
        <f t="shared" si="5"/>
        <v>1</v>
      </c>
    </row>
    <row r="38" spans="1:29" ht="15">
      <c r="A38" s="431" t="s">
        <v>2140</v>
      </c>
      <c r="B38" s="415" t="s">
        <v>2328</v>
      </c>
      <c r="C38" s="635">
        <f>'数据-基础表'!A3</f>
        <v>16160</v>
      </c>
      <c r="D38" s="426">
        <v>100</v>
      </c>
      <c r="E38" s="635">
        <f>土地案例!E4</f>
        <v>29991.73</v>
      </c>
      <c r="F38" s="426">
        <f>LOOKUP(E38,116:116,117:117)-LOOKUP(C38,116:116,117:117)+100</f>
        <v>102</v>
      </c>
      <c r="G38" s="635">
        <f>土地案例!E11</f>
        <v>17147.95</v>
      </c>
      <c r="H38" s="426">
        <f>LOOKUP(G38,116:116,117:117)-LOOKUP(C38,116:116,117:117)+100</f>
        <v>100</v>
      </c>
      <c r="I38" s="487">
        <f>土地案例!E20</f>
        <v>28003.32</v>
      </c>
      <c r="J38" s="426">
        <f>LOOKUP(I38,116:116,117:117)-LOOKUP(C38,116:116,117:117)+100</f>
        <v>102</v>
      </c>
      <c r="K38" s="570"/>
      <c r="L38" s="2899"/>
      <c r="M38" s="2893"/>
      <c r="N38" s="2893"/>
      <c r="O38" s="2951"/>
      <c r="P38" s="3468"/>
      <c r="Q38" s="1486" t="str">
        <f>B38</f>
        <v>宗地面积</v>
      </c>
      <c r="R38" s="714" t="s">
        <v>17</v>
      </c>
      <c r="S38" s="715">
        <f t="shared" si="10"/>
        <v>102</v>
      </c>
      <c r="T38" s="714" t="s">
        <v>17</v>
      </c>
      <c r="U38" s="715">
        <f t="shared" si="11"/>
        <v>100</v>
      </c>
      <c r="V38" s="714" t="s">
        <v>17</v>
      </c>
      <c r="W38" s="715">
        <f t="shared" si="12"/>
        <v>102</v>
      </c>
      <c r="X38" s="1489"/>
      <c r="Y38" s="3468"/>
      <c r="Z38" s="1490" t="str">
        <f t="shared" si="13"/>
        <v>宗地面积</v>
      </c>
      <c r="AA38" s="1487">
        <f t="shared" si="3"/>
        <v>0.98039215686274506</v>
      </c>
      <c r="AB38" s="1487">
        <f t="shared" si="4"/>
        <v>1</v>
      </c>
      <c r="AC38" s="1487">
        <f t="shared" si="5"/>
        <v>0.98039215686274506</v>
      </c>
    </row>
    <row r="39" spans="1:29" ht="15">
      <c r="A39" s="431"/>
      <c r="B39" s="381" t="s">
        <v>2329</v>
      </c>
      <c r="C39" s="3263" t="s">
        <v>3321</v>
      </c>
      <c r="D39" s="394">
        <v>100</v>
      </c>
      <c r="E39" s="3263" t="s">
        <v>3321</v>
      </c>
      <c r="F39" s="394">
        <f>SUMIF(118:118,E39,119:119)-SUMIF(118:118,C39,119:119)+100</f>
        <v>100</v>
      </c>
      <c r="G39" s="3263" t="s">
        <v>3321</v>
      </c>
      <c r="H39" s="394">
        <f>SUMIF(118:118,G39,119:119)-SUMIF(118:118,C39,119:119)+100</f>
        <v>100</v>
      </c>
      <c r="I39" s="3263" t="s">
        <v>3321</v>
      </c>
      <c r="J39" s="394">
        <f>SUMIF(118:118,I39,119:119)-SUMIF(118:118,C39,119:119)+100</f>
        <v>100</v>
      </c>
      <c r="K39" s="569"/>
      <c r="L39" s="2899"/>
      <c r="M39" s="2893"/>
      <c r="N39" s="2893"/>
      <c r="O39" s="2951"/>
      <c r="P39" s="3468"/>
      <c r="Q39" s="1486" t="str">
        <f t="shared" ref="Q39:Q45" si="14">B39</f>
        <v>宗地形状</v>
      </c>
      <c r="R39" s="714" t="s">
        <v>17</v>
      </c>
      <c r="S39" s="715">
        <f t="shared" si="10"/>
        <v>100</v>
      </c>
      <c r="T39" s="714" t="s">
        <v>17</v>
      </c>
      <c r="U39" s="715">
        <f t="shared" si="11"/>
        <v>100</v>
      </c>
      <c r="V39" s="714" t="s">
        <v>17</v>
      </c>
      <c r="W39" s="715">
        <f t="shared" si="12"/>
        <v>100</v>
      </c>
      <c r="X39" s="1489"/>
      <c r="Y39" s="3468"/>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68"/>
      <c r="Q40" s="1486" t="str">
        <f t="shared" si="14"/>
        <v>临街宽度及深度</v>
      </c>
      <c r="R40" s="714" t="s">
        <v>17</v>
      </c>
      <c r="S40" s="715">
        <f t="shared" si="10"/>
        <v>100</v>
      </c>
      <c r="T40" s="714" t="s">
        <v>17</v>
      </c>
      <c r="U40" s="715">
        <f t="shared" si="11"/>
        <v>100</v>
      </c>
      <c r="V40" s="714" t="s">
        <v>17</v>
      </c>
      <c r="W40" s="715">
        <f t="shared" si="12"/>
        <v>100</v>
      </c>
      <c r="X40" s="1489"/>
      <c r="Y40" s="3468"/>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68"/>
      <c r="Q41" s="148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68" t="s">
        <v>2142</v>
      </c>
      <c r="Q42" s="1486" t="str">
        <f t="shared" si="14"/>
        <v>工程地质条件</v>
      </c>
      <c r="R42" s="714" t="s">
        <v>17</v>
      </c>
      <c r="S42" s="715">
        <f t="shared" si="10"/>
        <v>100</v>
      </c>
      <c r="T42" s="714" t="s">
        <v>17</v>
      </c>
      <c r="U42" s="715">
        <f t="shared" si="11"/>
        <v>100</v>
      </c>
      <c r="V42" s="714" t="s">
        <v>17</v>
      </c>
      <c r="W42" s="715">
        <f t="shared" si="12"/>
        <v>100</v>
      </c>
      <c r="X42" s="1489"/>
      <c r="Y42" s="3468"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8"/>
      <c r="Q43" s="1486">
        <f t="shared" si="14"/>
        <v>111</v>
      </c>
      <c r="R43" s="714" t="s">
        <v>17</v>
      </c>
      <c r="S43" s="715">
        <f t="shared" si="10"/>
        <v>100</v>
      </c>
      <c r="T43" s="714" t="s">
        <v>17</v>
      </c>
      <c r="U43" s="715">
        <f t="shared" si="11"/>
        <v>100</v>
      </c>
      <c r="V43" s="714" t="s">
        <v>17</v>
      </c>
      <c r="W43" s="715">
        <f t="shared" si="12"/>
        <v>100</v>
      </c>
      <c r="X43" s="1489"/>
      <c r="Y43" s="346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8"/>
      <c r="Q44" s="1486">
        <f t="shared" si="14"/>
        <v>111</v>
      </c>
      <c r="R44" s="714" t="s">
        <v>17</v>
      </c>
      <c r="S44" s="715">
        <f t="shared" si="10"/>
        <v>100</v>
      </c>
      <c r="T44" s="714" t="s">
        <v>17</v>
      </c>
      <c r="U44" s="715">
        <f t="shared" si="11"/>
        <v>100</v>
      </c>
      <c r="V44" s="714" t="s">
        <v>17</v>
      </c>
      <c r="W44" s="715">
        <f t="shared" si="12"/>
        <v>100</v>
      </c>
      <c r="X44" s="1489"/>
      <c r="Y44" s="3468"/>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8"/>
      <c r="Q45" s="1486">
        <f t="shared" si="14"/>
        <v>111</v>
      </c>
      <c r="R45" s="717" t="s">
        <v>17</v>
      </c>
      <c r="S45" s="718">
        <f t="shared" si="10"/>
        <v>100</v>
      </c>
      <c r="T45" s="717" t="s">
        <v>17</v>
      </c>
      <c r="U45" s="718">
        <f t="shared" si="11"/>
        <v>100</v>
      </c>
      <c r="V45" s="717" t="s">
        <v>17</v>
      </c>
      <c r="W45" s="718">
        <f t="shared" si="12"/>
        <v>100</v>
      </c>
      <c r="X45" s="719"/>
      <c r="Y45" s="3468"/>
      <c r="Z45" s="720">
        <f t="shared" si="13"/>
        <v>111</v>
      </c>
      <c r="AA45" s="1487">
        <f t="shared" si="3"/>
        <v>1</v>
      </c>
      <c r="AB45" s="1487">
        <f t="shared" si="4"/>
        <v>1</v>
      </c>
      <c r="AC45" s="1487">
        <f t="shared" si="5"/>
        <v>1</v>
      </c>
    </row>
    <row r="46" spans="1:29" ht="15">
      <c r="A46" s="438" t="s">
        <v>2297</v>
      </c>
      <c r="B46" s="2117" t="s">
        <v>2333</v>
      </c>
      <c r="C46" s="638" t="s">
        <v>1</v>
      </c>
      <c r="D46" s="440"/>
      <c r="E46" s="441">
        <f>土地案例!S4</f>
        <v>13779</v>
      </c>
      <c r="F46" s="442"/>
      <c r="G46" s="443">
        <f>土地案例!S11</f>
        <v>13018</v>
      </c>
      <c r="H46" s="444"/>
      <c r="I46" s="441">
        <f>土地案例!S20</f>
        <v>13970</v>
      </c>
      <c r="J46" s="444"/>
      <c r="K46" s="723"/>
      <c r="L46" s="2901"/>
      <c r="M46" s="2902"/>
      <c r="N46" s="2893"/>
      <c r="O46" s="2902"/>
      <c r="P46" s="3464" t="str">
        <f>A46</f>
        <v>成交单价</v>
      </c>
      <c r="Q46" s="3464"/>
      <c r="R46" s="3469">
        <f>E46</f>
        <v>13779</v>
      </c>
      <c r="S46" s="3469"/>
      <c r="T46" s="3469">
        <f>G46</f>
        <v>13018</v>
      </c>
      <c r="U46" s="3469"/>
      <c r="V46" s="3469">
        <f>I46</f>
        <v>13970</v>
      </c>
      <c r="W46" s="3469"/>
      <c r="X46" s="699"/>
      <c r="Y46" s="721"/>
      <c r="Z46" s="699"/>
      <c r="AA46" s="699"/>
      <c r="AB46" s="699"/>
      <c r="AC46" s="699"/>
    </row>
    <row r="47" spans="1:29" ht="15.75" thickBot="1">
      <c r="A47" s="445" t="s">
        <v>2246</v>
      </c>
      <c r="B47" s="639"/>
      <c r="C47" s="448">
        <f>R48</f>
        <v>15114</v>
      </c>
      <c r="D47" s="2487" t="s">
        <v>2636</v>
      </c>
      <c r="E47" s="448">
        <f>R47</f>
        <v>15113</v>
      </c>
      <c r="F47" s="2488"/>
      <c r="G47" s="447">
        <f>T47</f>
        <v>14494</v>
      </c>
      <c r="H47" s="2488"/>
      <c r="I47" s="448">
        <f>V47</f>
        <v>15735</v>
      </c>
      <c r="J47" s="2488"/>
      <c r="K47" s="2490">
        <f>F47+H47+J47</f>
        <v>0</v>
      </c>
      <c r="L47" s="2901"/>
      <c r="M47" s="2902"/>
      <c r="N47" s="2902"/>
      <c r="O47" s="2902"/>
      <c r="P47" s="3464" t="str">
        <f>A47</f>
        <v>比较价值（元/平方米）</v>
      </c>
      <c r="Q47" s="3464"/>
      <c r="R47" s="3457">
        <f>ROUND(PRODUCT(R46,AA7:AA45),0)</f>
        <v>15113</v>
      </c>
      <c r="S47" s="3457"/>
      <c r="T47" s="3457">
        <f>ROUND(PRODUCT(T46,AB7:AB45),0)</f>
        <v>14494</v>
      </c>
      <c r="U47" s="3457"/>
      <c r="V47" s="3457">
        <f>ROUND(PRODUCT(V46,AC7:AC45),0)</f>
        <v>15735</v>
      </c>
      <c r="W47" s="3457"/>
      <c r="X47" s="699"/>
      <c r="Y47" s="699"/>
      <c r="Z47" s="699"/>
      <c r="AA47" s="699"/>
      <c r="AB47" s="699"/>
      <c r="AC47" s="699"/>
    </row>
    <row r="48" spans="1:29" ht="15.75" thickBot="1">
      <c r="A48" s="449" t="s">
        <v>2334</v>
      </c>
      <c r="B48" s="450"/>
      <c r="C48" s="451">
        <f>R48</f>
        <v>15114</v>
      </c>
      <c r="D48" s="451"/>
      <c r="E48" s="451"/>
      <c r="F48" s="451"/>
      <c r="G48" s="451"/>
      <c r="H48" s="451"/>
      <c r="I48" s="451"/>
      <c r="J48" s="451"/>
      <c r="K48" s="724"/>
      <c r="L48" s="2901"/>
      <c r="M48" s="2902"/>
      <c r="N48" s="2902"/>
      <c r="O48" s="2902"/>
      <c r="P48" s="3458" t="str">
        <f>A48</f>
        <v>估价对象XX用房的比较价值（楼面单价，元/平方米）</v>
      </c>
      <c r="Q48" s="3459"/>
      <c r="R48" s="3460">
        <f>ROUND(IF(D47="简单平均",AVERAGE(R47:W47),R47*F47+T47*H47+V47*J47),0)</f>
        <v>15114</v>
      </c>
      <c r="S48" s="3460"/>
      <c r="T48" s="3460"/>
      <c r="U48" s="3460"/>
      <c r="V48" s="3460"/>
      <c r="W48" s="346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9.6813992307134056E-2</v>
      </c>
      <c r="F51" s="457" t="str">
        <f>IF(OR(E51&gt;=0.3,E51&lt;=-0.3),"超过30%","")</f>
        <v/>
      </c>
      <c r="G51" s="456">
        <f>IF(G46&lt;G47,G47/G46-1,G46/G47-1)</f>
        <v>0.11338147180826552</v>
      </c>
      <c r="H51" s="457" t="str">
        <f>IF(OR(G51&gt;=0.3,G51&lt;=-0.3),"超过30%","")</f>
        <v/>
      </c>
      <c r="I51" s="456">
        <f>IF(I46&lt;I47,I47/I46-1,I46/I47-1)</f>
        <v>0.12634216177523272</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4.2707327169863474E-2</v>
      </c>
      <c r="F52" s="457" t="str">
        <f>IF(OR(E52&gt;=0.2,E52&lt;=-0.2),"超过20%","")</f>
        <v/>
      </c>
      <c r="G52" s="456">
        <f>IF(G47&lt;I47,I47/G47-1,G47/I47-1)</f>
        <v>8.5621636539257695E-2</v>
      </c>
      <c r="H52" s="457" t="str">
        <f>IF(OR(G52&gt;=0.2,G52&lt;=-0.2),"超过20%","")</f>
        <v/>
      </c>
      <c r="I52" s="456">
        <f>IF(I47&lt;E47,E47/I47-1,I47/E47-1)</f>
        <v>4.1156620128366406E-2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5.8457520356429482E-2</v>
      </c>
      <c r="F53" s="457" t="str">
        <f>IF(OR(E53&gt;=0.3,E53&lt;=-0.3),"超过30%","")</f>
        <v/>
      </c>
      <c r="G53" s="456">
        <f>IF(G46&lt;I46,I46/G46-1,G46/I46-1)</f>
        <v>7.3129512982024858E-2</v>
      </c>
      <c r="H53" s="457" t="str">
        <f>IF(OR(G53&gt;=0.3,G53&lt;=-0.3),"超过30%","")</f>
        <v/>
      </c>
      <c r="I53" s="456">
        <f>IF(I46&lt;E46,E46/I46-1,I46/E46-1)</f>
        <v>1.3861673561216259E-2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2335</v>
      </c>
      <c r="B55" s="641" t="s">
        <v>2336</v>
      </c>
      <c r="C55" s="2118" t="s">
        <v>2337</v>
      </c>
      <c r="D55" s="2119" t="s">
        <v>2338</v>
      </c>
      <c r="E55" s="642" t="s">
        <v>2339</v>
      </c>
      <c r="F55" s="1002" t="s">
        <v>2340</v>
      </c>
      <c r="G55" s="3461" t="s">
        <v>2341</v>
      </c>
      <c r="H55" s="3462"/>
      <c r="I55" s="140" t="s">
        <v>2342</v>
      </c>
      <c r="J55" s="2120">
        <f>项目基本情况!F35</f>
        <v>0</v>
      </c>
      <c r="K55" s="2121" t="s">
        <v>2343</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2344</v>
      </c>
      <c r="B56" s="645">
        <f>C48</f>
        <v>15114</v>
      </c>
      <c r="C56" s="646">
        <v>1</v>
      </c>
      <c r="D56" s="1056">
        <v>1</v>
      </c>
      <c r="E56" s="646">
        <f>'数据-汇总表'!E8+'数据-汇总表'!E9</f>
        <v>54642.68</v>
      </c>
      <c r="F56" s="998">
        <f t="shared" ref="F56:F64" si="15">ROUND(B56*E56/10000,0)</f>
        <v>82587</v>
      </c>
      <c r="G56" s="3463"/>
      <c r="H56" s="346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2345</v>
      </c>
      <c r="B57" s="224">
        <f>ROUND($C$48*C57*D57,0)</f>
        <v>2267</v>
      </c>
      <c r="C57" s="176">
        <f t="shared" ref="C57:C64" si="16">IF($C$55="北京市系数",I57,J57)</f>
        <v>0.6</v>
      </c>
      <c r="D57" s="1057">
        <v>0.25</v>
      </c>
      <c r="E57" s="650">
        <f>'数据-汇总表'!G20</f>
        <v>13156.32</v>
      </c>
      <c r="F57" s="998">
        <f t="shared" si="15"/>
        <v>2983</v>
      </c>
      <c r="G57" s="3226" t="s">
        <v>2346</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2347</v>
      </c>
      <c r="B58" s="224">
        <f t="shared" ref="B58:B64" si="17">ROUND($C$48*C58*D58,0)</f>
        <v>1134</v>
      </c>
      <c r="C58" s="176">
        <f t="shared" si="16"/>
        <v>0.3</v>
      </c>
      <c r="D58" s="1057">
        <v>0.25</v>
      </c>
      <c r="E58" s="650"/>
      <c r="F58" s="998">
        <f t="shared" si="15"/>
        <v>0</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2348</v>
      </c>
      <c r="B59" s="224">
        <f t="shared" si="17"/>
        <v>945</v>
      </c>
      <c r="C59" s="176">
        <f t="shared" si="16"/>
        <v>0.25</v>
      </c>
      <c r="D59" s="1057">
        <v>0.25</v>
      </c>
      <c r="E59" s="650"/>
      <c r="F59" s="998">
        <f t="shared" si="15"/>
        <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2349</v>
      </c>
      <c r="B60" s="224">
        <f t="shared" si="17"/>
        <v>945</v>
      </c>
      <c r="C60" s="176">
        <f t="shared" si="16"/>
        <v>0.25</v>
      </c>
      <c r="D60" s="1057">
        <v>0.25</v>
      </c>
      <c r="E60" s="223">
        <f>'数据-汇总表'!E11</f>
        <v>0</v>
      </c>
      <c r="F60" s="998">
        <f t="shared" si="15"/>
        <v>0</v>
      </c>
      <c r="G60" s="2122" t="s">
        <v>2350</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2351</v>
      </c>
      <c r="B61" s="224">
        <f t="shared" si="17"/>
        <v>945</v>
      </c>
      <c r="C61" s="176">
        <f t="shared" si="16"/>
        <v>0.25</v>
      </c>
      <c r="D61" s="1057">
        <v>0.25</v>
      </c>
      <c r="E61" s="223">
        <f>'数据-汇总表'!E12</f>
        <v>0</v>
      </c>
      <c r="F61" s="998">
        <f t="shared" si="15"/>
        <v>0</v>
      </c>
      <c r="G61" s="1004" t="s">
        <v>2352</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2353</v>
      </c>
      <c r="B62" s="224">
        <f t="shared" si="17"/>
        <v>0</v>
      </c>
      <c r="C62" s="176">
        <f t="shared" si="16"/>
        <v>0</v>
      </c>
      <c r="D62" s="1057">
        <v>0.25</v>
      </c>
      <c r="E62" s="223">
        <f>'数据-汇总表'!E13</f>
        <v>0</v>
      </c>
      <c r="F62" s="998">
        <f t="shared" si="15"/>
        <v>0</v>
      </c>
      <c r="G62" s="1004" t="s">
        <v>2354</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2355</v>
      </c>
      <c r="B63" s="224">
        <f t="shared" si="17"/>
        <v>567</v>
      </c>
      <c r="C63" s="176">
        <f t="shared" si="16"/>
        <v>0.15</v>
      </c>
      <c r="D63" s="1057">
        <v>0.25</v>
      </c>
      <c r="E63" s="223">
        <f>'数据-汇总表'!E14</f>
        <v>0</v>
      </c>
      <c r="F63" s="998">
        <f t="shared" si="15"/>
        <v>0</v>
      </c>
      <c r="G63" s="2122" t="s">
        <v>2346</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2356</v>
      </c>
      <c r="B64" s="224">
        <f t="shared" si="17"/>
        <v>567</v>
      </c>
      <c r="C64" s="176">
        <f t="shared" si="16"/>
        <v>0.15</v>
      </c>
      <c r="D64" s="1057">
        <v>0.25</v>
      </c>
      <c r="E64" s="223">
        <f>'数据-汇总表'!E15</f>
        <v>18631.560000000001</v>
      </c>
      <c r="F64" s="998">
        <f t="shared" si="15"/>
        <v>1056</v>
      </c>
      <c r="G64" s="2123" t="s">
        <v>2350</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2357</v>
      </c>
      <c r="B65" s="652" t="s">
        <v>28</v>
      </c>
      <c r="C65" s="652" t="s">
        <v>29</v>
      </c>
      <c r="D65" s="652" t="s">
        <v>816</v>
      </c>
      <c r="E65" s="652">
        <f>IF(B46="楼面地价",SUM(E56:E64),'数据-汇总表'!D3)</f>
        <v>86430.56</v>
      </c>
      <c r="F65" s="653">
        <f>IF(B46="楼面地价",SUM(F56:F64),ROUND(C48*E65/10000,0))</f>
        <v>86626</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2358</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2359</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6"/>
      <c r="Q70" s="2836"/>
      <c r="R70" s="2836"/>
      <c r="S70" s="2836"/>
      <c r="T70" s="2836"/>
      <c r="U70" s="2836"/>
      <c r="V70" s="2836"/>
      <c r="W70" s="2836"/>
      <c r="X70" s="2836"/>
      <c r="Y70" s="2836"/>
      <c r="Z70" s="2836"/>
      <c r="AA70" s="2836"/>
      <c r="AB70" s="2836"/>
      <c r="AC70" s="2836"/>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0（含）-2</v>
      </c>
      <c r="D78" s="504" t="str">
        <f t="shared" ref="D78:L78" si="20">D79&amp;"（含）"&amp;"-"&amp;E79</f>
        <v>2（含）-4</v>
      </c>
      <c r="E78" s="504" t="str">
        <f t="shared" si="20"/>
        <v>4（含）-6</v>
      </c>
      <c r="F78" s="504" t="str">
        <f t="shared" si="20"/>
        <v>6（含）-8</v>
      </c>
      <c r="G78" s="504" t="str">
        <f t="shared" si="20"/>
        <v>8（含）-10</v>
      </c>
      <c r="H78" s="504" t="str">
        <f t="shared" si="20"/>
        <v>10（含）-12</v>
      </c>
      <c r="I78" s="504" t="str">
        <f t="shared" si="20"/>
        <v>12（含）-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2</v>
      </c>
      <c r="E79" s="506">
        <v>4</v>
      </c>
      <c r="F79" s="506">
        <v>6</v>
      </c>
      <c r="G79" s="506">
        <v>8</v>
      </c>
      <c r="H79" s="506">
        <v>10</v>
      </c>
      <c r="I79" s="506">
        <v>12</v>
      </c>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98</v>
      </c>
      <c r="E80" s="501">
        <f t="shared" si="21"/>
        <v>96</v>
      </c>
      <c r="F80" s="501">
        <f t="shared" si="21"/>
        <v>94</v>
      </c>
      <c r="G80" s="501">
        <f t="shared" si="21"/>
        <v>92</v>
      </c>
      <c r="H80" s="501">
        <f t="shared" si="21"/>
        <v>90</v>
      </c>
      <c r="I80" s="501">
        <f t="shared" si="21"/>
        <v>88</v>
      </c>
      <c r="J80" s="501">
        <f t="shared" si="21"/>
        <v>86</v>
      </c>
      <c r="K80" s="501">
        <f t="shared" si="21"/>
        <v>84</v>
      </c>
      <c r="L80" s="501">
        <f t="shared" si="21"/>
        <v>82</v>
      </c>
      <c r="M80" s="501">
        <f t="shared" si="21"/>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2360</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2367</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10000</v>
      </c>
      <c r="E116" s="552">
        <v>20000</v>
      </c>
      <c r="F116" s="552">
        <v>30000</v>
      </c>
      <c r="G116" s="552">
        <v>40000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102</v>
      </c>
      <c r="E117" s="548">
        <v>104</v>
      </c>
      <c r="F117" s="548">
        <v>106</v>
      </c>
      <c r="G117" s="548">
        <v>108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2368</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2369</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2370</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2371</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A31" workbookViewId="0">
      <selection activeCell="A60" sqref="A60"/>
    </sheetView>
  </sheetViews>
  <sheetFormatPr defaultRowHeight="13.5"/>
  <cols>
    <col min="1" max="1" width="24" customWidth="1"/>
    <col min="2" max="3" width="0" hidden="1" customWidth="1"/>
    <col min="5" max="6" width="9.125" bestFit="1" customWidth="1"/>
    <col min="7" max="7" width="24.5" customWidth="1"/>
    <col min="8" max="8" width="0" hidden="1" customWidth="1"/>
    <col min="10" max="10" width="0" hidden="1" customWidth="1"/>
    <col min="11" max="11" width="11.625" hidden="1" customWidth="1"/>
    <col min="12" max="12" width="11.625" bestFit="1" customWidth="1"/>
    <col min="13" max="13" width="0" hidden="1" customWidth="1"/>
    <col min="15" max="16" width="9.125" bestFit="1" customWidth="1"/>
    <col min="17" max="17" width="0" hidden="1" customWidth="1"/>
    <col min="18" max="20" width="9.125" bestFit="1" customWidth="1"/>
  </cols>
  <sheetData>
    <row r="1" spans="1:20">
      <c r="A1" s="3242" t="s">
        <v>3191</v>
      </c>
      <c r="B1" s="3242" t="s">
        <v>3192</v>
      </c>
      <c r="C1" s="3242" t="s">
        <v>3193</v>
      </c>
      <c r="D1" s="3242" t="s">
        <v>3194</v>
      </c>
      <c r="E1" s="3242" t="s">
        <v>3195</v>
      </c>
      <c r="F1" s="3242" t="s">
        <v>3196</v>
      </c>
      <c r="G1" s="3242" t="s">
        <v>3197</v>
      </c>
      <c r="H1" s="3242" t="s">
        <v>3198</v>
      </c>
      <c r="I1" s="3242" t="s">
        <v>3199</v>
      </c>
      <c r="J1" s="3242" t="s">
        <v>3200</v>
      </c>
      <c r="K1" s="3242" t="s">
        <v>3201</v>
      </c>
      <c r="L1" s="3242" t="s">
        <v>3202</v>
      </c>
      <c r="M1" s="3242" t="s">
        <v>3203</v>
      </c>
      <c r="N1" s="3242" t="s">
        <v>3204</v>
      </c>
      <c r="O1" s="3242" t="s">
        <v>3205</v>
      </c>
      <c r="P1" s="3242" t="s">
        <v>3206</v>
      </c>
      <c r="Q1" s="3242" t="s">
        <v>3207</v>
      </c>
      <c r="R1" s="3242" t="s">
        <v>3208</v>
      </c>
      <c r="S1" s="3242" t="s">
        <v>3209</v>
      </c>
      <c r="T1" s="3242" t="s">
        <v>3210</v>
      </c>
    </row>
    <row r="2" spans="1:20">
      <c r="A2" s="3242" t="s">
        <v>3211</v>
      </c>
      <c r="B2" s="3242" t="s">
        <v>3178</v>
      </c>
      <c r="C2" s="3242" t="s">
        <v>3212</v>
      </c>
      <c r="D2" s="3242" t="s">
        <v>3213</v>
      </c>
      <c r="E2" s="3242">
        <v>16122.82</v>
      </c>
      <c r="F2" s="3242">
        <v>45143.91</v>
      </c>
      <c r="G2" s="3242" t="s">
        <v>3214</v>
      </c>
      <c r="H2" s="3242" t="s">
        <v>3215</v>
      </c>
      <c r="I2" s="3242" t="s">
        <v>3216</v>
      </c>
      <c r="J2" s="3242" t="s">
        <v>3217</v>
      </c>
      <c r="K2" s="3243">
        <v>44761.000497685185</v>
      </c>
      <c r="L2" s="3243">
        <v>44761.000497685185</v>
      </c>
      <c r="M2" s="3242" t="s">
        <v>3218</v>
      </c>
      <c r="N2" s="3242" t="s">
        <v>3219</v>
      </c>
      <c r="O2" s="3242">
        <v>76000</v>
      </c>
      <c r="P2" s="3242">
        <v>16000</v>
      </c>
      <c r="Q2" s="3242" t="s">
        <v>3220</v>
      </c>
      <c r="R2" s="3242">
        <v>76000</v>
      </c>
      <c r="S2" s="3242">
        <v>16835</v>
      </c>
      <c r="T2" s="3242">
        <v>0</v>
      </c>
    </row>
    <row r="3" spans="1:20" s="3246" customFormat="1">
      <c r="A3" s="3244" t="s">
        <v>3221</v>
      </c>
      <c r="B3" s="3244" t="s">
        <v>3178</v>
      </c>
      <c r="C3" s="3244" t="s">
        <v>3222</v>
      </c>
      <c r="D3" s="3244" t="s">
        <v>3223</v>
      </c>
      <c r="E3" s="3244">
        <v>33141.01</v>
      </c>
      <c r="F3" s="3244">
        <v>61339.02</v>
      </c>
      <c r="G3" s="3244" t="s">
        <v>3224</v>
      </c>
      <c r="H3" s="3244" t="s">
        <v>3215</v>
      </c>
      <c r="I3" s="3244" t="s">
        <v>3225</v>
      </c>
      <c r="J3" s="3244" t="s">
        <v>3226</v>
      </c>
      <c r="K3" s="3245">
        <v>44608.000497685185</v>
      </c>
      <c r="L3" s="3245">
        <v>44608.000497685185</v>
      </c>
      <c r="M3" s="3244" t="s">
        <v>3218</v>
      </c>
      <c r="N3" s="3244" t="s">
        <v>3227</v>
      </c>
      <c r="O3" s="3244">
        <v>133000</v>
      </c>
      <c r="P3" s="3244">
        <v>27000</v>
      </c>
      <c r="Q3" s="3244" t="s">
        <v>3228</v>
      </c>
      <c r="R3" s="3244">
        <v>133000</v>
      </c>
      <c r="S3" s="3244">
        <v>21683</v>
      </c>
      <c r="T3" s="3244">
        <v>0</v>
      </c>
    </row>
    <row r="4" spans="1:20" s="3249" customFormat="1">
      <c r="A4" s="3247" t="s">
        <v>3229</v>
      </c>
      <c r="B4" s="3247" t="s">
        <v>3178</v>
      </c>
      <c r="C4" s="3247" t="s">
        <v>3230</v>
      </c>
      <c r="D4" s="3247" t="s">
        <v>3213</v>
      </c>
      <c r="E4" s="3247">
        <v>29991.73</v>
      </c>
      <c r="F4" s="3247">
        <v>119966.93</v>
      </c>
      <c r="G4" s="3247">
        <v>4</v>
      </c>
      <c r="H4" s="3247" t="s">
        <v>3215</v>
      </c>
      <c r="I4" s="3247" t="s">
        <v>3216</v>
      </c>
      <c r="J4" s="3247" t="s">
        <v>3217</v>
      </c>
      <c r="K4" s="3248">
        <v>44566.000497685185</v>
      </c>
      <c r="L4" s="3248">
        <v>44566.000497685185</v>
      </c>
      <c r="M4" s="3247" t="s">
        <v>3218</v>
      </c>
      <c r="N4" s="3247" t="s">
        <v>3231</v>
      </c>
      <c r="O4" s="3247">
        <v>165300</v>
      </c>
      <c r="P4" s="3247">
        <v>33100</v>
      </c>
      <c r="Q4" s="3247" t="s">
        <v>1058</v>
      </c>
      <c r="R4" s="3247">
        <v>165300</v>
      </c>
      <c r="S4" s="3247">
        <v>13779</v>
      </c>
      <c r="T4" s="3247">
        <v>0</v>
      </c>
    </row>
    <row r="5" spans="1:20" s="3252" customFormat="1">
      <c r="A5" s="3250" t="s">
        <v>3232</v>
      </c>
      <c r="B5" s="3250" t="s">
        <v>3178</v>
      </c>
      <c r="C5" s="3250" t="s">
        <v>3233</v>
      </c>
      <c r="D5" s="3250" t="s">
        <v>3213</v>
      </c>
      <c r="E5" s="3250">
        <v>204418.11</v>
      </c>
      <c r="F5" s="3250">
        <v>302000</v>
      </c>
      <c r="G5" s="3250">
        <v>1.5</v>
      </c>
      <c r="H5" s="3250" t="s">
        <v>3215</v>
      </c>
      <c r="I5" s="3250" t="s">
        <v>3216</v>
      </c>
      <c r="J5" s="3250" t="s">
        <v>3217</v>
      </c>
      <c r="K5" s="3251">
        <v>44495.000497685185</v>
      </c>
      <c r="L5" s="3251">
        <v>44495.000497685185</v>
      </c>
      <c r="M5" s="3250" t="s">
        <v>3218</v>
      </c>
      <c r="N5" s="3250" t="s">
        <v>3234</v>
      </c>
      <c r="O5" s="3250">
        <v>506700</v>
      </c>
      <c r="P5" s="3250">
        <v>101400</v>
      </c>
      <c r="Q5" s="3250" t="s">
        <v>3235</v>
      </c>
      <c r="R5" s="3250">
        <v>506700</v>
      </c>
      <c r="S5" s="3250">
        <v>16778</v>
      </c>
      <c r="T5" s="3250">
        <v>0</v>
      </c>
    </row>
    <row r="6" spans="1:20" s="3246" customFormat="1">
      <c r="A6" s="3244" t="s">
        <v>3236</v>
      </c>
      <c r="B6" s="3244" t="s">
        <v>3178</v>
      </c>
      <c r="C6" s="3244" t="s">
        <v>3237</v>
      </c>
      <c r="D6" s="3244" t="s">
        <v>3223</v>
      </c>
      <c r="E6" s="3244">
        <v>25189.62</v>
      </c>
      <c r="F6" s="3244">
        <v>37104</v>
      </c>
      <c r="G6" s="3244" t="s">
        <v>3238</v>
      </c>
      <c r="H6" s="3244" t="s">
        <v>3215</v>
      </c>
      <c r="I6" s="3244" t="s">
        <v>3239</v>
      </c>
      <c r="J6" s="3244" t="s">
        <v>3240</v>
      </c>
      <c r="K6" s="3245">
        <v>44481.000497685185</v>
      </c>
      <c r="L6" s="3245">
        <v>44481.000497685185</v>
      </c>
      <c r="M6" s="3244" t="s">
        <v>3218</v>
      </c>
      <c r="N6" s="3244" t="s">
        <v>3241</v>
      </c>
      <c r="O6" s="3244">
        <v>29500</v>
      </c>
      <c r="P6" s="3244">
        <v>5900</v>
      </c>
      <c r="Q6" s="3244" t="s">
        <v>3242</v>
      </c>
      <c r="R6" s="3244">
        <v>29500</v>
      </c>
      <c r="S6" s="3244">
        <v>7951</v>
      </c>
      <c r="T6" s="3244">
        <v>0</v>
      </c>
    </row>
    <row r="7" spans="1:20" s="3246" customFormat="1">
      <c r="A7" s="3244" t="s">
        <v>3243</v>
      </c>
      <c r="B7" s="3244" t="s">
        <v>3178</v>
      </c>
      <c r="C7" s="3244" t="s">
        <v>3244</v>
      </c>
      <c r="D7" s="3244" t="s">
        <v>3245</v>
      </c>
      <c r="E7" s="3244">
        <v>45949.97</v>
      </c>
      <c r="F7" s="3244">
        <v>82709.95</v>
      </c>
      <c r="G7" s="3244">
        <v>1.8</v>
      </c>
      <c r="H7" s="3244" t="s">
        <v>3215</v>
      </c>
      <c r="I7" s="3244" t="s">
        <v>3246</v>
      </c>
      <c r="J7" s="3244" t="s">
        <v>3217</v>
      </c>
      <c r="K7" s="3245">
        <v>44481.000497685185</v>
      </c>
      <c r="L7" s="3245">
        <v>44481.000497685185</v>
      </c>
      <c r="M7" s="3244" t="s">
        <v>3218</v>
      </c>
      <c r="N7" s="3244" t="s">
        <v>3247</v>
      </c>
      <c r="O7" s="3244">
        <v>11198.93</v>
      </c>
      <c r="P7" s="3244">
        <v>2300</v>
      </c>
      <c r="Q7" s="3244" t="s">
        <v>1058</v>
      </c>
      <c r="R7" s="3244">
        <v>11198.93</v>
      </c>
      <c r="S7" s="3244">
        <v>1354</v>
      </c>
      <c r="T7" s="3244">
        <v>0</v>
      </c>
    </row>
    <row r="8" spans="1:20" s="3246" customFormat="1">
      <c r="A8" s="3244" t="s">
        <v>3248</v>
      </c>
      <c r="B8" s="3244" t="s">
        <v>3178</v>
      </c>
      <c r="C8" s="3244" t="s">
        <v>3249</v>
      </c>
      <c r="D8" s="3244" t="s">
        <v>3245</v>
      </c>
      <c r="E8" s="3244">
        <v>17315.580000000002</v>
      </c>
      <c r="F8" s="3244">
        <v>20778.689999999999</v>
      </c>
      <c r="G8" s="3244" t="s">
        <v>3250</v>
      </c>
      <c r="H8" s="3244" t="s">
        <v>3215</v>
      </c>
      <c r="I8" s="3244" t="s">
        <v>3251</v>
      </c>
      <c r="J8" s="3244" t="s">
        <v>3217</v>
      </c>
      <c r="K8" s="3245">
        <v>44386.000497685185</v>
      </c>
      <c r="L8" s="3245">
        <v>44386.000497685185</v>
      </c>
      <c r="M8" s="3244" t="s">
        <v>3218</v>
      </c>
      <c r="N8" s="3244" t="s">
        <v>3252</v>
      </c>
      <c r="O8" s="3244">
        <v>4064.34</v>
      </c>
      <c r="P8" s="3244">
        <v>850</v>
      </c>
      <c r="Q8" s="3244" t="s">
        <v>1058</v>
      </c>
      <c r="R8" s="3244">
        <v>4064.34</v>
      </c>
      <c r="S8" s="3244">
        <v>1956</v>
      </c>
      <c r="T8" s="3244">
        <v>0</v>
      </c>
    </row>
    <row r="9" spans="1:20" s="3246" customFormat="1">
      <c r="A9" s="3244" t="s">
        <v>3253</v>
      </c>
      <c r="B9" s="3244" t="s">
        <v>3178</v>
      </c>
      <c r="C9" s="3244" t="s">
        <v>3254</v>
      </c>
      <c r="D9" s="3244" t="s">
        <v>3245</v>
      </c>
      <c r="E9" s="3244">
        <v>10677.25</v>
      </c>
      <c r="F9" s="3244">
        <v>21354.5</v>
      </c>
      <c r="G9" s="3244" t="s">
        <v>3255</v>
      </c>
      <c r="H9" s="3244" t="s">
        <v>3215</v>
      </c>
      <c r="I9" s="3244" t="s">
        <v>3251</v>
      </c>
      <c r="J9" s="3244" t="s">
        <v>3217</v>
      </c>
      <c r="K9" s="3245">
        <v>44386.000497685185</v>
      </c>
      <c r="L9" s="3245">
        <v>44386.000497685185</v>
      </c>
      <c r="M9" s="3244" t="s">
        <v>3218</v>
      </c>
      <c r="N9" s="3244" t="s">
        <v>3252</v>
      </c>
      <c r="O9" s="3244">
        <v>4133.82</v>
      </c>
      <c r="P9" s="3244">
        <v>850</v>
      </c>
      <c r="Q9" s="3244" t="s">
        <v>1058</v>
      </c>
      <c r="R9" s="3244">
        <v>4133.82</v>
      </c>
      <c r="S9" s="3244">
        <v>1936</v>
      </c>
      <c r="T9" s="3244">
        <v>0</v>
      </c>
    </row>
    <row r="10" spans="1:20" s="3246" customFormat="1">
      <c r="A10" s="3244" t="s">
        <v>3256</v>
      </c>
      <c r="B10" s="3244" t="s">
        <v>3178</v>
      </c>
      <c r="C10" s="3244" t="s">
        <v>3257</v>
      </c>
      <c r="D10" s="3244" t="s">
        <v>3245</v>
      </c>
      <c r="E10" s="3244">
        <v>20326.22</v>
      </c>
      <c r="F10" s="3244">
        <v>24391.47</v>
      </c>
      <c r="G10" s="3244" t="s">
        <v>3250</v>
      </c>
      <c r="H10" s="3244" t="s">
        <v>3215</v>
      </c>
      <c r="I10" s="3244" t="s">
        <v>3251</v>
      </c>
      <c r="J10" s="3244" t="s">
        <v>3217</v>
      </c>
      <c r="K10" s="3245">
        <v>44376.000497685185</v>
      </c>
      <c r="L10" s="3245">
        <v>44376.000497685185</v>
      </c>
      <c r="M10" s="3244" t="s">
        <v>3218</v>
      </c>
      <c r="N10" s="3244" t="s">
        <v>3258</v>
      </c>
      <c r="O10" s="3244">
        <v>4768.32</v>
      </c>
      <c r="P10" s="3244">
        <v>1000</v>
      </c>
      <c r="Q10" s="3244" t="s">
        <v>1058</v>
      </c>
      <c r="R10" s="3244">
        <v>4768.32</v>
      </c>
      <c r="S10" s="3244">
        <v>1955</v>
      </c>
      <c r="T10" s="3244">
        <v>0</v>
      </c>
    </row>
    <row r="11" spans="1:20" s="3249" customFormat="1">
      <c r="A11" s="3247" t="s">
        <v>3259</v>
      </c>
      <c r="B11" s="3247" t="s">
        <v>3178</v>
      </c>
      <c r="C11" s="3247" t="s">
        <v>3260</v>
      </c>
      <c r="D11" s="3247" t="s">
        <v>3213</v>
      </c>
      <c r="E11" s="3247">
        <v>17147.95</v>
      </c>
      <c r="F11" s="3247">
        <v>53158.65</v>
      </c>
      <c r="G11" s="3247" t="s">
        <v>3261</v>
      </c>
      <c r="H11" s="3247" t="s">
        <v>3215</v>
      </c>
      <c r="I11" s="3247" t="s">
        <v>3262</v>
      </c>
      <c r="J11" s="3247" t="s">
        <v>3217</v>
      </c>
      <c r="K11" s="3248">
        <v>44335.000497685185</v>
      </c>
      <c r="L11" s="3248">
        <v>44335.000497685185</v>
      </c>
      <c r="M11" s="3247" t="s">
        <v>3218</v>
      </c>
      <c r="N11" s="3247" t="s">
        <v>3227</v>
      </c>
      <c r="O11" s="3247">
        <v>69200</v>
      </c>
      <c r="P11" s="3247">
        <v>14000</v>
      </c>
      <c r="Q11" s="3247" t="s">
        <v>1058</v>
      </c>
      <c r="R11" s="3247">
        <v>69200</v>
      </c>
      <c r="S11" s="3247">
        <v>13018</v>
      </c>
      <c r="T11" s="3247">
        <v>0</v>
      </c>
    </row>
    <row r="12" spans="1:20" s="3246" customFormat="1">
      <c r="A12" s="3244" t="s">
        <v>3263</v>
      </c>
      <c r="B12" s="3244" t="s">
        <v>3178</v>
      </c>
      <c r="C12" s="3244" t="s">
        <v>3264</v>
      </c>
      <c r="D12" s="3244" t="s">
        <v>3223</v>
      </c>
      <c r="E12" s="3244">
        <v>104979.3</v>
      </c>
      <c r="F12" s="3244">
        <v>177256.92</v>
      </c>
      <c r="G12" s="3244" t="s">
        <v>3265</v>
      </c>
      <c r="H12" s="3244" t="s">
        <v>3215</v>
      </c>
      <c r="I12" s="3244" t="s">
        <v>3266</v>
      </c>
      <c r="J12" s="3244" t="s">
        <v>3267</v>
      </c>
      <c r="K12" s="3245">
        <v>44324.000497685185</v>
      </c>
      <c r="L12" s="3245">
        <v>44327.000497685185</v>
      </c>
      <c r="M12" s="3244" t="s">
        <v>3218</v>
      </c>
      <c r="N12" s="3244" t="s">
        <v>3268</v>
      </c>
      <c r="O12" s="3244">
        <v>447000</v>
      </c>
      <c r="P12" s="3244">
        <v>90000</v>
      </c>
      <c r="Q12" s="3244" t="s">
        <v>3269</v>
      </c>
      <c r="R12" s="3244">
        <v>451600</v>
      </c>
      <c r="S12" s="3244">
        <v>25477</v>
      </c>
      <c r="T12" s="3244">
        <v>1.03</v>
      </c>
    </row>
    <row r="13" spans="1:20" s="3246" customFormat="1">
      <c r="A13" s="3244" t="s">
        <v>3270</v>
      </c>
      <c r="B13" s="3244" t="s">
        <v>3178</v>
      </c>
      <c r="C13" s="3244" t="s">
        <v>3271</v>
      </c>
      <c r="D13" s="3244" t="s">
        <v>3223</v>
      </c>
      <c r="E13" s="3244">
        <v>124063.23</v>
      </c>
      <c r="F13" s="3244">
        <v>240662.81</v>
      </c>
      <c r="G13" s="3244" t="s">
        <v>3272</v>
      </c>
      <c r="H13" s="3244" t="s">
        <v>3215</v>
      </c>
      <c r="I13" s="3244" t="s">
        <v>3273</v>
      </c>
      <c r="J13" s="3244" t="s">
        <v>3267</v>
      </c>
      <c r="K13" s="3245">
        <v>44324.000497685185</v>
      </c>
      <c r="L13" s="3245">
        <v>44327.000497685185</v>
      </c>
      <c r="M13" s="3244" t="s">
        <v>3218</v>
      </c>
      <c r="N13" s="3244" t="s">
        <v>3274</v>
      </c>
      <c r="O13" s="3244">
        <v>358000</v>
      </c>
      <c r="P13" s="3244">
        <v>72000</v>
      </c>
      <c r="Q13" s="3244" t="s">
        <v>3269</v>
      </c>
      <c r="R13" s="3244">
        <v>411500</v>
      </c>
      <c r="S13" s="3244">
        <v>17099</v>
      </c>
      <c r="T13" s="3244">
        <v>14.94</v>
      </c>
    </row>
    <row r="14" spans="1:20" s="3246" customFormat="1">
      <c r="A14" s="3244" t="s">
        <v>3275</v>
      </c>
      <c r="B14" s="3244" t="s">
        <v>3178</v>
      </c>
      <c r="C14" s="3244" t="s">
        <v>3276</v>
      </c>
      <c r="D14" s="3244" t="s">
        <v>3223</v>
      </c>
      <c r="E14" s="3244">
        <v>44474.33</v>
      </c>
      <c r="F14" s="3244">
        <v>95931.32</v>
      </c>
      <c r="G14" s="3244" t="s">
        <v>3277</v>
      </c>
      <c r="H14" s="3244" t="s">
        <v>3215</v>
      </c>
      <c r="I14" s="3244" t="s">
        <v>3278</v>
      </c>
      <c r="J14" s="3244" t="s">
        <v>3267</v>
      </c>
      <c r="K14" s="3245">
        <v>44324.000497685185</v>
      </c>
      <c r="L14" s="3245">
        <v>44343.000497685185</v>
      </c>
      <c r="M14" s="3244" t="s">
        <v>3218</v>
      </c>
      <c r="N14" s="3244" t="s">
        <v>3279</v>
      </c>
      <c r="O14" s="3244">
        <v>179200</v>
      </c>
      <c r="P14" s="3244">
        <v>36000</v>
      </c>
      <c r="Q14" s="3244" t="s">
        <v>3269</v>
      </c>
      <c r="R14" s="3244">
        <v>224000</v>
      </c>
      <c r="S14" s="3244">
        <v>23350</v>
      </c>
      <c r="T14" s="3244">
        <v>25</v>
      </c>
    </row>
    <row r="15" spans="1:20">
      <c r="A15" s="3242" t="s">
        <v>3280</v>
      </c>
      <c r="B15" s="3242" t="s">
        <v>3178</v>
      </c>
      <c r="C15" s="3242" t="s">
        <v>3281</v>
      </c>
      <c r="D15" s="3242" t="s">
        <v>3213</v>
      </c>
      <c r="E15" s="3242">
        <v>22058.78</v>
      </c>
      <c r="F15" s="3242">
        <v>47390</v>
      </c>
      <c r="G15" s="3242" t="s">
        <v>3282</v>
      </c>
      <c r="H15" s="3242" t="s">
        <v>3215</v>
      </c>
      <c r="I15" s="3242" t="s">
        <v>3216</v>
      </c>
      <c r="J15" s="3242" t="s">
        <v>3217</v>
      </c>
      <c r="K15" s="3243">
        <v>44234.000497685185</v>
      </c>
      <c r="L15" s="3243">
        <v>44234.000497685185</v>
      </c>
      <c r="M15" s="3242" t="s">
        <v>3218</v>
      </c>
      <c r="N15" s="3242" t="s">
        <v>3283</v>
      </c>
      <c r="O15" s="3242">
        <v>32700</v>
      </c>
      <c r="P15" s="3242">
        <v>6600</v>
      </c>
      <c r="Q15" s="3242" t="s">
        <v>1058</v>
      </c>
      <c r="R15" s="3242">
        <v>32700</v>
      </c>
      <c r="S15" s="3242">
        <v>6900</v>
      </c>
      <c r="T15" s="3242">
        <v>0</v>
      </c>
    </row>
    <row r="16" spans="1:20" s="3246" customFormat="1">
      <c r="A16" s="3244" t="s">
        <v>3284</v>
      </c>
      <c r="B16" s="3244" t="s">
        <v>3178</v>
      </c>
      <c r="C16" s="3244" t="s">
        <v>3285</v>
      </c>
      <c r="D16" s="3244" t="s">
        <v>3245</v>
      </c>
      <c r="E16" s="3244">
        <v>106100</v>
      </c>
      <c r="F16" s="3244">
        <v>127300</v>
      </c>
      <c r="G16" s="3244" t="s">
        <v>3286</v>
      </c>
      <c r="H16" s="3244" t="s">
        <v>3215</v>
      </c>
      <c r="I16" s="3244" t="s">
        <v>3287</v>
      </c>
      <c r="J16" s="3244" t="s">
        <v>3217</v>
      </c>
      <c r="K16" s="3245">
        <v>44204.000497685185</v>
      </c>
      <c r="L16" s="3245">
        <v>44204.000497685185</v>
      </c>
      <c r="M16" s="3244" t="s">
        <v>3218</v>
      </c>
      <c r="N16" s="3244" t="s">
        <v>3288</v>
      </c>
      <c r="O16" s="3244">
        <v>9472.42</v>
      </c>
      <c r="P16" s="3244">
        <v>1900</v>
      </c>
      <c r="Q16" s="3244" t="s">
        <v>1058</v>
      </c>
      <c r="R16" s="3244">
        <v>9472.42</v>
      </c>
      <c r="S16" s="3244">
        <v>744</v>
      </c>
      <c r="T16" s="3244">
        <v>0</v>
      </c>
    </row>
    <row r="17" spans="1:20" s="3246" customFormat="1">
      <c r="A17" s="3244" t="s">
        <v>3289</v>
      </c>
      <c r="B17" s="3244" t="s">
        <v>3178</v>
      </c>
      <c r="C17" s="3244" t="s">
        <v>3290</v>
      </c>
      <c r="D17" s="3244" t="s">
        <v>3223</v>
      </c>
      <c r="E17" s="3244">
        <v>37814.6</v>
      </c>
      <c r="F17" s="3244">
        <v>77172</v>
      </c>
      <c r="G17" s="3244" t="s">
        <v>3291</v>
      </c>
      <c r="H17" s="3244" t="s">
        <v>3215</v>
      </c>
      <c r="I17" s="3244" t="s">
        <v>3239</v>
      </c>
      <c r="J17" s="3244" t="s">
        <v>3217</v>
      </c>
      <c r="K17" s="3245">
        <v>44026.000497685185</v>
      </c>
      <c r="L17" s="3245">
        <v>44026.000497685185</v>
      </c>
      <c r="M17" s="3244" t="s">
        <v>3218</v>
      </c>
      <c r="N17" s="3244" t="s">
        <v>3292</v>
      </c>
      <c r="O17" s="3244">
        <v>113100</v>
      </c>
      <c r="P17" s="3244">
        <v>22650</v>
      </c>
      <c r="Q17" s="3244" t="s">
        <v>3293</v>
      </c>
      <c r="R17" s="3244">
        <v>124000</v>
      </c>
      <c r="S17" s="3244">
        <v>16068</v>
      </c>
      <c r="T17" s="3244">
        <v>9.64</v>
      </c>
    </row>
    <row r="18" spans="1:20" s="3246" customFormat="1">
      <c r="A18" s="3244" t="s">
        <v>3294</v>
      </c>
      <c r="B18" s="3244" t="s">
        <v>3178</v>
      </c>
      <c r="C18" s="3244" t="s">
        <v>3295</v>
      </c>
      <c r="D18" s="3244" t="s">
        <v>3223</v>
      </c>
      <c r="E18" s="3244">
        <v>27525.64</v>
      </c>
      <c r="F18" s="3244">
        <v>50251</v>
      </c>
      <c r="G18" s="3244" t="s">
        <v>3296</v>
      </c>
      <c r="H18" s="3244" t="s">
        <v>3215</v>
      </c>
      <c r="I18" s="3244" t="s">
        <v>3239</v>
      </c>
      <c r="J18" s="3244" t="s">
        <v>3217</v>
      </c>
      <c r="K18" s="3245">
        <v>43879.000497685185</v>
      </c>
      <c r="L18" s="3245">
        <v>43879.000497685185</v>
      </c>
      <c r="M18" s="3244" t="s">
        <v>3218</v>
      </c>
      <c r="N18" s="3244" t="s">
        <v>3297</v>
      </c>
      <c r="O18" s="3244">
        <v>90000</v>
      </c>
      <c r="P18" s="3244">
        <v>18000</v>
      </c>
      <c r="Q18" s="3244" t="s">
        <v>3298</v>
      </c>
      <c r="R18" s="3244">
        <v>134800</v>
      </c>
      <c r="S18" s="3244">
        <v>26825</v>
      </c>
      <c r="T18" s="3244">
        <v>49.78</v>
      </c>
    </row>
    <row r="19" spans="1:20" s="3246" customFormat="1">
      <c r="A19" s="3244" t="s">
        <v>3299</v>
      </c>
      <c r="B19" s="3244" t="s">
        <v>3178</v>
      </c>
      <c r="C19" s="3244" t="s">
        <v>3300</v>
      </c>
      <c r="D19" s="3244" t="s">
        <v>3223</v>
      </c>
      <c r="E19" s="3244">
        <v>99023.27</v>
      </c>
      <c r="F19" s="3244">
        <v>220184.56</v>
      </c>
      <c r="G19" s="3244" t="s">
        <v>3301</v>
      </c>
      <c r="H19" s="3244" t="s">
        <v>3215</v>
      </c>
      <c r="I19" s="3244" t="s">
        <v>3239</v>
      </c>
      <c r="J19" s="3244" t="s">
        <v>3217</v>
      </c>
      <c r="K19" s="3245">
        <v>43872.000497685185</v>
      </c>
      <c r="L19" s="3245">
        <v>43872.000497685185</v>
      </c>
      <c r="M19" s="3244" t="s">
        <v>3218</v>
      </c>
      <c r="N19" s="3244" t="s">
        <v>3302</v>
      </c>
      <c r="O19" s="3244">
        <v>380000</v>
      </c>
      <c r="P19" s="3244">
        <v>76000</v>
      </c>
      <c r="Q19" s="3244" t="s">
        <v>3303</v>
      </c>
      <c r="R19" s="3244">
        <v>467000</v>
      </c>
      <c r="S19" s="3244">
        <v>21209</v>
      </c>
      <c r="T19" s="3244">
        <v>22.89</v>
      </c>
    </row>
    <row r="20" spans="1:20" s="3249" customFormat="1">
      <c r="A20" s="3247" t="s">
        <v>3304</v>
      </c>
      <c r="B20" s="3247" t="s">
        <v>3178</v>
      </c>
      <c r="C20" s="3247" t="s">
        <v>3305</v>
      </c>
      <c r="D20" s="3247" t="s">
        <v>3213</v>
      </c>
      <c r="E20" s="3247">
        <v>28003.32</v>
      </c>
      <c r="F20" s="3247">
        <v>70008</v>
      </c>
      <c r="G20" s="3247" t="s">
        <v>3306</v>
      </c>
      <c r="H20" s="3247" t="s">
        <v>3215</v>
      </c>
      <c r="I20" s="3247" t="s">
        <v>3216</v>
      </c>
      <c r="J20" s="3247" t="s">
        <v>3217</v>
      </c>
      <c r="K20" s="3248">
        <v>43755.000497685185</v>
      </c>
      <c r="L20" s="3248">
        <v>43755.000497685185</v>
      </c>
      <c r="M20" s="3247" t="s">
        <v>3218</v>
      </c>
      <c r="N20" s="3247" t="s">
        <v>3307</v>
      </c>
      <c r="O20" s="3247">
        <v>96800</v>
      </c>
      <c r="P20" s="3247">
        <v>19500</v>
      </c>
      <c r="Q20" s="3247" t="s">
        <v>3308</v>
      </c>
      <c r="R20" s="3247">
        <v>97800</v>
      </c>
      <c r="S20" s="3247">
        <v>13970</v>
      </c>
      <c r="T20" s="3247">
        <v>1.03</v>
      </c>
    </row>
    <row r="21" spans="1:20" s="3246" customFormat="1">
      <c r="A21" s="3244" t="s">
        <v>3309</v>
      </c>
      <c r="B21" s="3244" t="s">
        <v>3178</v>
      </c>
      <c r="C21" s="3244" t="s">
        <v>3310</v>
      </c>
      <c r="D21" s="3244" t="s">
        <v>3223</v>
      </c>
      <c r="E21" s="3244">
        <v>73240.63</v>
      </c>
      <c r="F21" s="3244">
        <v>153989</v>
      </c>
      <c r="G21" s="3244" t="s">
        <v>3291</v>
      </c>
      <c r="H21" s="3244" t="s">
        <v>3215</v>
      </c>
      <c r="I21" s="3244" t="s">
        <v>3311</v>
      </c>
      <c r="J21" s="3244" t="s">
        <v>3217</v>
      </c>
      <c r="K21" s="3245">
        <v>43753.000497685185</v>
      </c>
      <c r="L21" s="3245">
        <v>43753.000497685185</v>
      </c>
      <c r="M21" s="3244" t="s">
        <v>3218</v>
      </c>
      <c r="N21" s="3244" t="s">
        <v>3312</v>
      </c>
      <c r="O21" s="3244">
        <v>332000</v>
      </c>
      <c r="P21" s="3244">
        <v>66400</v>
      </c>
      <c r="Q21" s="3244" t="s">
        <v>3313</v>
      </c>
      <c r="R21" s="3244">
        <v>332000</v>
      </c>
      <c r="S21" s="3244">
        <v>21560</v>
      </c>
      <c r="T21" s="3244">
        <v>0</v>
      </c>
    </row>
    <row r="90" spans="21:21">
      <c r="U90" s="3264"/>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80" zoomScaleNormal="70" zoomScaleSheetLayoutView="80" workbookViewId="0">
      <selection activeCell="C11" sqref="C11"/>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123636</v>
      </c>
      <c r="C2" s="282" t="s">
        <v>2040</v>
      </c>
      <c r="D2" s="282"/>
      <c r="E2" s="2985"/>
      <c r="F2" s="2985"/>
      <c r="G2" s="2985"/>
      <c r="H2" s="2985"/>
      <c r="I2" s="2985"/>
      <c r="J2" s="2985"/>
      <c r="K2" s="2985"/>
    </row>
    <row r="3" spans="1:33" ht="18" customHeight="1" thickBot="1">
      <c r="A3" s="209" t="s">
        <v>1909</v>
      </c>
      <c r="B3" s="210">
        <f ca="1">ROUND(B2*10000/IF(C1="",'数据-汇总表'!E3,INDIRECT("'数据-取费表'!K"&amp;$K$1)),0)</f>
        <v>12893</v>
      </c>
      <c r="C3" s="282" t="s">
        <v>2041</v>
      </c>
      <c r="D3" s="282"/>
      <c r="E3" s="2985"/>
      <c r="F3" s="2985"/>
      <c r="G3" s="2985"/>
      <c r="H3" s="2985"/>
      <c r="I3" s="2985"/>
      <c r="J3" s="2985"/>
      <c r="K3" s="2985"/>
    </row>
    <row r="4" spans="1:33" s="874" customFormat="1" ht="16.5" customHeight="1">
      <c r="A4" s="871" t="s">
        <v>2042</v>
      </c>
      <c r="B4" s="872"/>
      <c r="C4" s="914">
        <f ca="1">SUM(C8:K8)</f>
        <v>178971</v>
      </c>
      <c r="D4" s="872"/>
      <c r="E4" s="872"/>
      <c r="F4" s="872"/>
      <c r="G4" s="872"/>
      <c r="H4" s="872"/>
      <c r="I4" s="872"/>
      <c r="J4" s="872"/>
      <c r="K4" s="873"/>
    </row>
    <row r="5" spans="1:33" s="878" customFormat="1" ht="15">
      <c r="A5" s="875" t="s">
        <v>2043</v>
      </c>
      <c r="B5" s="876" t="s">
        <v>2044</v>
      </c>
      <c r="C5" s="1995" t="s">
        <v>27</v>
      </c>
      <c r="D5" s="1995" t="s">
        <v>1102</v>
      </c>
      <c r="E5" s="1995" t="s">
        <v>3183</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收益法!B3</f>
        <v>24855</v>
      </c>
      <c r="D6" s="880">
        <f ca="1">'收益法-商业'!B3</f>
        <v>26483</v>
      </c>
      <c r="E6" s="880">
        <f ca="1">'收益法-车库'!B3</f>
        <v>2220</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收益法!B2</f>
        <v>72022</v>
      </c>
      <c r="D8" s="915">
        <f ca="1">'收益法-商业'!B2</f>
        <v>102812</v>
      </c>
      <c r="E8" s="915">
        <f ca="1">'收益法-车库'!B2</f>
        <v>4137</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18498</v>
      </c>
      <c r="D11" s="891"/>
      <c r="E11" s="335"/>
      <c r="F11" s="892">
        <f ca="1">1-IF('数据-取费表'!B24=0,1,IF(C1="",'数据-取费表'!N16,INDIRECT("'数据-取费表'!n"&amp;$K$1)))</f>
        <v>0.5</v>
      </c>
      <c r="G11" s="8"/>
      <c r="H11" s="886"/>
      <c r="I11" s="886"/>
      <c r="J11" s="886"/>
      <c r="K11" s="887"/>
    </row>
    <row r="12" spans="1:33" s="893" customFormat="1" ht="13.5" customHeight="1">
      <c r="A12" s="889" t="s">
        <v>1061</v>
      </c>
      <c r="B12" s="890" t="s">
        <v>2058</v>
      </c>
      <c r="C12" s="24">
        <f ca="1">ROUND(C11*F12,0)</f>
        <v>555</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959</v>
      </c>
      <c r="D14" s="936">
        <f ca="1">IF(C1="",'数据-汇总表'!E3,INDIRECT("'数据-取费表'!K"&amp;$K$1)+INDIRECT("'数据-取费表'!S"&amp;$K$1))</f>
        <v>95896.06</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277</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20289</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95896.06</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2072</v>
      </c>
      <c r="C20" s="24">
        <f ca="1">ROUND(D20*E20/10000,0)</f>
        <v>1918</v>
      </c>
      <c r="D20" s="936">
        <f ca="1">IF(C1="",'数据-汇总表'!E6,IF(INDIRECT("'数据-取费表'!c"&amp;$K$1)="住宅",INDIRECT("'数据-取费表'!s"&amp;$K$1),INDIRECT("'数据-取费表'!k"&amp;$K$1)+INDIRECT("'数据-取费表'!s"&amp;$K$1)))</f>
        <v>95896.06</v>
      </c>
      <c r="E20" s="24">
        <f>'数据-取费表'!B28</f>
        <v>200</v>
      </c>
      <c r="F20" s="894"/>
      <c r="G20" s="15"/>
      <c r="H20" s="899"/>
      <c r="I20" s="899"/>
      <c r="J20" s="899"/>
      <c r="K20" s="900"/>
    </row>
    <row r="21" spans="1:33" s="893" customFormat="1" ht="13.5" customHeight="1">
      <c r="A21" s="879" t="s">
        <v>621</v>
      </c>
      <c r="B21" s="903" t="s">
        <v>2073</v>
      </c>
      <c r="C21" s="904">
        <f ca="1">C16+C17+C18</f>
        <v>20289</v>
      </c>
      <c r="D21" s="905"/>
      <c r="E21" s="287"/>
      <c r="F21" s="287"/>
      <c r="G21" s="136" t="s">
        <v>2074</v>
      </c>
      <c r="H21" s="897"/>
      <c r="I21" s="897"/>
      <c r="J21" s="897"/>
      <c r="K21" s="898"/>
    </row>
    <row r="22" spans="1:33" s="893" customFormat="1" ht="13.5" customHeight="1">
      <c r="A22" s="879" t="s">
        <v>2046</v>
      </c>
      <c r="B22" s="903" t="s">
        <v>2075</v>
      </c>
      <c r="C22" s="904">
        <f ca="1">ROUND(C21*F22,0)</f>
        <v>406</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1790</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696</v>
      </c>
      <c r="D25" s="286">
        <f ca="1">C26</f>
        <v>6.4699999999999994E-2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6.4699999999999994E-2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696</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2923</v>
      </c>
      <c r="D28" s="286">
        <f ca="1">C29</f>
        <v>6.6900000000000001E-2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6.6900000000000001E-2</v>
      </c>
      <c r="D29" s="290"/>
      <c r="E29" s="291"/>
      <c r="F29" s="296"/>
      <c r="G29" s="136" t="s">
        <v>2089</v>
      </c>
      <c r="H29" s="897"/>
      <c r="I29" s="897"/>
      <c r="J29" s="897"/>
      <c r="K29" s="898"/>
    </row>
    <row r="30" spans="1:33" s="297" customFormat="1" ht="13.5" customHeight="1">
      <c r="A30" s="889" t="s">
        <v>623</v>
      </c>
      <c r="B30" s="912" t="s">
        <v>2090</v>
      </c>
      <c r="C30" s="298">
        <f ca="1">ROUND((C21+C22+C23)*F28,0)</f>
        <v>2923</v>
      </c>
      <c r="D30" s="290"/>
      <c r="E30" s="291"/>
      <c r="F30" s="296"/>
      <c r="G30" s="136"/>
      <c r="H30" s="897"/>
      <c r="I30" s="897"/>
      <c r="J30" s="897"/>
      <c r="K30" s="898"/>
    </row>
    <row r="31" spans="1:33" s="893" customFormat="1" ht="13.5" customHeight="1" thickBot="1">
      <c r="A31" s="2001" t="s">
        <v>2091</v>
      </c>
      <c r="B31" s="923" t="s">
        <v>2092</v>
      </c>
      <c r="C31" s="924">
        <f ca="1">ROUND(C4*F31/(1+'数据-取费表'!C42),0)</f>
        <v>9375</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123636</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0" zoomScale="70" zoomScaleNormal="70" zoomScaleSheetLayoutView="70" workbookViewId="0">
      <selection activeCell="A37" sqref="A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3322</v>
      </c>
      <c r="E1" s="1497" t="s">
        <v>1111</v>
      </c>
      <c r="F1" s="1174">
        <f ca="1">J53</f>
        <v>39.06</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72022</v>
      </c>
      <c r="C2" s="1521" t="s">
        <v>1240</v>
      </c>
      <c r="D2" s="1521"/>
      <c r="E2" s="1522"/>
      <c r="F2" s="1523"/>
      <c r="G2" s="2883"/>
      <c r="H2" s="2872"/>
      <c r="I2" s="2872"/>
      <c r="J2" s="2872"/>
      <c r="K2" s="2873"/>
      <c r="L2" s="2872"/>
      <c r="M2" s="2872"/>
    </row>
    <row r="3" spans="1:37" ht="18" customHeight="1" thickBot="1">
      <c r="A3" s="1524" t="s">
        <v>1241</v>
      </c>
      <c r="B3" s="1525">
        <f ca="1">IF(ISERROR(B2*10000/F43),0,ROUND(B2*10000/F43,0))</f>
        <v>24855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4765</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4759</v>
      </c>
      <c r="D6" s="160" t="s">
        <v>2606</v>
      </c>
      <c r="E6" s="308" t="s">
        <v>1129</v>
      </c>
      <c r="F6" s="309">
        <f ca="1">INDIRECT("'数据-取费表'!u"&amp;$G$1)</f>
        <v>5</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28977.16</v>
      </c>
      <c r="G7" s="1518"/>
      <c r="H7" s="310"/>
      <c r="I7" s="3502"/>
      <c r="J7" s="312"/>
      <c r="K7" s="313"/>
      <c r="L7" s="308" t="s">
        <v>1130</v>
      </c>
      <c r="M7" s="309">
        <f ca="1">F7</f>
        <v>28977.16</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6</v>
      </c>
      <c r="D10" s="1500" t="s">
        <v>2614</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20454</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13992</v>
      </c>
      <c r="D14" s="1479" t="s">
        <v>1142</v>
      </c>
      <c r="E14" s="1476"/>
      <c r="F14" s="325"/>
      <c r="G14" s="1518"/>
      <c r="H14" s="1094" t="s">
        <v>822</v>
      </c>
      <c r="I14" s="308" t="s">
        <v>1143</v>
      </c>
      <c r="J14" s="24">
        <f ca="1">C29</f>
        <v>20454</v>
      </c>
      <c r="K14" s="15"/>
      <c r="L14" s="897"/>
      <c r="M14" s="898"/>
    </row>
    <row r="15" spans="1:37" s="1531" customFormat="1" ht="18" customHeight="1" thickBot="1">
      <c r="A15" s="1094" t="s">
        <v>823</v>
      </c>
      <c r="B15" s="308" t="s">
        <v>1144</v>
      </c>
      <c r="C15" s="24">
        <f ca="1">ROUND(C14*F15,0)</f>
        <v>420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378</v>
      </c>
      <c r="K16" s="1200" t="s">
        <v>1149</v>
      </c>
      <c r="L16" s="1201"/>
      <c r="M16" s="1185"/>
    </row>
    <row r="17" spans="1:37" s="1531" customFormat="1" ht="18" customHeight="1">
      <c r="A17" s="1094" t="s">
        <v>1114</v>
      </c>
      <c r="B17" s="308" t="s">
        <v>1150</v>
      </c>
      <c r="C17" s="24">
        <f ca="1">ROUND(F17*(F43+INDIRECT("'数据-取费表'!S"&amp;$G$1))/10000,0)</f>
        <v>643</v>
      </c>
      <c r="D17" s="308" t="s">
        <v>1151</v>
      </c>
      <c r="E17" s="308" t="s">
        <v>1152</v>
      </c>
      <c r="F17" s="26">
        <f>'数据-取费表'!B35</f>
        <v>200</v>
      </c>
      <c r="G17" s="1530"/>
      <c r="H17" s="1094" t="s">
        <v>822</v>
      </c>
      <c r="I17" s="308" t="s">
        <v>1153</v>
      </c>
      <c r="J17" s="2483">
        <f ca="1">ROUND(IF(AND(项目基本情况!B11="自然人",项目基本情况!B10="北京市"),J6*M17/(1+'数据-取费表'!C42),J18+J19+J20),0)</f>
        <v>173</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210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15265</v>
      </c>
      <c r="D19" s="136" t="s">
        <v>1160</v>
      </c>
      <c r="E19" s="1494"/>
      <c r="F19" s="26"/>
      <c r="G19" s="1518"/>
      <c r="H19" s="1094" t="s">
        <v>823</v>
      </c>
      <c r="I19" s="308" t="s">
        <v>1161</v>
      </c>
      <c r="J19" s="24">
        <f ca="1">IF(K19="按租金收入计税",ROUND(J6*M19/(1+'数据-取费表'!C42),2),ROUND(C29*M19*0.7,2))</f>
        <v>171.81</v>
      </c>
      <c r="K19" s="1504" t="s">
        <v>1162</v>
      </c>
      <c r="L19" s="308" t="s">
        <v>1146</v>
      </c>
      <c r="M19" s="328">
        <f>IF(K19="按租金收入计税",'数据-取费表'!B51,'数据-取费表'!B50)</f>
        <v>1.2E-2</v>
      </c>
    </row>
    <row r="20" spans="1:37" s="1531" customFormat="1" ht="18" customHeight="1">
      <c r="A20" s="1094" t="s">
        <v>826</v>
      </c>
      <c r="B20" s="308" t="s">
        <v>1163</v>
      </c>
      <c r="C20" s="24">
        <f ca="1">ROUND(C19*F20,0)</f>
        <v>305</v>
      </c>
      <c r="D20" s="329" t="s">
        <v>1164</v>
      </c>
      <c r="E20" s="308" t="s">
        <v>1146</v>
      </c>
      <c r="F20" s="328">
        <f>'数据-取费表'!B37</f>
        <v>0.02</v>
      </c>
      <c r="G20" s="1530"/>
      <c r="H20" s="1094" t="s">
        <v>1113</v>
      </c>
      <c r="I20" s="160" t="s">
        <v>1165</v>
      </c>
      <c r="J20" s="25">
        <f ca="1">ROUND(M20*M21/10000,2)</f>
        <v>0.79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5245.16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204.5</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979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-378</v>
      </c>
      <c r="K25" s="1208" t="s">
        <v>1188</v>
      </c>
      <c r="L25" s="1209"/>
      <c r="M25" s="1210"/>
    </row>
    <row r="26" spans="1:37">
      <c r="A26" s="1094" t="s">
        <v>821</v>
      </c>
      <c r="B26" s="308" t="s">
        <v>1189</v>
      </c>
      <c r="C26" s="24">
        <f ca="1">ROUND((C19+C20)*F26,0)</f>
        <v>2336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20454</v>
      </c>
      <c r="D29" s="1205"/>
      <c r="E29" s="1203"/>
      <c r="F29" s="1206"/>
      <c r="G29" s="1530"/>
      <c r="H29" s="340" t="s">
        <v>820</v>
      </c>
      <c r="I29" s="341" t="s">
        <v>1203</v>
      </c>
      <c r="J29" s="342">
        <f ca="1">ROUND(J26/(1+F40)^F41,0)</f>
        <v>0</v>
      </c>
      <c r="K29" s="343" t="s">
        <v>1204</v>
      </c>
      <c r="L29" s="344"/>
      <c r="M29" s="345">
        <f ca="1">INDIRECT("'数据-取费表'!k"&amp;$G$1)</f>
        <v>28977.16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1067</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794</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249.28</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543.89</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0.79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5245.16</v>
      </c>
      <c r="G35" s="1518"/>
      <c r="H35" s="2874"/>
      <c r="I35" s="1532"/>
      <c r="J35" s="1533"/>
      <c r="K35" s="2878"/>
      <c r="L35" s="2877"/>
      <c r="M35" s="2877"/>
    </row>
    <row r="36" spans="1:18" ht="18" customHeight="1">
      <c r="A36" s="1215" t="s">
        <v>826</v>
      </c>
      <c r="B36" s="308" t="s">
        <v>1173</v>
      </c>
      <c r="C36" s="24">
        <f ca="1">ROUND(C29*F36,1)</f>
        <v>204.5</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20.5</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47.7</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3698</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72022</v>
      </c>
      <c r="D40" s="330" t="s">
        <v>1193</v>
      </c>
      <c r="E40" s="308" t="s">
        <v>1194</v>
      </c>
      <c r="F40" s="318">
        <f ca="1">INDIRECT("'数据-取费表'!I"&amp;$G$1)</f>
        <v>5.5E-2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39.06</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24855</v>
      </c>
      <c r="D43" s="343" t="s">
        <v>1212</v>
      </c>
      <c r="E43" s="344" t="s">
        <v>1213</v>
      </c>
      <c r="F43" s="345">
        <f ca="1">INDIRECT("'数据-取费表'!k"&amp;$G$1)</f>
        <v>28977.16</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-103001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72022</v>
      </c>
      <c r="R47" s="1554" t="s">
        <v>1253</v>
      </c>
    </row>
    <row r="48" spans="1:18" s="1518" customFormat="1" ht="28.5" thickBot="1">
      <c r="A48" s="1223" t="s">
        <v>863</v>
      </c>
      <c r="B48" s="306" t="s">
        <v>1125</v>
      </c>
      <c r="C48" s="1493">
        <f ca="1">C49+C53+C55</f>
        <v>0</v>
      </c>
      <c r="D48" s="1225"/>
      <c r="E48" s="1226"/>
      <c r="F48" s="1074"/>
      <c r="G48" s="731"/>
      <c r="H48" s="732"/>
      <c r="I48" s="1555" t="s">
        <v>1254</v>
      </c>
      <c r="J48" s="1556" t="s">
        <v>3326</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2025</v>
      </c>
      <c r="K49" s="1557" t="s">
        <v>1259</v>
      </c>
      <c r="L49" s="1561"/>
      <c r="O49" s="1562" t="s">
        <v>829</v>
      </c>
      <c r="P49" s="1553" t="s">
        <v>1260</v>
      </c>
      <c r="Q49" s="1554">
        <f ca="1">C29</f>
        <v>20454</v>
      </c>
      <c r="R49" s="1554" t="s">
        <v>1253</v>
      </c>
    </row>
    <row r="50" spans="1:18" s="1518" customFormat="1" ht="13.5" thickBot="1">
      <c r="A50" s="1088"/>
      <c r="B50" s="1091"/>
      <c r="C50" s="1231"/>
      <c r="D50" s="1065"/>
      <c r="E50" s="1168" t="s">
        <v>1130</v>
      </c>
      <c r="F50" s="1169">
        <f ca="1">F7</f>
        <v>28977.16</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43228</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39.06</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39.06</v>
      </c>
      <c r="K53" s="3499" t="s">
        <v>1272</v>
      </c>
      <c r="L53" s="3500"/>
      <c r="O53" s="1552" t="s">
        <v>833</v>
      </c>
      <c r="P53" s="1553" t="s">
        <v>1273</v>
      </c>
      <c r="Q53" s="1554">
        <f ca="1">Q47+Q48</f>
        <v>72022</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20454</v>
      </c>
      <c r="D56" s="1581"/>
      <c r="E56" s="1582"/>
      <c r="F56" s="1574"/>
      <c r="I56" s="1583" t="s">
        <v>1278</v>
      </c>
      <c r="J56" s="1584" t="s">
        <v>3172</v>
      </c>
      <c r="K56" s="1555" t="s">
        <v>1279</v>
      </c>
      <c r="L56" s="1558" t="str">
        <f ca="1">IF(L48&lt;J51,"——",L48-J53)</f>
        <v>——</v>
      </c>
      <c r="O56" s="1552" t="s">
        <v>827</v>
      </c>
      <c r="P56" s="1553" t="s">
        <v>1252</v>
      </c>
      <c r="Q56" s="1554">
        <f ca="1">C40+J29</f>
        <v>72022</v>
      </c>
      <c r="R56" s="1554" t="s">
        <v>1253</v>
      </c>
    </row>
    <row r="57" spans="1:18" s="1518" customFormat="1" ht="24.75" thickBot="1">
      <c r="A57" s="1585"/>
      <c r="B57" s="1062" t="s">
        <v>1202</v>
      </c>
      <c r="C57" s="244">
        <f ca="1">C29</f>
        <v>20454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1944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1719</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1718.14</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0.79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72022</v>
      </c>
      <c r="R62" s="1554" t="s">
        <v>834</v>
      </c>
    </row>
    <row r="63" spans="1:18" s="1518" customFormat="1" ht="13.5" thickBot="1">
      <c r="A63" s="332"/>
      <c r="B63" s="1068"/>
      <c r="C63" s="29"/>
      <c r="D63" s="1078"/>
      <c r="E63" s="1062" t="s">
        <v>1223</v>
      </c>
      <c r="F63" s="309">
        <f t="shared" ca="1" si="0"/>
        <v>5245.16</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204.5</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20.5</v>
      </c>
      <c r="D65" s="1076" t="s">
        <v>1178</v>
      </c>
      <c r="E65" s="1062" t="s">
        <v>1179</v>
      </c>
      <c r="F65" s="336">
        <f t="shared" ca="1" si="0"/>
        <v>1E-3</v>
      </c>
      <c r="I65" s="1596" t="s">
        <v>1303</v>
      </c>
      <c r="J65" s="1597">
        <v>40</v>
      </c>
      <c r="K65" s="1597">
        <v>30</v>
      </c>
      <c r="L65" s="1597">
        <v>50</v>
      </c>
      <c r="M65" s="1599">
        <v>0.02</v>
      </c>
      <c r="O65" s="1552" t="s">
        <v>827</v>
      </c>
      <c r="P65" s="1553" t="s">
        <v>1304</v>
      </c>
      <c r="Q65" s="1554">
        <f ca="1">C40+J29</f>
        <v>72022</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-1944</v>
      </c>
      <c r="D67" s="1075" t="s">
        <v>1188</v>
      </c>
      <c r="E67" s="1080"/>
      <c r="F67" s="1081"/>
      <c r="O67" s="1562" t="s">
        <v>829</v>
      </c>
      <c r="P67" s="1553" t="s">
        <v>1286</v>
      </c>
      <c r="Q67" s="1600">
        <f ca="1">L51</f>
        <v>43228</v>
      </c>
      <c r="R67" s="1554" t="s">
        <v>1306</v>
      </c>
    </row>
    <row r="68" spans="1:18" s="1518" customFormat="1" ht="16.5" thickBot="1">
      <c r="A68" s="1059" t="s">
        <v>819</v>
      </c>
      <c r="B68" s="1060" t="s">
        <v>1209</v>
      </c>
      <c r="C68" s="307">
        <f ca="1">ROUND(C67*(1-((1+F70)/(1+F68))^F69)/(F68-F70),0)</f>
        <v>-30979</v>
      </c>
      <c r="D68" s="1077" t="s">
        <v>1193</v>
      </c>
      <c r="E68" s="1062" t="s">
        <v>1194</v>
      </c>
      <c r="F68" s="318">
        <f ca="1">F40</f>
        <v>5.5E-2</v>
      </c>
      <c r="O68" s="1562" t="s">
        <v>830</v>
      </c>
      <c r="P68" s="1601" t="s">
        <v>1307</v>
      </c>
      <c r="Q68" s="1554">
        <f ca="1">ROUND(Q69-Q70*Q71,0)</f>
        <v>2266</v>
      </c>
      <c r="R68" s="1554" t="s">
        <v>838</v>
      </c>
    </row>
    <row r="69" spans="1:18" s="1518" customFormat="1" ht="13.5" thickBot="1">
      <c r="A69" s="1063"/>
      <c r="B69" s="1064"/>
      <c r="C69" s="312"/>
      <c r="D69" s="1082" t="s">
        <v>1197</v>
      </c>
      <c r="E69" s="1062" t="s">
        <v>1198</v>
      </c>
      <c r="F69" s="339">
        <f ca="1">F41</f>
        <v>39.06</v>
      </c>
      <c r="O69" s="1562" t="s">
        <v>835</v>
      </c>
      <c r="P69" s="1601" t="s">
        <v>1308</v>
      </c>
      <c r="Q69" s="1554">
        <f ca="1">C39</f>
        <v>3698</v>
      </c>
      <c r="R69" s="1554" t="s">
        <v>1253</v>
      </c>
    </row>
    <row r="70" spans="1:18" s="1518" customFormat="1" ht="13.5" thickBot="1">
      <c r="A70" s="1066"/>
      <c r="B70" s="1067"/>
      <c r="C70" s="316"/>
      <c r="D70" s="1078"/>
      <c r="E70" s="1062" t="s">
        <v>1201</v>
      </c>
      <c r="F70" s="1166"/>
      <c r="O70" s="1562" t="s">
        <v>836</v>
      </c>
      <c r="P70" s="1601" t="s">
        <v>1309</v>
      </c>
      <c r="Q70" s="1554">
        <f ca="1">C13</f>
        <v>20454</v>
      </c>
      <c r="R70" s="1554" t="s">
        <v>1253</v>
      </c>
    </row>
    <row r="71" spans="1:18" s="1518" customFormat="1" ht="13.5" thickBot="1">
      <c r="A71" s="1083" t="s">
        <v>820</v>
      </c>
      <c r="B71" s="1084" t="s">
        <v>1211</v>
      </c>
      <c r="C71" s="342">
        <f ca="1">ROUND(C68*10000/F71,0)</f>
        <v>-10691</v>
      </c>
      <c r="D71" s="1085" t="s">
        <v>1212</v>
      </c>
      <c r="E71" s="1086" t="s">
        <v>1213</v>
      </c>
      <c r="F71" s="345">
        <f ca="1">F43</f>
        <v>28977.16</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1432</v>
      </c>
      <c r="D75" s="1518"/>
      <c r="E75" s="1518"/>
      <c r="F75" s="1518"/>
      <c r="K75" s="1536"/>
      <c r="L75" s="1518"/>
      <c r="O75" s="1552" t="s">
        <v>833</v>
      </c>
      <c r="P75" s="1553" t="s">
        <v>1273</v>
      </c>
      <c r="Q75" s="1554">
        <f ca="1">Q65+Q66</f>
        <v>72022</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0.71599999999999997</v>
      </c>
    </row>
    <row r="83" spans="2:3">
      <c r="B83" s="279" t="s">
        <v>1238</v>
      </c>
      <c r="C83" s="280">
        <f ca="1">ROUND(C13/C40,3)</f>
        <v>0.28399999999999997</v>
      </c>
    </row>
  </sheetData>
  <sheetProtection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-1.5</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1" t="s">
        <v>1127</v>
      </c>
      <c r="C6" s="1187">
        <f ca="1">ROUND(F6*F8*F7*(1-F9),0)</f>
        <v>0</v>
      </c>
      <c r="D6" s="160" t="s">
        <v>2603</v>
      </c>
      <c r="E6" s="308" t="s">
        <v>1129</v>
      </c>
      <c r="F6" s="309">
        <f ca="1">INDIRECT("'数据-取费表'!u"&amp;$G$1)</f>
        <v>0</v>
      </c>
      <c r="G6" s="1518"/>
      <c r="H6" s="1182" t="s">
        <v>822</v>
      </c>
      <c r="I6" s="3501" t="s">
        <v>1127</v>
      </c>
      <c r="J6" s="307">
        <f ca="1">ROUND(M6*M8*M7*(1-M9),0)</f>
        <v>0</v>
      </c>
      <c r="K6" s="1510" t="s">
        <v>2604</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8"/>
      <c r="H7" s="310"/>
      <c r="I7" s="3502"/>
      <c r="J7" s="312"/>
      <c r="K7" s="313"/>
      <c r="L7" s="308" t="s">
        <v>1130</v>
      </c>
      <c r="M7" s="309">
        <f ca="1">F7</f>
        <v>0</v>
      </c>
    </row>
    <row r="8" spans="1:37" ht="18" customHeight="1">
      <c r="A8" s="310"/>
      <c r="B8" s="3502"/>
      <c r="C8" s="312"/>
      <c r="D8" s="313"/>
      <c r="E8" s="308" t="s">
        <v>1131</v>
      </c>
      <c r="F8" s="309">
        <f ca="1">INDIRECT("'数据-取费表'!ai"&amp;$G$1)</f>
        <v>0</v>
      </c>
      <c r="G8" s="1518"/>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-1.5</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-1.5</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10" t="s">
        <v>2819</v>
      </c>
      <c r="K2" s="3511"/>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12" t="s">
        <v>2829</v>
      </c>
      <c r="K3" s="3513"/>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12" t="s">
        <v>2831</v>
      </c>
      <c r="K4" s="3513"/>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18" t="s">
        <v>2835</v>
      </c>
      <c r="B6" s="3519"/>
      <c r="C6" s="3520"/>
      <c r="D6" s="3049"/>
      <c r="E6" s="3050"/>
      <c r="F6" s="3051"/>
      <c r="G6" s="3052"/>
      <c r="H6" s="3027"/>
      <c r="I6" s="3028"/>
      <c r="J6" s="3504">
        <v>1</v>
      </c>
      <c r="K6" s="3505"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04"/>
      <c r="K7" s="3506"/>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21" t="s">
        <v>2849</v>
      </c>
      <c r="C8" s="3522"/>
      <c r="D8" s="3068" t="s">
        <v>2850</v>
      </c>
      <c r="E8" s="3069" t="s">
        <v>2851</v>
      </c>
      <c r="F8" s="3070" t="s">
        <v>2852</v>
      </c>
      <c r="G8" s="3071"/>
      <c r="H8" s="3027"/>
      <c r="I8" s="3028"/>
      <c r="J8" s="3504"/>
      <c r="K8" s="3506"/>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21" t="s">
        <v>2855</v>
      </c>
      <c r="C9" s="3522"/>
      <c r="D9" s="3068">
        <f>ROUND(D6*E9,0)</f>
        <v>0</v>
      </c>
      <c r="E9" s="3072"/>
      <c r="F9" s="3073" t="s">
        <v>2856</v>
      </c>
      <c r="G9" s="3052"/>
      <c r="H9" s="3027"/>
      <c r="I9" s="3028"/>
      <c r="J9" s="3504"/>
      <c r="K9" s="3506"/>
      <c r="L9" s="3062" t="s">
        <v>2857</v>
      </c>
      <c r="M9" s="3063"/>
      <c r="N9" s="3039"/>
      <c r="O9" s="3064"/>
      <c r="P9" s="3064"/>
      <c r="Q9" s="3065">
        <v>365</v>
      </c>
      <c r="R9" s="3066">
        <f t="shared" si="0"/>
        <v>0</v>
      </c>
      <c r="S9" s="3020"/>
      <c r="T9" s="3020"/>
      <c r="U9" s="3020"/>
      <c r="V9" s="3028"/>
    </row>
    <row r="10" spans="1:22" s="3032" customFormat="1" ht="13.15" customHeight="1">
      <c r="A10" s="3067">
        <v>2</v>
      </c>
      <c r="B10" s="3521" t="s">
        <v>2858</v>
      </c>
      <c r="C10" s="3522"/>
      <c r="D10" s="3068">
        <f>ROUND(D6*E10,0)</f>
        <v>0</v>
      </c>
      <c r="E10" s="3072"/>
      <c r="F10" s="3073" t="s">
        <v>2859</v>
      </c>
      <c r="G10" s="3052"/>
      <c r="H10" s="3027"/>
      <c r="I10" s="3028"/>
      <c r="J10" s="3504"/>
      <c r="K10" s="3506"/>
      <c r="L10" s="3062" t="s">
        <v>2860</v>
      </c>
      <c r="M10" s="3063"/>
      <c r="N10" s="3039"/>
      <c r="O10" s="3064"/>
      <c r="P10" s="3064"/>
      <c r="Q10" s="3065">
        <v>365</v>
      </c>
      <c r="R10" s="3066">
        <f t="shared" si="0"/>
        <v>0</v>
      </c>
      <c r="S10" s="3020"/>
      <c r="T10" s="3020"/>
      <c r="U10" s="3020"/>
      <c r="V10" s="3028"/>
    </row>
    <row r="11" spans="1:22" s="3032" customFormat="1" ht="13.15" customHeight="1">
      <c r="A11" s="3067">
        <v>3</v>
      </c>
      <c r="B11" s="3521" t="s">
        <v>2861</v>
      </c>
      <c r="C11" s="3522"/>
      <c r="D11" s="3068">
        <f>D12+D14+D15+D16</f>
        <v>0</v>
      </c>
      <c r="E11" s="3074" t="e">
        <f>D11/D6</f>
        <v>#DIV/0!</v>
      </c>
      <c r="F11" s="3070"/>
      <c r="G11" s="3071"/>
      <c r="H11" s="3027"/>
      <c r="I11" s="3028"/>
      <c r="J11" s="3504"/>
      <c r="K11" s="3506"/>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4" t="s">
        <v>2864</v>
      </c>
      <c r="C12" s="3515"/>
      <c r="D12" s="3076">
        <f>ROUND(D13*1.2%*(1-30%),0)</f>
        <v>0</v>
      </c>
      <c r="E12" s="3077">
        <v>1.2E-2</v>
      </c>
      <c r="F12" s="3070" t="s">
        <v>2865</v>
      </c>
      <c r="G12" s="3071"/>
      <c r="H12" s="3027"/>
      <c r="I12" s="3028"/>
      <c r="J12" s="3504"/>
      <c r="K12" s="3506"/>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04"/>
      <c r="K13" s="3506"/>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4" t="s">
        <v>2870</v>
      </c>
      <c r="C14" s="3515"/>
      <c r="D14" s="3076">
        <f>ROUND(E14*B5/10000,0)</f>
        <v>0</v>
      </c>
      <c r="E14" s="3065"/>
      <c r="F14" s="3070" t="s">
        <v>2871</v>
      </c>
      <c r="G14" s="3071"/>
      <c r="H14" s="3027"/>
      <c r="I14" s="3028"/>
      <c r="J14" s="3504"/>
      <c r="K14" s="3507"/>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4" t="s">
        <v>2874</v>
      </c>
      <c r="C15" s="3515"/>
      <c r="D15" s="3076">
        <f>ROUND(D6*E15,0)</f>
        <v>0</v>
      </c>
      <c r="E15" s="3077">
        <v>5.5E-2</v>
      </c>
      <c r="F15" s="3070" t="s">
        <v>2875</v>
      </c>
      <c r="G15" s="3052"/>
      <c r="H15" s="3027"/>
      <c r="I15" s="3028"/>
      <c r="J15" s="3504">
        <v>2</v>
      </c>
      <c r="K15" s="3505"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4" t="s">
        <v>2883</v>
      </c>
      <c r="C16" s="3515"/>
      <c r="D16" s="3087">
        <f>D6*E16</f>
        <v>0</v>
      </c>
      <c r="E16" s="3088"/>
      <c r="F16" s="3073" t="s">
        <v>2884</v>
      </c>
      <c r="G16" s="3052"/>
      <c r="H16" s="3027"/>
      <c r="I16" s="3028"/>
      <c r="J16" s="3504"/>
      <c r="K16" s="3506"/>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6" t="s">
        <v>2886</v>
      </c>
      <c r="C17" s="3517"/>
      <c r="D17" s="3090">
        <f>ROUND(D6*E17,0)</f>
        <v>0</v>
      </c>
      <c r="E17" s="3091"/>
      <c r="F17" s="3092" t="s">
        <v>2887</v>
      </c>
      <c r="G17" s="3052"/>
      <c r="H17" s="3027"/>
      <c r="I17" s="3028"/>
      <c r="J17" s="3504"/>
      <c r="K17" s="3506"/>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04"/>
      <c r="K18" s="3506"/>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04"/>
      <c r="K19" s="3507"/>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4">
        <v>3</v>
      </c>
      <c r="K20" s="3505"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04"/>
      <c r="K21" s="3506"/>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04"/>
      <c r="K22" s="3506"/>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04"/>
      <c r="K23" s="3506"/>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04"/>
      <c r="K24" s="3507"/>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08">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0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10" t="s">
        <v>2819</v>
      </c>
      <c r="K32" s="3511"/>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12" t="s">
        <v>2829</v>
      </c>
      <c r="K33" s="3513"/>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12" t="s">
        <v>2831</v>
      </c>
      <c r="K34" s="351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04">
        <v>1</v>
      </c>
      <c r="K36" s="3505"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04"/>
      <c r="K37" s="3506"/>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4"/>
      <c r="K38" s="3506"/>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04"/>
      <c r="K39" s="3506"/>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04"/>
      <c r="K40" s="3507"/>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8">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0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178971</v>
      </c>
      <c r="C2" s="2007" t="s">
        <v>2096</v>
      </c>
      <c r="D2" s="2008" t="s">
        <v>2097</v>
      </c>
      <c r="E2" s="2781">
        <f>SUM(E6:E13)</f>
        <v>95896.06</v>
      </c>
      <c r="F2" s="2884"/>
      <c r="G2" s="1624"/>
      <c r="H2" s="1624"/>
      <c r="I2" s="1624"/>
      <c r="J2" s="1624"/>
      <c r="K2" s="1624"/>
      <c r="L2" s="1624"/>
      <c r="M2" s="1624"/>
      <c r="N2" s="1624"/>
      <c r="O2" s="1624"/>
      <c r="P2" s="1624"/>
      <c r="Q2" s="1624"/>
      <c r="R2" s="1624"/>
      <c r="S2" s="1624"/>
    </row>
    <row r="3" spans="1:22" ht="15.75">
      <c r="A3" s="2005" t="s">
        <v>1119</v>
      </c>
      <c r="B3" s="2775">
        <f ca="1">ROUND(B2*10000/E2,0)</f>
        <v>18663</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23" t="s">
        <v>2099</v>
      </c>
      <c r="C5" s="3524"/>
      <c r="D5" s="2885"/>
      <c r="E5" s="2009" t="s">
        <v>2100</v>
      </c>
      <c r="F5" s="2010" t="s">
        <v>2101</v>
      </c>
      <c r="G5" s="1624"/>
      <c r="H5" s="1624"/>
      <c r="I5" s="1624"/>
      <c r="J5" s="1624"/>
      <c r="K5" s="1624"/>
      <c r="L5" s="1624"/>
      <c r="M5" s="1624"/>
      <c r="N5" s="1624"/>
      <c r="O5" s="1624"/>
      <c r="P5" s="1624"/>
      <c r="Q5" s="1624"/>
      <c r="R5" s="1624"/>
      <c r="S5" s="1624"/>
    </row>
    <row r="6" spans="1:22">
      <c r="A6" s="2778" t="str">
        <f>'数据-取费表'!AN6</f>
        <v>收益法</v>
      </c>
      <c r="B6" s="2776">
        <f ca="1">IF(F6="是",'数据-取费表'!AO6,0)</f>
        <v>72022</v>
      </c>
      <c r="C6" s="2007" t="s">
        <v>2096</v>
      </c>
      <c r="D6" s="2886"/>
      <c r="E6" s="2780">
        <f>IF(OR(A6=0,F6="否"),0,'数据-取费表'!K6+'数据-取费表'!S6)</f>
        <v>32150.61</v>
      </c>
      <c r="F6" s="2011" t="s">
        <v>2102</v>
      </c>
      <c r="G6" s="1624"/>
      <c r="H6" s="1624"/>
      <c r="I6" s="1624"/>
      <c r="J6" s="1624"/>
      <c r="K6" s="1624"/>
      <c r="L6" s="1624"/>
      <c r="M6" s="1624"/>
      <c r="N6" s="1624"/>
      <c r="O6" s="1624"/>
      <c r="P6" s="1624"/>
      <c r="Q6" s="1624"/>
      <c r="R6" s="1624"/>
      <c r="S6" s="1624"/>
    </row>
    <row r="7" spans="1:22">
      <c r="A7" s="2778" t="str">
        <f>'数据-取费表'!AN7</f>
        <v>收益法-商业</v>
      </c>
      <c r="B7" s="2776">
        <f ca="1">IF(F7="是",'数据-取费表'!AO7,0)</f>
        <v>102812</v>
      </c>
      <c r="C7" s="2007" t="s">
        <v>2096</v>
      </c>
      <c r="D7" s="2886"/>
      <c r="E7" s="2780">
        <f>IF(OR(A7=0,F7="否"),0,'数据-取费表'!K7+'数据-取费表'!S7)</f>
        <v>43073.439999999995</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4137</v>
      </c>
      <c r="C8" s="2007" t="s">
        <v>2096</v>
      </c>
      <c r="D8" s="2886"/>
      <c r="E8" s="2780">
        <f>IF(OR(A8=0,F8="否"),0,'数据-取费表'!K8+'数据-取费表'!S8)</f>
        <v>20672.010000000002</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95896.06</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61" t="s">
        <v>2113</v>
      </c>
      <c r="D4" s="3473"/>
      <c r="E4" s="3474" t="s">
        <v>2114</v>
      </c>
      <c r="F4" s="3475"/>
      <c r="G4" s="3461" t="s">
        <v>2115</v>
      </c>
      <c r="H4" s="3473"/>
      <c r="I4" s="3461" t="s">
        <v>2116</v>
      </c>
      <c r="J4" s="3473"/>
      <c r="K4" s="2024" t="s">
        <v>2117</v>
      </c>
      <c r="L4" s="2892"/>
      <c r="M4" s="2893"/>
      <c r="N4" s="2893"/>
      <c r="O4" s="2893"/>
      <c r="P4" s="3476" t="s">
        <v>2118</v>
      </c>
      <c r="Q4" s="3477"/>
      <c r="R4" s="3482" t="s">
        <v>2114</v>
      </c>
      <c r="S4" s="3483"/>
      <c r="T4" s="3482" t="s">
        <v>2115</v>
      </c>
      <c r="U4" s="3483"/>
      <c r="V4" s="3469" t="s">
        <v>2116</v>
      </c>
      <c r="W4" s="3469"/>
      <c r="X4" s="1489"/>
      <c r="Y4" s="3482" t="s">
        <v>2118</v>
      </c>
      <c r="Z4" s="3483"/>
      <c r="AA4" s="3470" t="s">
        <v>2114</v>
      </c>
      <c r="AB4" s="3470" t="s">
        <v>2115</v>
      </c>
      <c r="AC4" s="3470" t="s">
        <v>2116</v>
      </c>
    </row>
    <row r="5" spans="1:29" ht="15">
      <c r="A5" s="364"/>
      <c r="B5" s="365"/>
      <c r="C5" s="3490" t="s">
        <v>2119</v>
      </c>
      <c r="D5" s="3491"/>
      <c r="E5" s="3497" t="s">
        <v>2120</v>
      </c>
      <c r="F5" s="3498"/>
      <c r="G5" s="3490" t="s">
        <v>2121</v>
      </c>
      <c r="H5" s="3491"/>
      <c r="I5" s="3490" t="s">
        <v>2122</v>
      </c>
      <c r="J5" s="3491"/>
      <c r="K5" s="2025"/>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2025"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92" t="s">
        <v>2126</v>
      </c>
      <c r="Q7" s="3494"/>
      <c r="R7" s="710" t="s">
        <v>23</v>
      </c>
      <c r="S7" s="711">
        <f t="shared" ref="S7:S15" si="0">F7</f>
        <v>0</v>
      </c>
      <c r="T7" s="710" t="s">
        <v>23</v>
      </c>
      <c r="U7" s="711">
        <f t="shared" ref="U7:U15" si="1">H7</f>
        <v>0</v>
      </c>
      <c r="V7" s="710" t="s">
        <v>23</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92" t="s">
        <v>2129</v>
      </c>
      <c r="Q8" s="3493"/>
      <c r="R8" s="710" t="s">
        <v>23</v>
      </c>
      <c r="S8" s="711">
        <f t="shared" si="0"/>
        <v>0</v>
      </c>
      <c r="T8" s="710" t="s">
        <v>23</v>
      </c>
      <c r="U8" s="711">
        <f t="shared" si="1"/>
        <v>0</v>
      </c>
      <c r="V8" s="710" t="s">
        <v>23</v>
      </c>
      <c r="W8" s="711">
        <f t="shared" si="2"/>
        <v>0</v>
      </c>
      <c r="X8" s="712"/>
      <c r="Y8" s="3492" t="s">
        <v>2129</v>
      </c>
      <c r="Z8" s="3493"/>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3"/>
      <c r="Q11" s="1477" t="str">
        <f t="shared" si="6"/>
        <v>容积率</v>
      </c>
      <c r="R11" s="710" t="s">
        <v>21</v>
      </c>
      <c r="S11" s="711" t="e">
        <f t="shared" si="0"/>
        <v>#N/A</v>
      </c>
      <c r="T11" s="710" t="s">
        <v>21</v>
      </c>
      <c r="U11" s="711" t="e">
        <f t="shared" si="1"/>
        <v>#N/A</v>
      </c>
      <c r="V11" s="710" t="s">
        <v>21</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63"/>
      <c r="Q12" s="1477">
        <f t="shared" si="6"/>
        <v>111</v>
      </c>
      <c r="R12" s="710" t="s">
        <v>21</v>
      </c>
      <c r="S12" s="711">
        <f t="shared" si="0"/>
        <v>100</v>
      </c>
      <c r="T12" s="710" t="s">
        <v>21</v>
      </c>
      <c r="U12" s="711">
        <f t="shared" si="1"/>
        <v>100</v>
      </c>
      <c r="V12" s="710" t="s">
        <v>21</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63"/>
      <c r="Q13" s="1477">
        <f t="shared" si="6"/>
        <v>111</v>
      </c>
      <c r="R13" s="710" t="s">
        <v>21</v>
      </c>
      <c r="S13" s="711">
        <f t="shared" si="0"/>
        <v>100</v>
      </c>
      <c r="T13" s="710" t="s">
        <v>21</v>
      </c>
      <c r="U13" s="711">
        <f t="shared" si="1"/>
        <v>100</v>
      </c>
      <c r="V13" s="710" t="s">
        <v>21</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63"/>
      <c r="Q14" s="1477">
        <f t="shared" si="6"/>
        <v>111</v>
      </c>
      <c r="R14" s="710" t="s">
        <v>21</v>
      </c>
      <c r="S14" s="711">
        <f t="shared" si="0"/>
        <v>100</v>
      </c>
      <c r="T14" s="710" t="s">
        <v>21</v>
      </c>
      <c r="U14" s="711">
        <f t="shared" si="1"/>
        <v>100</v>
      </c>
      <c r="V14" s="710" t="s">
        <v>21</v>
      </c>
      <c r="W14" s="711">
        <f t="shared" si="2"/>
        <v>100</v>
      </c>
      <c r="X14" s="712"/>
      <c r="Y14" s="3358"/>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1" t="s">
        <v>2137</v>
      </c>
      <c r="Q15" s="1486" t="str">
        <f t="shared" si="6"/>
        <v>居住社区成熟度</v>
      </c>
      <c r="R15" s="714" t="s">
        <v>21</v>
      </c>
      <c r="S15" s="715">
        <f t="shared" si="0"/>
        <v>100</v>
      </c>
      <c r="T15" s="714" t="s">
        <v>21</v>
      </c>
      <c r="U15" s="715">
        <f t="shared" si="1"/>
        <v>100</v>
      </c>
      <c r="V15" s="714" t="s">
        <v>21</v>
      </c>
      <c r="W15" s="715">
        <f t="shared" si="2"/>
        <v>100</v>
      </c>
      <c r="X15" s="1489"/>
      <c r="Y15" s="3465"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2"/>
      <c r="Q17" s="1486" t="str">
        <f>B17</f>
        <v>交通便捷度</v>
      </c>
      <c r="R17" s="714" t="s">
        <v>21</v>
      </c>
      <c r="S17" s="715">
        <f>F17</f>
        <v>100</v>
      </c>
      <c r="T17" s="714" t="s">
        <v>21</v>
      </c>
      <c r="U17" s="715">
        <f>H17</f>
        <v>100</v>
      </c>
      <c r="V17" s="714" t="s">
        <v>21</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66"/>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6"/>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66"/>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66"/>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66"/>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66"/>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66"/>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66"/>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7" t="s">
        <v>2142</v>
      </c>
      <c r="Q32" s="1486" t="str">
        <f t="shared" si="11"/>
        <v>建筑类型</v>
      </c>
      <c r="R32" s="714" t="s">
        <v>21</v>
      </c>
      <c r="S32" s="715">
        <f t="shared" si="12"/>
        <v>100</v>
      </c>
      <c r="T32" s="714" t="s">
        <v>21</v>
      </c>
      <c r="U32" s="715">
        <f t="shared" si="13"/>
        <v>100</v>
      </c>
      <c r="V32" s="714" t="s">
        <v>21</v>
      </c>
      <c r="W32" s="715">
        <f t="shared" si="14"/>
        <v>100</v>
      </c>
      <c r="X32" s="1489"/>
      <c r="Y32" s="3468"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8"/>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68"/>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68"/>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68"/>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8"/>
      <c r="Q37" s="147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8" t="s">
        <v>2142</v>
      </c>
      <c r="Q38" s="1486" t="str">
        <f t="shared" si="11"/>
        <v>物业管理</v>
      </c>
      <c r="R38" s="714" t="s">
        <v>21</v>
      </c>
      <c r="S38" s="715">
        <f t="shared" si="12"/>
        <v>100</v>
      </c>
      <c r="T38" s="714" t="s">
        <v>21</v>
      </c>
      <c r="U38" s="715">
        <f t="shared" si="13"/>
        <v>100</v>
      </c>
      <c r="V38" s="714" t="s">
        <v>21</v>
      </c>
      <c r="W38" s="715">
        <f t="shared" si="14"/>
        <v>100</v>
      </c>
      <c r="X38" s="1489"/>
      <c r="Y38" s="3468"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68"/>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68"/>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68"/>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6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68"/>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64" t="str">
        <f>A47</f>
        <v>成交单价（元/平方米）</v>
      </c>
      <c r="Q47" s="3464"/>
      <c r="R47" s="3526">
        <f>E47</f>
        <v>0</v>
      </c>
      <c r="S47" s="3526"/>
      <c r="T47" s="3526">
        <f>G47</f>
        <v>0</v>
      </c>
      <c r="U47" s="3526"/>
      <c r="V47" s="3526">
        <f>I47</f>
        <v>0</v>
      </c>
      <c r="W47" s="3526"/>
      <c r="X47" s="699"/>
      <c r="Y47" s="721"/>
      <c r="Z47" s="699"/>
      <c r="AA47" s="699"/>
      <c r="AB47" s="699"/>
      <c r="AC47" s="699"/>
    </row>
    <row r="48" spans="1:29" ht="15.75" thickBot="1">
      <c r="A48" s="445" t="s">
        <v>2155</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2022-10</v>
      </c>
      <c r="D58" s="1299">
        <f>EDATE(C58,-1)</f>
        <v>44805</v>
      </c>
      <c r="E58" s="1299">
        <f>EDATE(D58,-1)</f>
        <v>44774</v>
      </c>
      <c r="F58" s="1299">
        <f t="shared" ref="F58:O58" si="19">EDATE(E58,-1)</f>
        <v>44743</v>
      </c>
      <c r="G58" s="1299">
        <f t="shared" si="19"/>
        <v>44713</v>
      </c>
      <c r="H58" s="1299">
        <f t="shared" si="19"/>
        <v>44682</v>
      </c>
      <c r="I58" s="1299">
        <f t="shared" si="19"/>
        <v>44652</v>
      </c>
      <c r="J58" s="1299">
        <f t="shared" si="19"/>
        <v>44621</v>
      </c>
      <c r="K58" s="1299">
        <f t="shared" si="19"/>
        <v>44593</v>
      </c>
      <c r="L58" s="1299">
        <f t="shared" si="19"/>
        <v>44562</v>
      </c>
      <c r="M58" s="1299">
        <f t="shared" si="19"/>
        <v>44531</v>
      </c>
      <c r="N58" s="1299">
        <f t="shared" si="19"/>
        <v>44501</v>
      </c>
      <c r="O58" s="1299">
        <f t="shared" si="19"/>
        <v>44470</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69"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69"/>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69"/>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2137</v>
      </c>
      <c r="Q15" s="1486" t="str">
        <f t="shared" si="6"/>
        <v>商业繁华度</v>
      </c>
      <c r="R15" s="714" t="s">
        <v>17</v>
      </c>
      <c r="S15" s="715">
        <f t="shared" si="0"/>
        <v>100</v>
      </c>
      <c r="T15" s="714" t="s">
        <v>17</v>
      </c>
      <c r="U15" s="715">
        <f t="shared" si="1"/>
        <v>100</v>
      </c>
      <c r="V15" s="714" t="s">
        <v>17</v>
      </c>
      <c r="W15" s="715">
        <f t="shared" si="2"/>
        <v>100</v>
      </c>
      <c r="X15" s="1489"/>
      <c r="Y15" s="3465"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66"/>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66"/>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66"/>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66"/>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6"/>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66"/>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7" t="s">
        <v>2142</v>
      </c>
      <c r="Q32" s="1486" t="str">
        <f t="shared" si="11"/>
        <v>商业类型</v>
      </c>
      <c r="R32" s="714" t="s">
        <v>17</v>
      </c>
      <c r="S32" s="715">
        <f t="shared" si="12"/>
        <v>100</v>
      </c>
      <c r="T32" s="714" t="s">
        <v>17</v>
      </c>
      <c r="U32" s="715">
        <f t="shared" si="13"/>
        <v>100</v>
      </c>
      <c r="V32" s="714" t="s">
        <v>17</v>
      </c>
      <c r="W32" s="715">
        <f t="shared" si="14"/>
        <v>100</v>
      </c>
      <c r="X32" s="1489"/>
      <c r="Y32" s="3468"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68"/>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68"/>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68"/>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8" t="s">
        <v>2142</v>
      </c>
      <c r="Q38" s="1486" t="str">
        <f t="shared" si="11"/>
        <v>业态</v>
      </c>
      <c r="R38" s="714" t="s">
        <v>17</v>
      </c>
      <c r="S38" s="715">
        <f t="shared" si="12"/>
        <v>100</v>
      </c>
      <c r="T38" s="714" t="s">
        <v>17</v>
      </c>
      <c r="U38" s="715">
        <f t="shared" si="13"/>
        <v>100</v>
      </c>
      <c r="V38" s="714" t="s">
        <v>17</v>
      </c>
      <c r="W38" s="715">
        <f t="shared" si="14"/>
        <v>100</v>
      </c>
      <c r="X38" s="1489"/>
      <c r="Y38" s="3468"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68"/>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68"/>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68"/>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6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68"/>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64" t="str">
        <f>A47</f>
        <v>成交单价（元/平方米）</v>
      </c>
      <c r="Q47" s="3464"/>
      <c r="R47" s="3469">
        <f>E47</f>
        <v>0</v>
      </c>
      <c r="S47" s="3469"/>
      <c r="T47" s="3469">
        <f>G47</f>
        <v>0</v>
      </c>
      <c r="U47" s="3469"/>
      <c r="V47" s="3469">
        <f>I47</f>
        <v>0</v>
      </c>
      <c r="W47" s="3469"/>
      <c r="X47" s="699"/>
      <c r="Y47" s="721"/>
      <c r="Z47" s="699"/>
      <c r="AA47" s="699"/>
      <c r="AB47" s="699"/>
      <c r="AC47" s="699"/>
    </row>
    <row r="48" spans="1:29" ht="15.75" thickBot="1">
      <c r="A48" s="445" t="s">
        <v>2246</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2022-10</v>
      </c>
      <c r="D58" s="1299">
        <f>EDATE(C58,-1)</f>
        <v>44805</v>
      </c>
      <c r="E58" s="1299">
        <f t="shared" ref="E58:N58" si="16">EDATE(D58,-1)</f>
        <v>44774</v>
      </c>
      <c r="F58" s="1299">
        <f t="shared" si="16"/>
        <v>44743</v>
      </c>
      <c r="G58" s="1299">
        <f t="shared" si="16"/>
        <v>44713</v>
      </c>
      <c r="H58" s="1299">
        <f t="shared" si="16"/>
        <v>44682</v>
      </c>
      <c r="I58" s="1299">
        <f t="shared" si="16"/>
        <v>44652</v>
      </c>
      <c r="J58" s="1299">
        <f t="shared" si="16"/>
        <v>44621</v>
      </c>
      <c r="K58" s="1299">
        <f t="shared" si="16"/>
        <v>44593</v>
      </c>
      <c r="L58" s="1299">
        <f t="shared" si="16"/>
        <v>44562</v>
      </c>
      <c r="M58" s="1299">
        <f t="shared" si="16"/>
        <v>44531</v>
      </c>
      <c r="N58" s="1299">
        <f t="shared" si="16"/>
        <v>44501</v>
      </c>
      <c r="O58" s="1299">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2022年10月31日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539" t="s">
        <v>2228</v>
      </c>
      <c r="Q4" s="3540"/>
      <c r="R4" s="3543" t="s">
        <v>2224</v>
      </c>
      <c r="S4" s="3544"/>
      <c r="T4" s="3543" t="s">
        <v>2225</v>
      </c>
      <c r="U4" s="3544"/>
      <c r="V4" s="3545" t="s">
        <v>2226</v>
      </c>
      <c r="W4" s="3545"/>
      <c r="X4" s="2093"/>
      <c r="Y4" s="3543" t="s">
        <v>2228</v>
      </c>
      <c r="Z4" s="3544"/>
      <c r="AA4" s="3547" t="s">
        <v>2224</v>
      </c>
      <c r="AB4" s="3547" t="s">
        <v>2225</v>
      </c>
      <c r="AC4" s="3536" t="s">
        <v>2226</v>
      </c>
    </row>
    <row r="5" spans="1:29" ht="15">
      <c r="A5" s="364"/>
      <c r="B5" s="365"/>
      <c r="C5" s="3490" t="s">
        <v>2119</v>
      </c>
      <c r="D5" s="3491"/>
      <c r="E5" s="3497" t="s">
        <v>2120</v>
      </c>
      <c r="F5" s="3498"/>
      <c r="G5" s="3490" t="s">
        <v>2121</v>
      </c>
      <c r="H5" s="3491"/>
      <c r="I5" s="3490" t="s">
        <v>2122</v>
      </c>
      <c r="J5" s="3491"/>
      <c r="K5" s="567"/>
      <c r="L5" s="2892"/>
      <c r="M5" s="2893"/>
      <c r="N5" s="2893"/>
      <c r="O5" s="2893"/>
      <c r="P5" s="3541"/>
      <c r="Q5" s="3479"/>
      <c r="R5" s="3484"/>
      <c r="S5" s="3485"/>
      <c r="T5" s="3484"/>
      <c r="U5" s="3485"/>
      <c r="V5" s="3469"/>
      <c r="W5" s="3469"/>
      <c r="X5" s="1489"/>
      <c r="Y5" s="3484"/>
      <c r="Z5" s="3485"/>
      <c r="AA5" s="3471"/>
      <c r="AB5" s="3471"/>
      <c r="AC5" s="3537"/>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542"/>
      <c r="Q6" s="3481"/>
      <c r="R6" s="3484"/>
      <c r="S6" s="3485"/>
      <c r="T6" s="3486"/>
      <c r="U6" s="3487"/>
      <c r="V6" s="3469"/>
      <c r="W6" s="3469"/>
      <c r="X6" s="1489"/>
      <c r="Y6" s="3486"/>
      <c r="Z6" s="3487"/>
      <c r="AA6" s="3472"/>
      <c r="AB6" s="3472"/>
      <c r="AC6" s="3538"/>
    </row>
    <row r="7" spans="1:29" s="113" customFormat="1" ht="15.75" thickBot="1">
      <c r="A7" s="368" t="s">
        <v>2125</v>
      </c>
      <c r="B7" s="369"/>
      <c r="C7" s="370">
        <f>'数据-取费表'!B2</f>
        <v>44865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6"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6" t="s">
        <v>2129</v>
      </c>
      <c r="Q8" s="3493"/>
      <c r="R8" s="710" t="s">
        <v>17</v>
      </c>
      <c r="S8" s="711">
        <f t="shared" si="0"/>
        <v>0</v>
      </c>
      <c r="T8" s="710" t="s">
        <v>17</v>
      </c>
      <c r="U8" s="711">
        <f t="shared" si="1"/>
        <v>0</v>
      </c>
      <c r="V8" s="710" t="s">
        <v>17</v>
      </c>
      <c r="W8" s="711">
        <f t="shared" si="2"/>
        <v>0</v>
      </c>
      <c r="X8" s="712"/>
      <c r="Y8" s="3492" t="s">
        <v>2129</v>
      </c>
      <c r="Z8" s="3493"/>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2137</v>
      </c>
      <c r="Q15" s="1486" t="str">
        <f t="shared" si="6"/>
        <v>办公集聚程度</v>
      </c>
      <c r="R15" s="714" t="s">
        <v>17</v>
      </c>
      <c r="S15" s="715">
        <f t="shared" si="0"/>
        <v>100</v>
      </c>
      <c r="T15" s="714" t="s">
        <v>17</v>
      </c>
      <c r="U15" s="715">
        <f t="shared" si="1"/>
        <v>100</v>
      </c>
      <c r="V15" s="714" t="s">
        <v>17</v>
      </c>
      <c r="W15" s="715">
        <f t="shared" si="2"/>
        <v>100</v>
      </c>
      <c r="X15" s="1489"/>
      <c r="Y15" s="3465"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2"/>
      <c r="Q22" s="1486"/>
      <c r="R22" s="714"/>
      <c r="S22" s="715"/>
      <c r="T22" s="714"/>
      <c r="U22" s="715"/>
      <c r="V22" s="714"/>
      <c r="W22" s="715"/>
      <c r="X22" s="1489"/>
      <c r="Y22" s="3466"/>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66"/>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66"/>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66"/>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66"/>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66"/>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66"/>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2142</v>
      </c>
      <c r="Q33" s="1486" t="str">
        <f t="shared" si="11"/>
        <v>建筑类型</v>
      </c>
      <c r="R33" s="714" t="s">
        <v>17</v>
      </c>
      <c r="S33" s="715">
        <f t="shared" si="12"/>
        <v>100</v>
      </c>
      <c r="T33" s="714" t="s">
        <v>17</v>
      </c>
      <c r="U33" s="715">
        <f t="shared" si="13"/>
        <v>100</v>
      </c>
      <c r="V33" s="714" t="s">
        <v>17</v>
      </c>
      <c r="W33" s="715">
        <f t="shared" si="14"/>
        <v>100</v>
      </c>
      <c r="X33" s="1489"/>
      <c r="Y33" s="3468"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68"/>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68"/>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68"/>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2142</v>
      </c>
      <c r="Q39" s="1486" t="str">
        <f t="shared" si="11"/>
        <v>物业管理</v>
      </c>
      <c r="R39" s="714" t="s">
        <v>17</v>
      </c>
      <c r="S39" s="715">
        <f t="shared" si="12"/>
        <v>100</v>
      </c>
      <c r="T39" s="714" t="s">
        <v>17</v>
      </c>
      <c r="U39" s="715">
        <f t="shared" si="13"/>
        <v>100</v>
      </c>
      <c r="V39" s="714" t="s">
        <v>17</v>
      </c>
      <c r="W39" s="715">
        <f t="shared" si="14"/>
        <v>100</v>
      </c>
      <c r="X39" s="1489"/>
      <c r="Y39" s="3468"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68"/>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68"/>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68"/>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68"/>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68"/>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63" t="str">
        <f>A48</f>
        <v>成交单价（元/平方米）</v>
      </c>
      <c r="Q48" s="3464"/>
      <c r="R48" s="3526">
        <f>E48</f>
        <v>0</v>
      </c>
      <c r="S48" s="3526"/>
      <c r="T48" s="3526">
        <f>G48</f>
        <v>0</v>
      </c>
      <c r="U48" s="3526"/>
      <c r="V48" s="3526">
        <f>I48</f>
        <v>0</v>
      </c>
      <c r="W48" s="3526"/>
      <c r="X48" s="405"/>
      <c r="Y48" s="721"/>
      <c r="Z48" s="405"/>
      <c r="AA48" s="405"/>
      <c r="AB48" s="405"/>
      <c r="AC48" s="586"/>
    </row>
    <row r="49" spans="1:29" ht="15.75" thickBot="1">
      <c r="A49" s="445" t="s">
        <v>2246</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463" t="str">
        <f>A49</f>
        <v>比较价值（元/平方米）</v>
      </c>
      <c r="Q49" s="346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2022-10</v>
      </c>
      <c r="D59" s="1299">
        <f>EDATE(C59,-1)</f>
        <v>44805</v>
      </c>
      <c r="E59" s="1299">
        <f>EDATE(D59,-1)</f>
        <v>44774</v>
      </c>
      <c r="F59" s="1299">
        <f t="shared" ref="F59:O59" si="16">EDATE(E59,-1)</f>
        <v>44743</v>
      </c>
      <c r="G59" s="1299">
        <f t="shared" si="16"/>
        <v>44713</v>
      </c>
      <c r="H59" s="1299">
        <f t="shared" si="16"/>
        <v>44682</v>
      </c>
      <c r="I59" s="1299">
        <f t="shared" si="16"/>
        <v>44652</v>
      </c>
      <c r="J59" s="1299">
        <f t="shared" si="16"/>
        <v>44621</v>
      </c>
      <c r="K59" s="1299">
        <f t="shared" si="16"/>
        <v>44593</v>
      </c>
      <c r="L59" s="1299">
        <f t="shared" si="16"/>
        <v>44562</v>
      </c>
      <c r="M59" s="1299">
        <f t="shared" si="16"/>
        <v>44531</v>
      </c>
      <c r="N59" s="1299">
        <f t="shared" si="16"/>
        <v>44501</v>
      </c>
      <c r="O59" s="1299">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95896.06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1025"/>
      <c r="M4" s="1026"/>
      <c r="N4" s="1026"/>
      <c r="O4" s="1026"/>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1025"/>
      <c r="M5" s="1026"/>
      <c r="N5" s="1026"/>
      <c r="O5" s="1026"/>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1025"/>
      <c r="M6" s="1026"/>
      <c r="N6" s="1026"/>
      <c r="O6" s="1026"/>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6"/>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66"/>
      <c r="Q18" s="1486"/>
      <c r="R18" s="714"/>
      <c r="S18" s="715"/>
      <c r="T18" s="714"/>
      <c r="U18" s="715"/>
      <c r="V18" s="714"/>
      <c r="W18" s="715"/>
      <c r="X18" s="1489"/>
      <c r="Y18" s="3466"/>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6"/>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66"/>
      <c r="Q20" s="1486"/>
      <c r="R20" s="714"/>
      <c r="S20" s="715"/>
      <c r="T20" s="714"/>
      <c r="U20" s="715"/>
      <c r="V20" s="714"/>
      <c r="W20" s="715"/>
      <c r="X20" s="1489"/>
      <c r="Y20" s="3466"/>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6"/>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66"/>
      <c r="Q22" s="1486"/>
      <c r="R22" s="714"/>
      <c r="S22" s="715"/>
      <c r="T22" s="714"/>
      <c r="U22" s="715"/>
      <c r="V22" s="714"/>
      <c r="W22" s="715"/>
      <c r="X22" s="1489"/>
      <c r="Y22" s="3466"/>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6"/>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66"/>
      <c r="Q24" s="1486"/>
      <c r="R24" s="714"/>
      <c r="S24" s="715"/>
      <c r="T24" s="714"/>
      <c r="U24" s="715"/>
      <c r="V24" s="714"/>
      <c r="W24" s="715"/>
      <c r="X24" s="1489"/>
      <c r="Y24" s="3466"/>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6"/>
      <c r="Q25" s="1486">
        <f>B25</f>
        <v>111</v>
      </c>
      <c r="R25" s="714" t="s">
        <v>17</v>
      </c>
      <c r="S25" s="715">
        <f>F25</f>
        <v>100</v>
      </c>
      <c r="T25" s="714" t="s">
        <v>17</v>
      </c>
      <c r="U25" s="715">
        <f>H25</f>
        <v>100</v>
      </c>
      <c r="V25" s="714" t="s">
        <v>17</v>
      </c>
      <c r="W25" s="715">
        <f>J25</f>
        <v>100</v>
      </c>
      <c r="X25" s="1489"/>
      <c r="Y25" s="3466"/>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6"/>
      <c r="Q26" s="1486">
        <f t="shared" ref="Q26:Q40" si="11">B26</f>
        <v>111</v>
      </c>
      <c r="R26" s="714" t="s">
        <v>17</v>
      </c>
      <c r="S26" s="715">
        <f>F26</f>
        <v>100</v>
      </c>
      <c r="T26" s="714" t="s">
        <v>17</v>
      </c>
      <c r="U26" s="715">
        <f>H26</f>
        <v>100</v>
      </c>
      <c r="V26" s="714" t="s">
        <v>17</v>
      </c>
      <c r="W26" s="715">
        <f>J26</f>
        <v>100</v>
      </c>
      <c r="X26" s="1489"/>
      <c r="Y26" s="3466"/>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6"/>
      <c r="Q27" s="1477">
        <f t="shared" si="11"/>
        <v>111</v>
      </c>
      <c r="R27" s="710" t="s">
        <v>17</v>
      </c>
      <c r="S27" s="711">
        <f>F27</f>
        <v>100</v>
      </c>
      <c r="T27" s="710" t="s">
        <v>17</v>
      </c>
      <c r="U27" s="711">
        <f>H27</f>
        <v>100</v>
      </c>
      <c r="V27" s="710" t="s">
        <v>17</v>
      </c>
      <c r="W27" s="711">
        <f>J27</f>
        <v>100</v>
      </c>
      <c r="X27" s="712"/>
      <c r="Y27" s="3466"/>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6"/>
      <c r="Q28" s="1486">
        <f t="shared" si="11"/>
        <v>111</v>
      </c>
      <c r="R28" s="714" t="s">
        <v>17</v>
      </c>
      <c r="S28" s="715">
        <f t="shared" ref="S28:S40" si="12">F28</f>
        <v>100</v>
      </c>
      <c r="T28" s="714" t="s">
        <v>17</v>
      </c>
      <c r="U28" s="715">
        <f t="shared" ref="U28:U40" si="13">H28</f>
        <v>100</v>
      </c>
      <c r="V28" s="714" t="s">
        <v>17</v>
      </c>
      <c r="W28" s="715">
        <f t="shared" ref="W28:W40" si="14">J28</f>
        <v>100</v>
      </c>
      <c r="X28" s="1489"/>
      <c r="Y28" s="3466"/>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67" t="s">
        <v>2142</v>
      </c>
      <c r="Q29" s="1486" t="str">
        <f t="shared" si="11"/>
        <v>建筑类型</v>
      </c>
      <c r="R29" s="714" t="s">
        <v>17</v>
      </c>
      <c r="S29" s="715">
        <f t="shared" si="12"/>
        <v>100</v>
      </c>
      <c r="T29" s="714" t="s">
        <v>17</v>
      </c>
      <c r="U29" s="715">
        <f t="shared" si="13"/>
        <v>100</v>
      </c>
      <c r="V29" s="714" t="s">
        <v>17</v>
      </c>
      <c r="W29" s="715">
        <f t="shared" si="14"/>
        <v>100</v>
      </c>
      <c r="X29" s="1489"/>
      <c r="Y29" s="3468"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6" t="str">
        <f t="shared" si="11"/>
        <v>建筑结构</v>
      </c>
      <c r="R31" s="714" t="s">
        <v>17</v>
      </c>
      <c r="S31" s="715">
        <f t="shared" si="12"/>
        <v>100</v>
      </c>
      <c r="T31" s="714" t="s">
        <v>17</v>
      </c>
      <c r="U31" s="715">
        <f t="shared" si="13"/>
        <v>100</v>
      </c>
      <c r="V31" s="714" t="s">
        <v>17</v>
      </c>
      <c r="W31" s="715">
        <f t="shared" si="14"/>
        <v>100</v>
      </c>
      <c r="X31" s="1489"/>
      <c r="Y31" s="3468"/>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6" t="str">
        <f t="shared" si="11"/>
        <v>公共部分装修</v>
      </c>
      <c r="R32" s="714" t="s">
        <v>17</v>
      </c>
      <c r="S32" s="715">
        <f t="shared" si="12"/>
        <v>100</v>
      </c>
      <c r="T32" s="714" t="s">
        <v>17</v>
      </c>
      <c r="U32" s="715">
        <f t="shared" si="13"/>
        <v>100</v>
      </c>
      <c r="V32" s="714" t="s">
        <v>17</v>
      </c>
      <c r="W32" s="715">
        <f t="shared" si="14"/>
        <v>100</v>
      </c>
      <c r="X32" s="1489"/>
      <c r="Y32" s="3468"/>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6" t="str">
        <f t="shared" si="11"/>
        <v>成新度</v>
      </c>
      <c r="R33" s="714" t="s">
        <v>17</v>
      </c>
      <c r="S33" s="715" t="e">
        <f t="shared" si="12"/>
        <v>#N/A</v>
      </c>
      <c r="T33" s="714" t="s">
        <v>17</v>
      </c>
      <c r="U33" s="715" t="e">
        <f t="shared" si="13"/>
        <v>#N/A</v>
      </c>
      <c r="V33" s="714" t="s">
        <v>17</v>
      </c>
      <c r="W33" s="715" t="e">
        <f t="shared" si="14"/>
        <v>#N/A</v>
      </c>
      <c r="X33" s="1489"/>
      <c r="Y33" s="3468"/>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2142</v>
      </c>
      <c r="Q35" s="1486" t="str">
        <f t="shared" si="11"/>
        <v>市政基础设施</v>
      </c>
      <c r="R35" s="714" t="s">
        <v>17</v>
      </c>
      <c r="S35" s="715">
        <f t="shared" si="12"/>
        <v>100</v>
      </c>
      <c r="T35" s="714" t="s">
        <v>17</v>
      </c>
      <c r="U35" s="715">
        <f t="shared" si="13"/>
        <v>100</v>
      </c>
      <c r="V35" s="714" t="s">
        <v>17</v>
      </c>
      <c r="W35" s="715">
        <f t="shared" si="14"/>
        <v>100</v>
      </c>
      <c r="X35" s="1489"/>
      <c r="Y35" s="3468"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6" t="str">
        <f t="shared" si="11"/>
        <v>内部装修</v>
      </c>
      <c r="R36" s="714" t="s">
        <v>17</v>
      </c>
      <c r="S36" s="715">
        <f t="shared" si="12"/>
        <v>100</v>
      </c>
      <c r="T36" s="714" t="s">
        <v>17</v>
      </c>
      <c r="U36" s="715">
        <f t="shared" si="13"/>
        <v>100</v>
      </c>
      <c r="V36" s="714" t="s">
        <v>17</v>
      </c>
      <c r="W36" s="715">
        <f t="shared" si="14"/>
        <v>100</v>
      </c>
      <c r="X36" s="1489"/>
      <c r="Y36" s="3468"/>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6" t="str">
        <f t="shared" si="11"/>
        <v>内部装修状况</v>
      </c>
      <c r="R37" s="714" t="s">
        <v>17</v>
      </c>
      <c r="S37" s="715">
        <f t="shared" si="12"/>
        <v>100</v>
      </c>
      <c r="T37" s="714" t="s">
        <v>17</v>
      </c>
      <c r="U37" s="715">
        <f t="shared" si="13"/>
        <v>100</v>
      </c>
      <c r="V37" s="714" t="s">
        <v>17</v>
      </c>
      <c r="W37" s="715">
        <f t="shared" si="14"/>
        <v>100</v>
      </c>
      <c r="X37" s="1489"/>
      <c r="Y37" s="346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6">
        <f t="shared" si="11"/>
        <v>111</v>
      </c>
      <c r="R39" s="714" t="s">
        <v>17</v>
      </c>
      <c r="S39" s="715">
        <f t="shared" si="12"/>
        <v>100</v>
      </c>
      <c r="T39" s="714" t="s">
        <v>17</v>
      </c>
      <c r="U39" s="715">
        <f t="shared" si="13"/>
        <v>100</v>
      </c>
      <c r="V39" s="714" t="s">
        <v>17</v>
      </c>
      <c r="W39" s="715">
        <f t="shared" si="14"/>
        <v>100</v>
      </c>
      <c r="X39" s="1489"/>
      <c r="Y39" s="3468"/>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64" t="str">
        <f>A41</f>
        <v>成交单价（元/平方米）</v>
      </c>
      <c r="Q41" s="3464"/>
      <c r="R41" s="3526">
        <f>E41</f>
        <v>0</v>
      </c>
      <c r="S41" s="3526"/>
      <c r="T41" s="3526">
        <f>G41</f>
        <v>0</v>
      </c>
      <c r="U41" s="3526"/>
      <c r="V41" s="3526">
        <f>I41</f>
        <v>0</v>
      </c>
      <c r="W41" s="3526"/>
      <c r="X41" s="699"/>
      <c r="Y41" s="721"/>
      <c r="Z41" s="699"/>
      <c r="AA41" s="699"/>
      <c r="AB41" s="699"/>
      <c r="AC41" s="699"/>
    </row>
    <row r="42" spans="1:29" ht="15.75" thickBot="1">
      <c r="A42" s="445" t="s">
        <v>2246</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464" t="str">
        <f>A42</f>
        <v>比较价值（元/平方米）</v>
      </c>
      <c r="Q42" s="346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2022-10</v>
      </c>
      <c r="D52" s="1299">
        <f>EDATE(C52,-1)</f>
        <v>44805</v>
      </c>
      <c r="E52" s="1299">
        <f t="shared" ref="E52:O52" si="16">EDATE(D52,-1)</f>
        <v>44774</v>
      </c>
      <c r="F52" s="1299">
        <f t="shared" si="16"/>
        <v>44743</v>
      </c>
      <c r="G52" s="1299">
        <f t="shared" si="16"/>
        <v>44713</v>
      </c>
      <c r="H52" s="1299">
        <f t="shared" si="16"/>
        <v>44682</v>
      </c>
      <c r="I52" s="1299">
        <f t="shared" si="16"/>
        <v>44652</v>
      </c>
      <c r="J52" s="1299">
        <f t="shared" si="16"/>
        <v>44621</v>
      </c>
      <c r="K52" s="1299">
        <f t="shared" si="16"/>
        <v>44593</v>
      </c>
      <c r="L52" s="1299">
        <f t="shared" si="16"/>
        <v>44562</v>
      </c>
      <c r="M52" s="1299">
        <f t="shared" si="16"/>
        <v>44531</v>
      </c>
      <c r="N52" s="1299">
        <f t="shared" si="16"/>
        <v>44501</v>
      </c>
      <c r="O52" s="1299">
        <f t="shared" si="16"/>
        <v>44470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66"/>
      <c r="Q15" s="1486"/>
      <c r="R15" s="714"/>
      <c r="S15" s="715"/>
      <c r="T15" s="714"/>
      <c r="U15" s="715"/>
      <c r="V15" s="714"/>
      <c r="W15" s="715"/>
      <c r="X15" s="1489"/>
      <c r="Y15" s="3466"/>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66"/>
      <c r="Q17" s="1486"/>
      <c r="R17" s="714"/>
      <c r="S17" s="715"/>
      <c r="T17" s="714"/>
      <c r="U17" s="715"/>
      <c r="V17" s="714"/>
      <c r="W17" s="715"/>
      <c r="X17" s="1489"/>
      <c r="Y17" s="3466"/>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66"/>
      <c r="Q19" s="1486"/>
      <c r="R19" s="714"/>
      <c r="S19" s="715"/>
      <c r="T19" s="714"/>
      <c r="U19" s="715"/>
      <c r="V19" s="714"/>
      <c r="W19" s="715"/>
      <c r="X19" s="1489"/>
      <c r="Y19" s="3466"/>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66"/>
      <c r="Q21" s="1486"/>
      <c r="R21" s="714"/>
      <c r="S21" s="715"/>
      <c r="T21" s="714"/>
      <c r="U21" s="715"/>
      <c r="V21" s="714"/>
      <c r="W21" s="715"/>
      <c r="X21" s="1489"/>
      <c r="Y21" s="3466"/>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6"/>
      <c r="Q24" s="1486">
        <f t="shared" ref="Q24:Q36"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67"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68"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8"/>
      <c r="Q28" s="1486" t="str">
        <f t="shared" si="11"/>
        <v>公共部分装修</v>
      </c>
      <c r="R28" s="714" t="s">
        <v>17</v>
      </c>
      <c r="S28" s="715">
        <f t="shared" si="12"/>
        <v>100</v>
      </c>
      <c r="T28" s="714" t="s">
        <v>17</v>
      </c>
      <c r="U28" s="715">
        <f t="shared" si="13"/>
        <v>100</v>
      </c>
      <c r="V28" s="714" t="s">
        <v>17</v>
      </c>
      <c r="W28" s="715">
        <f t="shared" si="14"/>
        <v>100</v>
      </c>
      <c r="X28" s="1489"/>
      <c r="Y28" s="3468"/>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8"/>
      <c r="Q29" s="1486" t="str">
        <f t="shared" si="11"/>
        <v>成新率</v>
      </c>
      <c r="R29" s="714" t="s">
        <v>17</v>
      </c>
      <c r="S29" s="715" t="e">
        <f t="shared" si="12"/>
        <v>#N/A</v>
      </c>
      <c r="T29" s="714" t="s">
        <v>17</v>
      </c>
      <c r="U29" s="715" t="e">
        <f t="shared" si="13"/>
        <v>#N/A</v>
      </c>
      <c r="V29" s="714" t="s">
        <v>17</v>
      </c>
      <c r="W29" s="715" t="e">
        <f t="shared" si="14"/>
        <v>#N/A</v>
      </c>
      <c r="X29" s="1489"/>
      <c r="Y29" s="3468"/>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8"/>
      <c r="Q30" s="1486" t="str">
        <f t="shared" si="11"/>
        <v>物业等级</v>
      </c>
      <c r="R30" s="714" t="s">
        <v>17</v>
      </c>
      <c r="S30" s="715">
        <f t="shared" si="12"/>
        <v>100</v>
      </c>
      <c r="T30" s="714" t="s">
        <v>17</v>
      </c>
      <c r="U30" s="715">
        <f t="shared" si="13"/>
        <v>100</v>
      </c>
      <c r="V30" s="714" t="s">
        <v>17</v>
      </c>
      <c r="W30" s="715">
        <f t="shared" si="14"/>
        <v>100</v>
      </c>
      <c r="X30" s="1489"/>
      <c r="Y30" s="3468"/>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8"/>
      <c r="Q31" s="147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8" t="s">
        <v>2142</v>
      </c>
      <c r="Q32" s="1486" t="str">
        <f t="shared" si="11"/>
        <v>车位类型</v>
      </c>
      <c r="R32" s="714" t="s">
        <v>17</v>
      </c>
      <c r="S32" s="715">
        <f t="shared" si="12"/>
        <v>100</v>
      </c>
      <c r="T32" s="714" t="s">
        <v>17</v>
      </c>
      <c r="U32" s="715">
        <f t="shared" si="13"/>
        <v>100</v>
      </c>
      <c r="V32" s="714" t="s">
        <v>17</v>
      </c>
      <c r="W32" s="715">
        <f t="shared" si="14"/>
        <v>100</v>
      </c>
      <c r="X32" s="1489"/>
      <c r="Y32" s="3468"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8"/>
      <c r="Q33" s="1486" t="str">
        <f t="shared" si="11"/>
        <v>是否直接入户</v>
      </c>
      <c r="R33" s="714" t="s">
        <v>17</v>
      </c>
      <c r="S33" s="715">
        <f t="shared" si="12"/>
        <v>100</v>
      </c>
      <c r="T33" s="714" t="s">
        <v>17</v>
      </c>
      <c r="U33" s="715">
        <f t="shared" si="13"/>
        <v>100</v>
      </c>
      <c r="V33" s="714" t="s">
        <v>17</v>
      </c>
      <c r="W33" s="715">
        <f t="shared" si="14"/>
        <v>100</v>
      </c>
      <c r="X33" s="1489"/>
      <c r="Y33" s="346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8"/>
      <c r="Q36" s="1486">
        <f t="shared" si="11"/>
        <v>111</v>
      </c>
      <c r="R36" s="714" t="s">
        <v>17</v>
      </c>
      <c r="S36" s="715">
        <f t="shared" si="12"/>
        <v>100</v>
      </c>
      <c r="T36" s="714" t="s">
        <v>17</v>
      </c>
      <c r="U36" s="715">
        <f t="shared" si="13"/>
        <v>100</v>
      </c>
      <c r="V36" s="714" t="s">
        <v>17</v>
      </c>
      <c r="W36" s="715">
        <f t="shared" si="14"/>
        <v>100</v>
      </c>
      <c r="X36" s="1489"/>
      <c r="Y36" s="3468"/>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64" t="str">
        <f>A37</f>
        <v>成交单价</v>
      </c>
      <c r="Q37" s="3464"/>
      <c r="R37" s="3526">
        <f>E37</f>
        <v>0</v>
      </c>
      <c r="S37" s="3526"/>
      <c r="T37" s="3526">
        <f>G37</f>
        <v>0</v>
      </c>
      <c r="U37" s="3526"/>
      <c r="V37" s="3526">
        <f>I37</f>
        <v>0</v>
      </c>
      <c r="W37" s="3526"/>
      <c r="X37" s="699"/>
      <c r="Y37" s="721"/>
      <c r="Z37" s="699"/>
      <c r="AA37" s="699"/>
      <c r="AB37" s="699"/>
      <c r="AC37" s="699"/>
    </row>
    <row r="38" spans="1:29" ht="15.75" thickBot="1">
      <c r="A38" s="445" t="s">
        <v>2299</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464" t="str">
        <f>A38</f>
        <v>比较价值（元/平方米）</v>
      </c>
      <c r="Q38" s="346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58" t="str">
        <f>A39</f>
        <v>估价对象XX用房的比较价值（楼面单价，元/平方米）</v>
      </c>
      <c r="Q39" s="3459"/>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2022-10</v>
      </c>
      <c r="D48" s="1299">
        <f>EDATE(C48,-1)</f>
        <v>44805</v>
      </c>
      <c r="E48" s="1299">
        <f t="shared" ref="E48:O48" si="16">EDATE(D48,-1)</f>
        <v>44774</v>
      </c>
      <c r="F48" s="1299">
        <f t="shared" si="16"/>
        <v>44743</v>
      </c>
      <c r="G48" s="1299">
        <f t="shared" si="16"/>
        <v>44713</v>
      </c>
      <c r="H48" s="1299">
        <f t="shared" si="16"/>
        <v>44682</v>
      </c>
      <c r="I48" s="1299">
        <f t="shared" si="16"/>
        <v>44652</v>
      </c>
      <c r="J48" s="1299">
        <f t="shared" si="16"/>
        <v>44621</v>
      </c>
      <c r="K48" s="1299">
        <f t="shared" si="16"/>
        <v>44593</v>
      </c>
      <c r="L48" s="1299">
        <f t="shared" si="16"/>
        <v>44562</v>
      </c>
      <c r="M48" s="1299">
        <f t="shared" si="16"/>
        <v>44531</v>
      </c>
      <c r="N48" s="1299">
        <f t="shared" si="16"/>
        <v>44501</v>
      </c>
      <c r="O48" s="1299">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66"/>
      <c r="Q15" s="1486"/>
      <c r="R15" s="714"/>
      <c r="S15" s="715"/>
      <c r="T15" s="714"/>
      <c r="U15" s="715"/>
      <c r="V15" s="714"/>
      <c r="W15" s="715"/>
      <c r="X15" s="1489"/>
      <c r="Y15" s="3466"/>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66"/>
      <c r="Q17" s="1486"/>
      <c r="R17" s="714"/>
      <c r="S17" s="715"/>
      <c r="T17" s="714"/>
      <c r="U17" s="715"/>
      <c r="V17" s="714"/>
      <c r="W17" s="715"/>
      <c r="X17" s="1489"/>
      <c r="Y17" s="3466"/>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66"/>
      <c r="Q19" s="1486"/>
      <c r="R19" s="714"/>
      <c r="S19" s="715"/>
      <c r="T19" s="714"/>
      <c r="U19" s="715"/>
      <c r="V19" s="714"/>
      <c r="W19" s="715"/>
      <c r="X19" s="1489"/>
      <c r="Y19" s="3466"/>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66"/>
      <c r="Q21" s="1486"/>
      <c r="R21" s="714"/>
      <c r="S21" s="715"/>
      <c r="T21" s="714"/>
      <c r="U21" s="715"/>
      <c r="V21" s="714"/>
      <c r="W21" s="715"/>
      <c r="X21" s="1489"/>
      <c r="Y21" s="3466"/>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6"/>
      <c r="Q24" s="1486">
        <f t="shared" ref="Q24:Q34"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67"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68"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8"/>
      <c r="Q28" s="1486" t="str">
        <f t="shared" si="11"/>
        <v>物业等级</v>
      </c>
      <c r="R28" s="714" t="s">
        <v>17</v>
      </c>
      <c r="S28" s="715">
        <f t="shared" si="12"/>
        <v>100</v>
      </c>
      <c r="T28" s="714" t="s">
        <v>17</v>
      </c>
      <c r="U28" s="715">
        <f t="shared" si="13"/>
        <v>100</v>
      </c>
      <c r="V28" s="714" t="s">
        <v>17</v>
      </c>
      <c r="W28" s="715">
        <f t="shared" si="14"/>
        <v>100</v>
      </c>
      <c r="X28" s="1489"/>
      <c r="Y28" s="3468"/>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8"/>
      <c r="Q29" s="1486" t="str">
        <f t="shared" si="11"/>
        <v>有无电梯</v>
      </c>
      <c r="R29" s="714" t="s">
        <v>17</v>
      </c>
      <c r="S29" s="715">
        <f t="shared" si="12"/>
        <v>100</v>
      </c>
      <c r="T29" s="714" t="s">
        <v>17</v>
      </c>
      <c r="U29" s="715">
        <f t="shared" si="13"/>
        <v>100</v>
      </c>
      <c r="V29" s="714" t="s">
        <v>17</v>
      </c>
      <c r="W29" s="715">
        <f t="shared" si="14"/>
        <v>100</v>
      </c>
      <c r="X29" s="1489"/>
      <c r="Y29" s="3468"/>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8"/>
      <c r="Q30" s="1486" t="str">
        <f t="shared" si="11"/>
        <v>建筑面积</v>
      </c>
      <c r="R30" s="714" t="s">
        <v>17</v>
      </c>
      <c r="S30" s="715" t="e">
        <f t="shared" si="12"/>
        <v>#N/A</v>
      </c>
      <c r="T30" s="714" t="s">
        <v>17</v>
      </c>
      <c r="U30" s="715" t="e">
        <f t="shared" si="13"/>
        <v>#N/A</v>
      </c>
      <c r="V30" s="714" t="s">
        <v>17</v>
      </c>
      <c r="W30" s="715" t="e">
        <f t="shared" si="14"/>
        <v>#N/A</v>
      </c>
      <c r="X30" s="1489"/>
      <c r="Y30" s="3468"/>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8"/>
      <c r="Q31" s="147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8" t="s">
        <v>2142</v>
      </c>
      <c r="Q32" s="1486">
        <f t="shared" si="11"/>
        <v>111</v>
      </c>
      <c r="R32" s="714" t="s">
        <v>17</v>
      </c>
      <c r="S32" s="715">
        <f t="shared" si="12"/>
        <v>100</v>
      </c>
      <c r="T32" s="714" t="s">
        <v>17</v>
      </c>
      <c r="U32" s="715">
        <f t="shared" si="13"/>
        <v>100</v>
      </c>
      <c r="V32" s="714" t="s">
        <v>17</v>
      </c>
      <c r="W32" s="715">
        <f t="shared" si="14"/>
        <v>100</v>
      </c>
      <c r="X32" s="1489"/>
      <c r="Y32" s="3468"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8"/>
      <c r="Q33" s="1486">
        <f t="shared" si="11"/>
        <v>111</v>
      </c>
      <c r="R33" s="714" t="s">
        <v>17</v>
      </c>
      <c r="S33" s="715">
        <f t="shared" si="12"/>
        <v>100</v>
      </c>
      <c r="T33" s="714" t="s">
        <v>17</v>
      </c>
      <c r="U33" s="715">
        <f t="shared" si="13"/>
        <v>100</v>
      </c>
      <c r="V33" s="714" t="s">
        <v>17</v>
      </c>
      <c r="W33" s="715">
        <f t="shared" si="14"/>
        <v>100</v>
      </c>
      <c r="X33" s="1489"/>
      <c r="Y33" s="3468"/>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64" t="str">
        <f>A35</f>
        <v>成交单价（元/平方米）</v>
      </c>
      <c r="Q35" s="3464"/>
      <c r="R35" s="3526">
        <f>E35</f>
        <v>0</v>
      </c>
      <c r="S35" s="3526"/>
      <c r="T35" s="3526">
        <f>G35</f>
        <v>0</v>
      </c>
      <c r="U35" s="3526"/>
      <c r="V35" s="3526">
        <f>I35</f>
        <v>0</v>
      </c>
      <c r="W35" s="3526"/>
      <c r="X35" s="699"/>
      <c r="Y35" s="721"/>
      <c r="Z35" s="699"/>
      <c r="AA35" s="699"/>
      <c r="AB35" s="699"/>
      <c r="AC35" s="699"/>
    </row>
    <row r="36" spans="1:30" ht="15.75" thickBot="1">
      <c r="A36" s="445" t="s">
        <v>2246</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464" t="str">
        <f>A36</f>
        <v>比较价值（元/平方米）</v>
      </c>
      <c r="Q36" s="346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58" t="str">
        <f>A37</f>
        <v>估价对象XX用房的比较价值（楼面单价，元/平方米）</v>
      </c>
      <c r="Q37" s="3459"/>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2022-10</v>
      </c>
      <c r="D46" s="1299">
        <f>EDATE(C46,-1)</f>
        <v>44805</v>
      </c>
      <c r="E46" s="1299">
        <f t="shared" ref="E46:O46" si="16">EDATE(D46,-1)</f>
        <v>44774</v>
      </c>
      <c r="F46" s="1299">
        <f t="shared" si="16"/>
        <v>44743</v>
      </c>
      <c r="G46" s="1299">
        <f t="shared" si="16"/>
        <v>44713</v>
      </c>
      <c r="H46" s="1299">
        <f t="shared" si="16"/>
        <v>44682</v>
      </c>
      <c r="I46" s="1299">
        <f t="shared" si="16"/>
        <v>44652</v>
      </c>
      <c r="J46" s="1299">
        <f t="shared" si="16"/>
        <v>44621</v>
      </c>
      <c r="K46" s="1299">
        <f t="shared" si="16"/>
        <v>44593</v>
      </c>
      <c r="L46" s="1299">
        <f t="shared" si="16"/>
        <v>44562</v>
      </c>
      <c r="M46" s="1299">
        <f t="shared" si="16"/>
        <v>44531</v>
      </c>
      <c r="N46" s="1299">
        <f t="shared" si="16"/>
        <v>44501</v>
      </c>
      <c r="O46" s="1299">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549" t="s">
        <v>2373</v>
      </c>
      <c r="D6" s="3550"/>
      <c r="E6" s="3551" t="s">
        <v>2373</v>
      </c>
      <c r="F6" s="3552"/>
      <c r="G6" s="3549" t="s">
        <v>2373</v>
      </c>
      <c r="H6" s="3550"/>
      <c r="I6" s="3549" t="s">
        <v>2373</v>
      </c>
      <c r="J6" s="3550"/>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108</v>
      </c>
      <c r="G10" s="391"/>
      <c r="H10" s="132">
        <f>ROUND(100/'数据-取费表'!G16,0)</f>
        <v>108</v>
      </c>
      <c r="I10" s="391"/>
      <c r="J10" s="132">
        <f>ROUND(100/'数据-取费表'!G16,0)</f>
        <v>108</v>
      </c>
      <c r="K10" s="628"/>
      <c r="L10" s="2896"/>
      <c r="M10" s="2897"/>
      <c r="N10" s="2897"/>
      <c r="O10" s="2950"/>
      <c r="P10" s="3464"/>
      <c r="Q10" s="1477" t="str">
        <f t="shared" si="6"/>
        <v>土地使用年限（年）</v>
      </c>
      <c r="R10" s="710" t="s">
        <v>17</v>
      </c>
      <c r="S10" s="711">
        <f t="shared" si="0"/>
        <v>108</v>
      </c>
      <c r="T10" s="710" t="s">
        <v>17</v>
      </c>
      <c r="U10" s="711">
        <f t="shared" si="1"/>
        <v>108</v>
      </c>
      <c r="V10" s="710" t="s">
        <v>17</v>
      </c>
      <c r="W10" s="711">
        <f t="shared" si="2"/>
        <v>108</v>
      </c>
      <c r="X10" s="712"/>
      <c r="Y10" s="3358"/>
      <c r="Z10" s="55" t="str">
        <f t="shared" si="7"/>
        <v>土地使用年限（年）</v>
      </c>
      <c r="AA10" s="713">
        <f t="shared" si="3"/>
        <v>0.92592592592592593</v>
      </c>
      <c r="AB10" s="713">
        <f t="shared" si="4"/>
        <v>0.92592592592592593</v>
      </c>
      <c r="AC10" s="713">
        <f t="shared" si="5"/>
        <v>0.92592592592592593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585" t="s">
        <v>2374</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6"/>
      <c r="Q19" s="1486" t="str">
        <f t="shared" ref="Q19:Q33" si="8">B19</f>
        <v>区域土地利用方向</v>
      </c>
      <c r="R19" s="714" t="s">
        <v>17</v>
      </c>
      <c r="S19" s="715">
        <f>F19</f>
        <v>100</v>
      </c>
      <c r="T19" s="714" t="s">
        <v>17</v>
      </c>
      <c r="U19" s="715">
        <f>H19</f>
        <v>100</v>
      </c>
      <c r="V19" s="714" t="s">
        <v>17</v>
      </c>
      <c r="W19" s="715">
        <f>J19</f>
        <v>100</v>
      </c>
      <c r="X19" s="1489"/>
      <c r="Y19" s="3466"/>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66"/>
      <c r="Q20" s="1486"/>
      <c r="R20" s="714"/>
      <c r="S20" s="715"/>
      <c r="T20" s="714"/>
      <c r="U20" s="715"/>
      <c r="V20" s="714"/>
      <c r="W20" s="715"/>
      <c r="X20" s="1489"/>
      <c r="Y20" s="3466"/>
      <c r="Z20" s="1490"/>
      <c r="AA20" s="1487"/>
      <c r="AB20" s="1487"/>
      <c r="AC20" s="1487"/>
    </row>
    <row r="21" spans="1:29" ht="71.25">
      <c r="A21" s="364"/>
      <c r="B21" s="587" t="s">
        <v>2375</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6"/>
      <c r="Q21" s="1486" t="str">
        <f t="shared" si="8"/>
        <v>环境状况</v>
      </c>
      <c r="R21" s="714" t="s">
        <v>17</v>
      </c>
      <c r="S21" s="715">
        <f>F21</f>
        <v>100</v>
      </c>
      <c r="T21" s="714" t="s">
        <v>17</v>
      </c>
      <c r="U21" s="715">
        <f>H21</f>
        <v>100</v>
      </c>
      <c r="V21" s="714" t="s">
        <v>17</v>
      </c>
      <c r="W21" s="715">
        <f>J21</f>
        <v>100</v>
      </c>
      <c r="X21" s="1489"/>
      <c r="Y21" s="3466"/>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6"/>
      <c r="Q23" s="1477" t="str">
        <f t="shared" si="8"/>
        <v>公共配套设施</v>
      </c>
      <c r="R23" s="710" t="s">
        <v>17</v>
      </c>
      <c r="S23" s="711">
        <f>F23</f>
        <v>100</v>
      </c>
      <c r="T23" s="710" t="s">
        <v>17</v>
      </c>
      <c r="U23" s="711">
        <f>H23</f>
        <v>100</v>
      </c>
      <c r="V23" s="710" t="s">
        <v>17</v>
      </c>
      <c r="W23" s="711">
        <f>J23</f>
        <v>100</v>
      </c>
      <c r="X23" s="712"/>
      <c r="Y23" s="3466"/>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66"/>
      <c r="Q24" s="1477"/>
      <c r="R24" s="710"/>
      <c r="S24" s="711"/>
      <c r="T24" s="710"/>
      <c r="U24" s="711"/>
      <c r="V24" s="710"/>
      <c r="W24" s="711"/>
      <c r="X24" s="712"/>
      <c r="Y24" s="3466"/>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6"/>
      <c r="Q25" s="1477" t="str">
        <f t="shared" ref="Q25" si="9">B25</f>
        <v>基础设施水平</v>
      </c>
      <c r="R25" s="710" t="s">
        <v>17</v>
      </c>
      <c r="S25" s="711">
        <f>F25</f>
        <v>100</v>
      </c>
      <c r="T25" s="710" t="s">
        <v>17</v>
      </c>
      <c r="U25" s="711">
        <f>H25</f>
        <v>100</v>
      </c>
      <c r="V25" s="710" t="s">
        <v>17</v>
      </c>
      <c r="W25" s="711">
        <f>J25</f>
        <v>100</v>
      </c>
      <c r="X25" s="712"/>
      <c r="Y25" s="3466"/>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66"/>
      <c r="Q26" s="1477"/>
      <c r="R26" s="710"/>
      <c r="S26" s="711"/>
      <c r="T26" s="710"/>
      <c r="U26" s="711"/>
      <c r="V26" s="710"/>
      <c r="W26" s="711"/>
      <c r="X26" s="712"/>
      <c r="Y26" s="3466"/>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6"/>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6"/>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6"/>
      <c r="Q28" s="1486" t="str">
        <f t="shared" si="8"/>
        <v>毗邻道路的类型与等级</v>
      </c>
      <c r="R28" s="714" t="s">
        <v>17</v>
      </c>
      <c r="S28" s="715">
        <f t="shared" si="10"/>
        <v>100</v>
      </c>
      <c r="T28" s="714" t="s">
        <v>17</v>
      </c>
      <c r="U28" s="715">
        <f t="shared" si="11"/>
        <v>100</v>
      </c>
      <c r="V28" s="714" t="s">
        <v>17</v>
      </c>
      <c r="W28" s="715">
        <f t="shared" si="12"/>
        <v>100</v>
      </c>
      <c r="X28" s="1489"/>
      <c r="Y28" s="3466"/>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66"/>
      <c r="Q29" s="1486"/>
      <c r="R29" s="714"/>
      <c r="S29" s="715"/>
      <c r="T29" s="714"/>
      <c r="U29" s="715"/>
      <c r="V29" s="714"/>
      <c r="W29" s="715"/>
      <c r="X29" s="1489"/>
      <c r="Y29" s="3466"/>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6"/>
      <c r="Q30" s="1486" t="str">
        <f t="shared" si="8"/>
        <v>土地级别</v>
      </c>
      <c r="R30" s="714" t="s">
        <v>17</v>
      </c>
      <c r="S30" s="715">
        <f t="shared" si="10"/>
        <v>100</v>
      </c>
      <c r="T30" s="714" t="s">
        <v>17</v>
      </c>
      <c r="U30" s="715">
        <f t="shared" si="11"/>
        <v>100</v>
      </c>
      <c r="V30" s="714" t="s">
        <v>17</v>
      </c>
      <c r="W30" s="715">
        <f t="shared" si="12"/>
        <v>100</v>
      </c>
      <c r="X30" s="1489"/>
      <c r="Y30" s="3466"/>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6"/>
      <c r="Q31" s="1486">
        <f t="shared" si="8"/>
        <v>111</v>
      </c>
      <c r="R31" s="714" t="s">
        <v>17</v>
      </c>
      <c r="S31" s="715">
        <f t="shared" si="10"/>
        <v>100</v>
      </c>
      <c r="T31" s="714" t="s">
        <v>17</v>
      </c>
      <c r="U31" s="715">
        <f t="shared" si="11"/>
        <v>100</v>
      </c>
      <c r="V31" s="714" t="s">
        <v>17</v>
      </c>
      <c r="W31" s="715">
        <f t="shared" si="12"/>
        <v>100</v>
      </c>
      <c r="X31" s="1489"/>
      <c r="Y31" s="3466"/>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67" t="s">
        <v>2142</v>
      </c>
      <c r="Q32" s="1486">
        <f t="shared" si="8"/>
        <v>111</v>
      </c>
      <c r="R32" s="714" t="s">
        <v>17</v>
      </c>
      <c r="S32" s="715">
        <f t="shared" si="10"/>
        <v>100</v>
      </c>
      <c r="T32" s="714" t="s">
        <v>17</v>
      </c>
      <c r="U32" s="715">
        <f t="shared" si="11"/>
        <v>100</v>
      </c>
      <c r="V32" s="714" t="s">
        <v>17</v>
      </c>
      <c r="W32" s="715">
        <f t="shared" si="12"/>
        <v>100</v>
      </c>
      <c r="X32" s="1489"/>
      <c r="Y32" s="3468"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8"/>
      <c r="Q33" s="1486">
        <f t="shared" si="8"/>
        <v>111</v>
      </c>
      <c r="R33" s="717" t="s">
        <v>17</v>
      </c>
      <c r="S33" s="718">
        <f t="shared" si="10"/>
        <v>100</v>
      </c>
      <c r="T33" s="717" t="s">
        <v>17</v>
      </c>
      <c r="U33" s="718">
        <f t="shared" si="11"/>
        <v>100</v>
      </c>
      <c r="V33" s="717" t="s">
        <v>17</v>
      </c>
      <c r="W33" s="718">
        <f t="shared" si="12"/>
        <v>100</v>
      </c>
      <c r="X33" s="719"/>
      <c r="Y33" s="3468"/>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8"/>
      <c r="Q34" s="1486" t="str">
        <f>B34</f>
        <v>宗地面积</v>
      </c>
      <c r="R34" s="714" t="s">
        <v>17</v>
      </c>
      <c r="S34" s="715" t="e">
        <f t="shared" si="10"/>
        <v>#N/A</v>
      </c>
      <c r="T34" s="714" t="s">
        <v>17</v>
      </c>
      <c r="U34" s="715" t="e">
        <f t="shared" si="11"/>
        <v>#N/A</v>
      </c>
      <c r="V34" s="714" t="s">
        <v>17</v>
      </c>
      <c r="W34" s="715" t="e">
        <f t="shared" si="12"/>
        <v>#N/A</v>
      </c>
      <c r="X34" s="1489"/>
      <c r="Y34" s="3468"/>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68"/>
      <c r="Q35" s="1486" t="str">
        <f t="shared" ref="Q35:Q40" si="14">B35</f>
        <v>宗地形状</v>
      </c>
      <c r="R35" s="714" t="s">
        <v>17</v>
      </c>
      <c r="S35" s="715">
        <f t="shared" si="10"/>
        <v>100</v>
      </c>
      <c r="T35" s="714" t="s">
        <v>17</v>
      </c>
      <c r="U35" s="715">
        <f t="shared" si="11"/>
        <v>100</v>
      </c>
      <c r="V35" s="714" t="s">
        <v>17</v>
      </c>
      <c r="W35" s="715">
        <f t="shared" si="12"/>
        <v>100</v>
      </c>
      <c r="X35" s="1489"/>
      <c r="Y35" s="3468"/>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68"/>
      <c r="Q36" s="148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68" t="s">
        <v>2142</v>
      </c>
      <c r="Q37" s="1486" t="str">
        <f t="shared" si="14"/>
        <v>工程地质条件</v>
      </c>
      <c r="R37" s="714" t="s">
        <v>17</v>
      </c>
      <c r="S37" s="715">
        <f t="shared" si="10"/>
        <v>100</v>
      </c>
      <c r="T37" s="714" t="s">
        <v>17</v>
      </c>
      <c r="U37" s="715">
        <f t="shared" si="11"/>
        <v>100</v>
      </c>
      <c r="V37" s="714" t="s">
        <v>17</v>
      </c>
      <c r="W37" s="715">
        <f t="shared" si="12"/>
        <v>100</v>
      </c>
      <c r="X37" s="1489"/>
      <c r="Y37" s="3468"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8"/>
      <c r="Q38" s="1486">
        <f t="shared" si="14"/>
        <v>111</v>
      </c>
      <c r="R38" s="714" t="s">
        <v>17</v>
      </c>
      <c r="S38" s="715">
        <f t="shared" si="10"/>
        <v>100</v>
      </c>
      <c r="T38" s="714" t="s">
        <v>17</v>
      </c>
      <c r="U38" s="715">
        <f t="shared" si="11"/>
        <v>100</v>
      </c>
      <c r="V38" s="714" t="s">
        <v>17</v>
      </c>
      <c r="W38" s="715">
        <f t="shared" si="12"/>
        <v>100</v>
      </c>
      <c r="X38" s="1489"/>
      <c r="Y38" s="346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8"/>
      <c r="Q39" s="1486">
        <f t="shared" si="14"/>
        <v>111</v>
      </c>
      <c r="R39" s="714" t="s">
        <v>17</v>
      </c>
      <c r="S39" s="715">
        <f t="shared" si="10"/>
        <v>100</v>
      </c>
      <c r="T39" s="714" t="s">
        <v>17</v>
      </c>
      <c r="U39" s="715">
        <f t="shared" si="11"/>
        <v>100</v>
      </c>
      <c r="V39" s="714" t="s">
        <v>17</v>
      </c>
      <c r="W39" s="715">
        <f t="shared" si="12"/>
        <v>100</v>
      </c>
      <c r="X39" s="1489"/>
      <c r="Y39" s="3468"/>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8"/>
      <c r="Q40" s="1486">
        <f t="shared" si="14"/>
        <v>111</v>
      </c>
      <c r="R40" s="717" t="s">
        <v>17</v>
      </c>
      <c r="S40" s="718">
        <f t="shared" si="10"/>
        <v>100</v>
      </c>
      <c r="T40" s="717" t="s">
        <v>17</v>
      </c>
      <c r="U40" s="718">
        <f t="shared" si="11"/>
        <v>100</v>
      </c>
      <c r="V40" s="717" t="s">
        <v>17</v>
      </c>
      <c r="W40" s="718">
        <f t="shared" si="12"/>
        <v>100</v>
      </c>
      <c r="X40" s="719"/>
      <c r="Y40" s="3468"/>
      <c r="Z40" s="720">
        <f t="shared" si="13"/>
        <v>111</v>
      </c>
      <c r="AA40" s="1487">
        <f t="shared" si="3"/>
        <v>1</v>
      </c>
      <c r="AB40" s="1487">
        <f t="shared" si="4"/>
        <v>1</v>
      </c>
      <c r="AC40" s="1487">
        <f t="shared" si="5"/>
        <v>1</v>
      </c>
    </row>
    <row r="41" spans="1:31" ht="15">
      <c r="A41" s="438" t="s">
        <v>2297</v>
      </c>
      <c r="B41" s="2117" t="s">
        <v>2376</v>
      </c>
      <c r="C41" s="638" t="s">
        <v>1</v>
      </c>
      <c r="D41" s="440"/>
      <c r="E41" s="441"/>
      <c r="F41" s="442"/>
      <c r="G41" s="443"/>
      <c r="H41" s="444"/>
      <c r="I41" s="441"/>
      <c r="J41" s="444"/>
      <c r="K41" s="723"/>
      <c r="L41" s="2901"/>
      <c r="M41" s="2893"/>
      <c r="N41" s="2893"/>
      <c r="O41" s="2902"/>
      <c r="P41" s="3464" t="str">
        <f>A41</f>
        <v>成交单价</v>
      </c>
      <c r="Q41" s="3464"/>
      <c r="R41" s="3469">
        <f>E41</f>
        <v>0</v>
      </c>
      <c r="S41" s="3469"/>
      <c r="T41" s="3469">
        <f>G41</f>
        <v>0</v>
      </c>
      <c r="U41" s="3469"/>
      <c r="V41" s="3469">
        <f>I41</f>
        <v>0</v>
      </c>
      <c r="W41" s="3469"/>
      <c r="X41" s="699"/>
      <c r="Y41" s="721"/>
      <c r="Z41" s="699"/>
      <c r="AA41" s="699"/>
      <c r="AB41" s="699"/>
      <c r="AC41" s="699"/>
    </row>
    <row r="42" spans="1:31" ht="15.75" thickBot="1">
      <c r="A42" s="445" t="s">
        <v>2246</v>
      </c>
      <c r="B42" s="639"/>
      <c r="C42" s="448" t="e">
        <f>R43</f>
        <v>#DIV/0!</v>
      </c>
      <c r="D42" s="2487" t="s">
        <v>2636</v>
      </c>
      <c r="E42" s="448" t="e">
        <f>R42</f>
        <v>#DIV/0!</v>
      </c>
      <c r="F42" s="2488"/>
      <c r="G42" s="447" t="e">
        <f>T42</f>
        <v>#DIV/0!</v>
      </c>
      <c r="H42" s="2488"/>
      <c r="I42" s="448" t="e">
        <f>V42</f>
        <v>#DIV/0!</v>
      </c>
      <c r="J42" s="2488"/>
      <c r="K42" s="2490">
        <f>F42+H42+J42</f>
        <v>0</v>
      </c>
      <c r="L42" s="2901"/>
      <c r="M42" s="2893"/>
      <c r="N42" s="2893"/>
      <c r="O42" s="2902"/>
      <c r="P42" s="3464" t="str">
        <f>A42</f>
        <v>比较价值（元/平方米）</v>
      </c>
      <c r="Q42" s="3464"/>
      <c r="R42" s="3457" t="e">
        <f>ROUND(PRODUCT(R41,AA7:AA40),0)</f>
        <v>#DIV/0!</v>
      </c>
      <c r="S42" s="3457"/>
      <c r="T42" s="3457" t="e">
        <f>ROUND(PRODUCT(T41,AB7:AB40),0)</f>
        <v>#DIV/0!</v>
      </c>
      <c r="U42" s="3457"/>
      <c r="V42" s="3457" t="e">
        <f>ROUND(PRODUCT(V41,AC7:AC40),0)</f>
        <v>#DIV/0!</v>
      </c>
      <c r="W42" s="3457"/>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58" t="str">
        <f>A43</f>
        <v>估价对象XX用房的比较价值（楼面单价，元/平方米）</v>
      </c>
      <c r="Q43" s="3459"/>
      <c r="R43" s="3460" t="e">
        <f>ROUND(IF(D42="简单平均",AVERAGE(R42:W42),R42*F42+T42*H42+V42*J42),0)</f>
        <v>#DIV/0!</v>
      </c>
      <c r="S43" s="3460"/>
      <c r="T43" s="3460"/>
      <c r="U43" s="3460"/>
      <c r="V43" s="3460"/>
      <c r="W43" s="346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2335</v>
      </c>
      <c r="B50" s="641" t="s">
        <v>2336</v>
      </c>
      <c r="C50" s="2118" t="s">
        <v>2337</v>
      </c>
      <c r="D50" s="2119" t="s">
        <v>2338</v>
      </c>
      <c r="E50" s="642" t="s">
        <v>2339</v>
      </c>
      <c r="F50" s="643" t="s">
        <v>2340</v>
      </c>
      <c r="G50" s="3461" t="s">
        <v>2341</v>
      </c>
      <c r="H50" s="3462"/>
      <c r="I50" s="1490" t="s">
        <v>2377</v>
      </c>
      <c r="J50" s="1490">
        <f>项目基本情况!F35</f>
        <v>0</v>
      </c>
      <c r="K50" s="2121" t="s">
        <v>2343</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2344</v>
      </c>
      <c r="B51" s="645" t="e">
        <f>C43</f>
        <v>#DIV/0!</v>
      </c>
      <c r="C51" s="646">
        <v>1</v>
      </c>
      <c r="D51" s="1056">
        <v>1</v>
      </c>
      <c r="E51" s="646">
        <f>'数据-汇总表'!E8+'数据-汇总表'!E9</f>
        <v>54642.68</v>
      </c>
      <c r="F51" s="647" t="e">
        <f t="shared" ref="F51:F60" si="15">ROUND(B51*E51/10000,0)</f>
        <v>#DIV/0!</v>
      </c>
      <c r="G51" s="3463"/>
      <c r="H51" s="346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2345</v>
      </c>
      <c r="B52" s="224" t="e">
        <f>ROUND($C$43*C52*D52,0)</f>
        <v>#DIV/0!</v>
      </c>
      <c r="C52" s="176">
        <f t="shared" ref="C52:C60" si="16">IF($C$50="北京市系数",I52,J52)</f>
        <v>0.6</v>
      </c>
      <c r="D52" s="1057">
        <v>0.25</v>
      </c>
      <c r="E52" s="650"/>
      <c r="F52" s="647" t="e">
        <f t="shared" si="15"/>
        <v>#DIV/0!</v>
      </c>
      <c r="G52" s="3226" t="s">
        <v>2346</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2347</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2348</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2349</v>
      </c>
      <c r="B56" s="224" t="e">
        <f t="shared" si="17"/>
        <v>#DIV/0!</v>
      </c>
      <c r="C56" s="176">
        <f t="shared" si="16"/>
        <v>0.25</v>
      </c>
      <c r="D56" s="1057">
        <v>0.25</v>
      </c>
      <c r="E56" s="223">
        <f>'数据-汇总表'!E11</f>
        <v>0</v>
      </c>
      <c r="F56" s="647" t="e">
        <f t="shared" si="15"/>
        <v>#DIV/0!</v>
      </c>
      <c r="G56" s="2122" t="s">
        <v>2350</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2351</v>
      </c>
      <c r="B57" s="224" t="e">
        <f t="shared" si="17"/>
        <v>#DIV/0!</v>
      </c>
      <c r="C57" s="176">
        <f t="shared" si="16"/>
        <v>0.25</v>
      </c>
      <c r="D57" s="1057">
        <v>0.25</v>
      </c>
      <c r="E57" s="223">
        <f>'数据-汇总表'!E12</f>
        <v>0</v>
      </c>
      <c r="F57" s="647" t="e">
        <f t="shared" si="15"/>
        <v>#DIV/0!</v>
      </c>
      <c r="G57" s="1004" t="s">
        <v>2352</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2355</v>
      </c>
      <c r="B59" s="224" t="e">
        <f t="shared" si="17"/>
        <v>#DIV/0!</v>
      </c>
      <c r="C59" s="176">
        <f t="shared" si="16"/>
        <v>0.15</v>
      </c>
      <c r="D59" s="1057">
        <v>0.25</v>
      </c>
      <c r="E59" s="223">
        <f>'数据-汇总表'!E14</f>
        <v>0</v>
      </c>
      <c r="F59" s="647" t="e">
        <f t="shared" si="15"/>
        <v>#DIV/0!</v>
      </c>
      <c r="G59" s="2122" t="s">
        <v>2346</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2356</v>
      </c>
      <c r="B60" s="224" t="e">
        <f t="shared" si="17"/>
        <v>#DIV/0!</v>
      </c>
      <c r="C60" s="176">
        <f t="shared" si="16"/>
        <v>0.15</v>
      </c>
      <c r="D60" s="1057">
        <v>0.25</v>
      </c>
      <c r="E60" s="223">
        <f>'数据-汇总表'!E15</f>
        <v>18631.560000000001</v>
      </c>
      <c r="F60" s="647" t="e">
        <f t="shared" si="15"/>
        <v>#DIV/0!</v>
      </c>
      <c r="G60" s="2123" t="s">
        <v>2350</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2357</v>
      </c>
      <c r="B61" s="652" t="s">
        <v>28</v>
      </c>
      <c r="C61" s="652" t="s">
        <v>29</v>
      </c>
      <c r="D61" s="652" t="s">
        <v>816</v>
      </c>
      <c r="E61" s="652">
        <f>IF(B41="楼面地价",SUM(E51:E60),'数据-汇总表'!D3)</f>
        <v>15644.81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2358</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2368</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2370</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2371</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3.5</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6"/>
      <c r="B4" s="3557"/>
      <c r="C4" s="3557"/>
      <c r="D4" s="3558"/>
      <c r="E4" s="3558"/>
      <c r="F4" s="3558"/>
      <c r="G4" s="3558"/>
      <c r="H4" s="3558"/>
      <c r="I4" s="3558"/>
      <c r="J4" s="3559"/>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0"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3.5</v>
      </c>
      <c r="AA7" s="1330"/>
      <c r="AB7" s="1330"/>
      <c r="AC7" s="1331"/>
      <c r="AD7" s="1332"/>
      <c r="AE7" s="1332"/>
      <c r="AF7" s="1332"/>
      <c r="AG7" s="1332"/>
      <c r="AH7" s="1332"/>
      <c r="AI7" s="1332"/>
      <c r="AJ7" s="1333"/>
    </row>
    <row r="8" spans="1:36" ht="15">
      <c r="A8" s="3561"/>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3" t="s">
        <v>2416</v>
      </c>
      <c r="X8" s="3554"/>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61"/>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5"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1"/>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1"/>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5" t="s">
        <v>2440</v>
      </c>
      <c r="X11" s="1338" t="s">
        <v>2441</v>
      </c>
      <c r="Y11" s="1339">
        <f>$G$3</f>
        <v>3.5</v>
      </c>
      <c r="Z11" s="1339">
        <f t="shared" ref="Z11:AJ11" si="3">$G$3</f>
        <v>3.5</v>
      </c>
      <c r="AA11" s="1339">
        <f t="shared" si="3"/>
        <v>3.5</v>
      </c>
      <c r="AB11" s="1339">
        <f t="shared" si="3"/>
        <v>3.5</v>
      </c>
      <c r="AC11" s="1339">
        <f t="shared" si="3"/>
        <v>3.5</v>
      </c>
      <c r="AD11" s="1339">
        <f t="shared" si="3"/>
        <v>3.5</v>
      </c>
      <c r="AE11" s="1339">
        <f t="shared" si="3"/>
        <v>3.5</v>
      </c>
      <c r="AF11" s="1339">
        <f t="shared" si="3"/>
        <v>3.5</v>
      </c>
      <c r="AG11" s="1339">
        <f t="shared" si="3"/>
        <v>3.5</v>
      </c>
      <c r="AH11" s="1339">
        <f t="shared" si="3"/>
        <v>3.5</v>
      </c>
      <c r="AI11" s="1339">
        <f t="shared" si="3"/>
        <v>3.5</v>
      </c>
      <c r="AJ11" s="1339">
        <f t="shared" si="3"/>
        <v>3.5</v>
      </c>
    </row>
    <row r="12" spans="1:36" ht="25.5" thickBot="1">
      <c r="A12" s="3560"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5"/>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2"/>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55"/>
      <c r="X13" s="1340"/>
      <c r="Y13" s="1337">
        <f>(-0.163*(Y12^2)-0.59*Y12+7617)*(10^(-4))/Y11</f>
        <v>0.21762857142857145</v>
      </c>
      <c r="Z13" s="1337">
        <f t="shared" ref="Z13:AJ13" si="5">(-0.163*(Z12^2)-0.59*Z12+7617)*(10^(-4))/Z11</f>
        <v>0.21762857142857145</v>
      </c>
      <c r="AA13" s="1337">
        <f t="shared" si="5"/>
        <v>0.21762857142857145</v>
      </c>
      <c r="AB13" s="1337">
        <f t="shared" si="5"/>
        <v>0.21762857142857145</v>
      </c>
      <c r="AC13" s="1337">
        <f t="shared" si="5"/>
        <v>0.21762857142857145</v>
      </c>
      <c r="AD13" s="1337">
        <f t="shared" si="5"/>
        <v>0.21762857142857145</v>
      </c>
      <c r="AE13" s="1337">
        <f t="shared" si="5"/>
        <v>0.21762857142857145</v>
      </c>
      <c r="AF13" s="1337">
        <f t="shared" si="5"/>
        <v>0.21762857142857145</v>
      </c>
      <c r="AG13" s="1337">
        <f t="shared" si="5"/>
        <v>0.21762857142857145</v>
      </c>
      <c r="AH13" s="1337">
        <f t="shared" si="5"/>
        <v>0.21762857142857145</v>
      </c>
      <c r="AI13" s="1337">
        <f t="shared" si="5"/>
        <v>0.21762857142857145</v>
      </c>
      <c r="AJ13" s="1337">
        <f t="shared" si="5"/>
        <v>0.21762857142857145</v>
      </c>
    </row>
    <row r="14" spans="1:36" ht="15">
      <c r="A14" s="3562"/>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63"/>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60" t="s">
        <v>2459</v>
      </c>
      <c r="B16" s="2158" t="s">
        <v>2460</v>
      </c>
      <c r="C16" s="2320" t="e">
        <f>ROUND(IF(F17="与级别开发程度一致",0,(G17-E17)/C17),0)</f>
        <v>#DIV/0!</v>
      </c>
      <c r="D16" s="3576" t="s">
        <v>2464</v>
      </c>
      <c r="E16" s="3577"/>
      <c r="F16" s="3576" t="s">
        <v>2461</v>
      </c>
      <c r="G16" s="357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64"/>
      <c r="B17" s="2331" t="s">
        <v>2463</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44865</v>
      </c>
      <c r="H19" s="2201"/>
      <c r="I19" s="848" t="str">
        <f>IF(H19="季度增幅（自定义）",SUMIF(N21:N24,E2,O21:O24),"")</f>
        <v/>
      </c>
      <c r="J19" s="2198"/>
      <c r="K19" s="1240"/>
      <c r="L19" s="2202" t="s">
        <v>2470</v>
      </c>
      <c r="M19" s="1448">
        <f>ROUND(SUMIF(地价!B2:F2,E2,地价!B37:F37),0)</f>
        <v>0</v>
      </c>
      <c r="N19" s="2203"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存贷款利率!E22/100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t="b">
        <f>IF(E22=G22,F22,IF(G3&lt;=10,ROUND(F22+(H22-F22)*(G3-E22)/(G22-E22),4),"——"))</f>
        <v>0</v>
      </c>
      <c r="E22" s="837">
        <f>ROUNDDOWN(G3,1)</f>
        <v>3.5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73"/>
      <c r="B33" s="2261" t="s">
        <v>2506</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7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74"/>
      <c r="B34" s="2178" t="s">
        <v>2507</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74"/>
      <c r="B35" s="2178" t="s">
        <v>2508</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7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7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2174</v>
      </c>
      <c r="K80" s="560" t="s">
        <v>2175</v>
      </c>
      <c r="L80" s="560" t="s">
        <v>2176</v>
      </c>
      <c r="M80" s="560" t="s">
        <v>2177</v>
      </c>
      <c r="N80" s="560" t="s">
        <v>2178</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65" t="s">
        <v>2547</v>
      </c>
      <c r="B90" s="3565"/>
      <c r="C90" s="3565"/>
      <c r="D90" s="3565"/>
      <c r="E90" s="3565"/>
      <c r="F90" s="3565"/>
      <c r="G90" s="3565"/>
      <c r="H90" s="3565"/>
      <c r="I90" s="3565"/>
      <c r="J90" s="3565"/>
      <c r="K90" s="2292"/>
      <c r="L90" s="2292"/>
      <c r="M90" s="2292"/>
      <c r="N90" s="2292"/>
    </row>
    <row r="91" spans="1:37">
      <c r="A91" s="3567" t="s">
        <v>2548</v>
      </c>
      <c r="B91" s="3567" t="s">
        <v>2549</v>
      </c>
      <c r="C91" s="2246" t="s">
        <v>2550</v>
      </c>
      <c r="D91" s="2247"/>
      <c r="E91" s="2247"/>
      <c r="F91" s="2247"/>
      <c r="G91" s="2247"/>
      <c r="H91" s="2247"/>
      <c r="I91" s="2247"/>
      <c r="J91" s="2293"/>
      <c r="K91" s="2294"/>
      <c r="L91" s="2294"/>
      <c r="M91" s="2294"/>
      <c r="N91" s="2294"/>
    </row>
    <row r="92" spans="1:37">
      <c r="A92" s="3567"/>
      <c r="B92" s="356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6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6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6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6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6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6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6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68" t="s">
        <v>2552</v>
      </c>
      <c r="B101" s="2299" t="s">
        <v>2553</v>
      </c>
      <c r="C101" s="2300">
        <f>$G$3</f>
        <v>3.5</v>
      </c>
      <c r="D101" s="2300">
        <f t="shared" ref="D101:N101" si="31">$G$3</f>
        <v>3.5</v>
      </c>
      <c r="E101" s="2300">
        <f t="shared" si="31"/>
        <v>3.5</v>
      </c>
      <c r="F101" s="2300">
        <f t="shared" si="31"/>
        <v>3.5</v>
      </c>
      <c r="G101" s="2300">
        <f t="shared" si="31"/>
        <v>3.5</v>
      </c>
      <c r="H101" s="2300">
        <f t="shared" si="31"/>
        <v>3.5</v>
      </c>
      <c r="I101" s="2300">
        <f t="shared" si="31"/>
        <v>3.5</v>
      </c>
      <c r="J101" s="2300">
        <f t="shared" si="31"/>
        <v>3.5</v>
      </c>
      <c r="K101" s="2300">
        <f t="shared" si="31"/>
        <v>3.5</v>
      </c>
      <c r="L101" s="2300">
        <f t="shared" si="31"/>
        <v>3.5</v>
      </c>
      <c r="M101" s="2300">
        <f t="shared" si="31"/>
        <v>3.5</v>
      </c>
      <c r="N101" s="2300">
        <f t="shared" si="31"/>
        <v>3.5</v>
      </c>
    </row>
    <row r="102" spans="1:14">
      <c r="A102" s="3569"/>
      <c r="B102" s="2295">
        <v>1</v>
      </c>
      <c r="C102" s="2296">
        <f>1.9362/C101</f>
        <v>0.55320000000000003</v>
      </c>
      <c r="D102" s="2296">
        <f>1.9362/D101</f>
        <v>0.55320000000000003</v>
      </c>
      <c r="E102" s="2296">
        <f>1.8629/E101</f>
        <v>0.53225714285714287</v>
      </c>
      <c r="F102" s="2296">
        <f>1.8629/F101</f>
        <v>0.53225714285714287</v>
      </c>
      <c r="G102" s="2296">
        <f>1.8629/G101</f>
        <v>0.53225714285714287</v>
      </c>
      <c r="H102" s="2296">
        <f>1.8629/H101</f>
        <v>0.53225714285714287</v>
      </c>
      <c r="I102" s="2296">
        <f>1.8629/I101</f>
        <v>0.53225714285714287</v>
      </c>
      <c r="J102" s="2296">
        <f>1.942/J101</f>
        <v>0.55485714285714283</v>
      </c>
      <c r="K102" s="2296">
        <f>1.942/K101</f>
        <v>0.55485714285714283</v>
      </c>
      <c r="L102" s="2296">
        <f>1.942/L101</f>
        <v>0.55485714285714283</v>
      </c>
      <c r="M102" s="2296">
        <f>1.942/M101</f>
        <v>0.55485714285714283</v>
      </c>
      <c r="N102" s="2296">
        <f>1.942/N101</f>
        <v>0.55485714285714283</v>
      </c>
    </row>
    <row r="103" spans="1:14">
      <c r="A103" s="3569"/>
      <c r="B103" s="2295">
        <v>2</v>
      </c>
      <c r="C103" s="2296">
        <f>1.4198/C101</f>
        <v>0.40565714285714283</v>
      </c>
      <c r="D103" s="2296">
        <f>1.4198/D101</f>
        <v>0.40565714285714283</v>
      </c>
      <c r="E103" s="2296">
        <f>1.3372/E101</f>
        <v>0.38205714285714282</v>
      </c>
      <c r="F103" s="2296">
        <f>1.3372/F101</f>
        <v>0.38205714285714282</v>
      </c>
      <c r="G103" s="2296">
        <f>1.3372/G101</f>
        <v>0.38205714285714282</v>
      </c>
      <c r="H103" s="2296">
        <f>1.3372/H101</f>
        <v>0.38205714285714282</v>
      </c>
      <c r="I103" s="2296">
        <f>1.3372/I101</f>
        <v>0.38205714285714282</v>
      </c>
      <c r="J103" s="2296">
        <f>1.2799/J101</f>
        <v>0.36568571428571428</v>
      </c>
      <c r="K103" s="2296">
        <f>1.2799/K101</f>
        <v>0.36568571428571428</v>
      </c>
      <c r="L103" s="2296">
        <f>1.2799/L101</f>
        <v>0.36568571428571428</v>
      </c>
      <c r="M103" s="2296">
        <f>1.2799/M101</f>
        <v>0.36568571428571428</v>
      </c>
      <c r="N103" s="2296">
        <f>1.2799/N101</f>
        <v>0.36568571428571428</v>
      </c>
    </row>
    <row r="104" spans="1:14">
      <c r="A104" s="3569"/>
      <c r="B104" s="2295">
        <v>3</v>
      </c>
      <c r="C104" s="2296">
        <f>1.1594/C101</f>
        <v>0.33125714285714286</v>
      </c>
      <c r="D104" s="2296">
        <f>1.1594/D101</f>
        <v>0.33125714285714286</v>
      </c>
      <c r="E104" s="2296">
        <f>1.0788/E101</f>
        <v>0.30822857142857141</v>
      </c>
      <c r="F104" s="2296">
        <f>1.0788/F101</f>
        <v>0.30822857142857141</v>
      </c>
      <c r="G104" s="2296">
        <f>1.0788/G101</f>
        <v>0.30822857142857141</v>
      </c>
      <c r="H104" s="2296">
        <f>1.0788/H101</f>
        <v>0.30822857142857141</v>
      </c>
      <c r="I104" s="2296">
        <f>1.0788/I101</f>
        <v>0.30822857142857141</v>
      </c>
      <c r="J104" s="2296">
        <f>1.0072/J101</f>
        <v>0.28777142857142862</v>
      </c>
      <c r="K104" s="2296">
        <f>1.0072/K101</f>
        <v>0.28777142857142862</v>
      </c>
      <c r="L104" s="2296">
        <f>1.0072/L101</f>
        <v>0.28777142857142862</v>
      </c>
      <c r="M104" s="2296">
        <f>1.0072/M101</f>
        <v>0.28777142857142862</v>
      </c>
      <c r="N104" s="2296">
        <f>1.0072/N101</f>
        <v>0.28777142857142862</v>
      </c>
    </row>
    <row r="105" spans="1:14">
      <c r="A105" s="3569"/>
      <c r="B105" s="2295">
        <v>4</v>
      </c>
      <c r="C105" s="2296">
        <f>0.9622/C101</f>
        <v>0.27491428571428572</v>
      </c>
      <c r="D105" s="2296">
        <f>0.9622/D101</f>
        <v>0.27491428571428572</v>
      </c>
      <c r="E105" s="2296">
        <f>0.8656/E101</f>
        <v>0.24731428571428574</v>
      </c>
      <c r="F105" s="2296">
        <f>0.8656/F101</f>
        <v>0.24731428571428574</v>
      </c>
      <c r="G105" s="2296">
        <f>0.8656/G101</f>
        <v>0.24731428571428574</v>
      </c>
      <c r="H105" s="2296">
        <f>0.8656/H101</f>
        <v>0.24731428571428574</v>
      </c>
      <c r="I105" s="2296">
        <f>0.8656/I101</f>
        <v>0.24731428571428574</v>
      </c>
      <c r="J105" s="2296">
        <f>0.7525/J101</f>
        <v>0.215</v>
      </c>
      <c r="K105" s="2296">
        <f>0.7525/K101</f>
        <v>0.215</v>
      </c>
      <c r="L105" s="2296">
        <f>0.7525/L101</f>
        <v>0.215</v>
      </c>
      <c r="M105" s="2296">
        <f>0.7525/M101</f>
        <v>0.215</v>
      </c>
      <c r="N105" s="2296">
        <f>0.7525/N101</f>
        <v>0.215</v>
      </c>
    </row>
    <row r="106" spans="1:14">
      <c r="A106" s="3569"/>
      <c r="B106" s="2295">
        <v>5</v>
      </c>
      <c r="C106" s="2296">
        <f>0.8417/C101</f>
        <v>0.24048571428571427</v>
      </c>
      <c r="D106" s="2296">
        <f>0.8417/D101</f>
        <v>0.24048571428571427</v>
      </c>
      <c r="E106" s="2296">
        <f>0.7371/E101</f>
        <v>0.21059999999999998</v>
      </c>
      <c r="F106" s="2296">
        <f>0.7371/F101</f>
        <v>0.21059999999999998</v>
      </c>
      <c r="G106" s="2296">
        <f>0.7371/G101</f>
        <v>0.21059999999999998</v>
      </c>
      <c r="H106" s="2296">
        <f>0.7371/H101</f>
        <v>0.21059999999999998</v>
      </c>
      <c r="I106" s="2296">
        <f>0.7371/I101</f>
        <v>0.21059999999999998</v>
      </c>
      <c r="J106" s="2296">
        <f>0.5659/J101</f>
        <v>0.16168571428571427</v>
      </c>
      <c r="K106" s="2296">
        <f>0.5659/K101</f>
        <v>0.16168571428571427</v>
      </c>
      <c r="L106" s="2296">
        <f>0.5659/L101</f>
        <v>0.16168571428571427</v>
      </c>
      <c r="M106" s="2296">
        <f>0.5659/M101</f>
        <v>0.16168571428571427</v>
      </c>
      <c r="N106" s="2296">
        <f>0.5659/N101</f>
        <v>0.16168571428571427</v>
      </c>
    </row>
    <row r="107" spans="1:14">
      <c r="A107" s="3569"/>
      <c r="B107" s="2295">
        <v>6</v>
      </c>
      <c r="C107" s="2296">
        <f>0.7608/C101</f>
        <v>0.21737142857142858</v>
      </c>
      <c r="D107" s="2296">
        <f>0.7608/D101</f>
        <v>0.21737142857142858</v>
      </c>
      <c r="E107" s="2296">
        <f>0.6482/E101</f>
        <v>0.1852</v>
      </c>
      <c r="F107" s="2296">
        <f>0.6482/F101</f>
        <v>0.1852</v>
      </c>
      <c r="G107" s="2296">
        <f>0.6482/G101</f>
        <v>0.1852</v>
      </c>
      <c r="H107" s="2296">
        <f>0.6482/H101</f>
        <v>0.1852</v>
      </c>
      <c r="I107" s="2296">
        <f>0.6482/I101</f>
        <v>0.1852</v>
      </c>
      <c r="J107" s="2296">
        <f>0.4525/J101</f>
        <v>0.12928571428571428</v>
      </c>
      <c r="K107" s="2296">
        <f>0.4525/K101</f>
        <v>0.12928571428571428</v>
      </c>
      <c r="L107" s="2296">
        <f>0.4525/L101</f>
        <v>0.12928571428571428</v>
      </c>
      <c r="M107" s="2296">
        <f>0.4525/M101</f>
        <v>0.12928571428571428</v>
      </c>
      <c r="N107" s="2296">
        <f>0.4525/N101</f>
        <v>0.12928571428571428</v>
      </c>
    </row>
    <row r="108" spans="1:14">
      <c r="A108" s="3569"/>
      <c r="B108" s="357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0"/>
      <c r="B109" s="3572"/>
      <c r="C109" s="2298">
        <f>(-0.163*(C108^2)-0.59*C108+7617)*(10^(-4))/C101</f>
        <v>0.21762857142857145</v>
      </c>
      <c r="D109" s="2298">
        <f>(-0.163*(D108^2)-0.59*D108+7617)*(10^(-4))/D101</f>
        <v>0.21762857142857145</v>
      </c>
      <c r="E109" s="2298">
        <f>(-0.161*(E108^2)-7.509*E108+6533)*(10^(-4))/E101</f>
        <v>0.18665714285714285</v>
      </c>
      <c r="F109" s="2298">
        <f>(-0.161*(F108^2)-7.509*F108+6533)*(10^(-4))/F101</f>
        <v>0.18665714285714285</v>
      </c>
      <c r="G109" s="2298">
        <f>(-0.161*(G108^2)-7.509*G108+6533)*(10^(-4))/G101</f>
        <v>0.18665714285714285</v>
      </c>
      <c r="H109" s="2298">
        <f>(-0.161*(H108^2)-7.509*H108+6533)*(10^(-4))/H101</f>
        <v>0.18665714285714285</v>
      </c>
      <c r="I109" s="2298">
        <f>(-0.161*(I108^2)-7.509*I108+6533)*(10^(-4))/I101</f>
        <v>0.18665714285714285</v>
      </c>
      <c r="J109" s="2298">
        <f>(-0.214*(J108^2)-21.991*J108+4665)*(10^(-4))/J101</f>
        <v>0.13328571428571429</v>
      </c>
      <c r="K109" s="2298">
        <f>(-0.214*(K108^2)-21.991*K108+4665)*(10^(-4))/K101</f>
        <v>0.13328571428571429</v>
      </c>
      <c r="L109" s="2298">
        <f>(-0.214*(L108^2)-21.991*L108+4665)*(10^(-4))/L101</f>
        <v>0.13328571428571429</v>
      </c>
      <c r="M109" s="2298">
        <f>(-0.214*(M108^2)-21.991*M108+4665)*(10^(-4))/M101</f>
        <v>0.13328571428571429</v>
      </c>
      <c r="N109" s="2298">
        <f>(-0.214*(N108^2)-21.991*N108+4665)*(10^(-4))/N101</f>
        <v>0.13328571428571429</v>
      </c>
    </row>
    <row r="110" spans="1:14">
      <c r="A110" s="3566" t="s">
        <v>2555</v>
      </c>
      <c r="B110" s="3566"/>
      <c r="C110" s="3566"/>
      <c r="D110" s="3566"/>
      <c r="E110" s="3566"/>
      <c r="F110" s="3566"/>
      <c r="G110" s="3566"/>
      <c r="H110" s="3566"/>
      <c r="I110" s="3566"/>
      <c r="J110" s="3566"/>
      <c r="K110" s="2301"/>
      <c r="L110" s="2301"/>
      <c r="M110" s="2301"/>
      <c r="N110" s="2301"/>
    </row>
    <row r="112" spans="1:14" ht="13.5" thickBot="1"/>
    <row r="113" spans="1:13" ht="25.5" thickBot="1">
      <c r="A113" s="824" t="s">
        <v>2556</v>
      </c>
      <c r="B113" s="1178">
        <f>G3</f>
        <v>3.5</v>
      </c>
      <c r="C113" s="825" t="s">
        <v>2557</v>
      </c>
      <c r="D113" s="826">
        <f>SUMPRODUCT((A115:A118=F113)*(B114:M114=H113)*B115:M118)</f>
        <v>0</v>
      </c>
      <c r="E113" s="2137" t="s">
        <v>2390</v>
      </c>
      <c r="F113" s="2303">
        <f>E2</f>
        <v>0</v>
      </c>
      <c r="G113" s="2137" t="s">
        <v>2391</v>
      </c>
      <c r="H113" s="2303">
        <f>G2</f>
        <v>0</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0.90059999999999996</v>
      </c>
      <c r="C115" s="831">
        <f>B115</f>
        <v>0.90059999999999996</v>
      </c>
      <c r="D115" s="831">
        <f>ROUND(0.8331-0.0109*B113,4)</f>
        <v>0.79500000000000004</v>
      </c>
      <c r="E115" s="831">
        <f>D115</f>
        <v>0.79500000000000004</v>
      </c>
      <c r="F115" s="831">
        <f>E115</f>
        <v>0.79500000000000004</v>
      </c>
      <c r="G115" s="831">
        <f>F115</f>
        <v>0.79500000000000004</v>
      </c>
      <c r="H115" s="831">
        <f>G115</f>
        <v>0.79500000000000004</v>
      </c>
      <c r="I115" s="831">
        <f>ROUND(0.689-0.0155*B113,4)</f>
        <v>0.63480000000000003</v>
      </c>
      <c r="J115" s="831">
        <f t="shared" ref="J115:M118" si="33">I115</f>
        <v>0.63480000000000003</v>
      </c>
      <c r="K115" s="831">
        <f t="shared" si="33"/>
        <v>0.63480000000000003</v>
      </c>
      <c r="L115" s="831">
        <f t="shared" si="33"/>
        <v>0.63480000000000003</v>
      </c>
      <c r="M115" s="832">
        <f t="shared" si="33"/>
        <v>0.63480000000000003</v>
      </c>
    </row>
    <row r="116" spans="1:13">
      <c r="A116" s="830" t="s">
        <v>2456</v>
      </c>
      <c r="B116" s="831">
        <f>ROUND(0.949-0.012*B113,4)</f>
        <v>0.90700000000000003</v>
      </c>
      <c r="C116" s="831">
        <f>B116</f>
        <v>0.90700000000000003</v>
      </c>
      <c r="D116" s="831">
        <f>ROUND(0.8567-0.013*B113,4)</f>
        <v>0.81120000000000003</v>
      </c>
      <c r="E116" s="831">
        <f t="shared" ref="E116:H117" si="34">D116</f>
        <v>0.81120000000000003</v>
      </c>
      <c r="F116" s="831">
        <f t="shared" si="34"/>
        <v>0.81120000000000003</v>
      </c>
      <c r="G116" s="831">
        <f t="shared" si="34"/>
        <v>0.81120000000000003</v>
      </c>
      <c r="H116" s="831">
        <f t="shared" si="34"/>
        <v>0.81120000000000003</v>
      </c>
      <c r="I116" s="831">
        <f>ROUND(0.7694-0.014*B113,4)</f>
        <v>0.72040000000000004</v>
      </c>
      <c r="J116" s="831">
        <f t="shared" si="33"/>
        <v>0.72040000000000004</v>
      </c>
      <c r="K116" s="831">
        <f t="shared" si="33"/>
        <v>0.72040000000000004</v>
      </c>
      <c r="L116" s="831">
        <f t="shared" si="33"/>
        <v>0.72040000000000004</v>
      </c>
      <c r="M116" s="832">
        <f t="shared" si="33"/>
        <v>0.72040000000000004</v>
      </c>
    </row>
    <row r="117" spans="1:13">
      <c r="A117" s="830" t="s">
        <v>2457</v>
      </c>
      <c r="B117" s="831">
        <f>ROUND(0.8808-0.006*B113,4)</f>
        <v>0.85980000000000001</v>
      </c>
      <c r="C117" s="831">
        <f>B117</f>
        <v>0.85980000000000001</v>
      </c>
      <c r="D117" s="831">
        <f>ROUND(0.8748-0.008*B113,4)</f>
        <v>0.8468</v>
      </c>
      <c r="E117" s="831">
        <f t="shared" si="34"/>
        <v>0.8468</v>
      </c>
      <c r="F117" s="831">
        <f t="shared" si="34"/>
        <v>0.8468</v>
      </c>
      <c r="G117" s="831">
        <f t="shared" si="34"/>
        <v>0.8468</v>
      </c>
      <c r="H117" s="831">
        <f t="shared" si="34"/>
        <v>0.8468</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2458</v>
      </c>
      <c r="B118" s="833">
        <f>ROUND(0.7275-0.01*B113,4)</f>
        <v>0.6925</v>
      </c>
      <c r="C118" s="833">
        <f>B118</f>
        <v>0.6925</v>
      </c>
      <c r="D118" s="833">
        <f>ROUND(0.7043-0.012*B113,4)</f>
        <v>0.6623</v>
      </c>
      <c r="E118" s="833">
        <f>D118</f>
        <v>0.6623</v>
      </c>
      <c r="F118" s="833">
        <f>E118</f>
        <v>0.6623</v>
      </c>
      <c r="G118" s="833">
        <f>ROUND(0.6299-0.0122*B113,4)</f>
        <v>0.58720000000000006</v>
      </c>
      <c r="H118" s="833">
        <f>G118</f>
        <v>0.58720000000000006</v>
      </c>
      <c r="I118" s="833">
        <f>ROUND(0.5667-0.0136*B113,4)</f>
        <v>0.51910000000000001</v>
      </c>
      <c r="J118" s="833">
        <f t="shared" si="33"/>
        <v>0.51910000000000001</v>
      </c>
      <c r="K118" s="833">
        <f t="shared" si="33"/>
        <v>0.51910000000000001</v>
      </c>
      <c r="L118" s="833">
        <f t="shared" si="33"/>
        <v>0.51910000000000001</v>
      </c>
      <c r="M118" s="834">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588" t="s">
        <v>2952</v>
      </c>
      <c r="B20" s="3583" t="s">
        <v>2953</v>
      </c>
      <c r="C20" s="3211" t="s">
        <v>2954</v>
      </c>
      <c r="D20" s="3212"/>
      <c r="E20" s="3213">
        <v>1</v>
      </c>
      <c r="F20" s="3214" t="s">
        <v>2955</v>
      </c>
      <c r="G20" s="807"/>
      <c r="H20" s="801"/>
      <c r="I20" s="801"/>
    </row>
    <row r="21" spans="1:13" s="808" customFormat="1" ht="19.5" customHeight="1">
      <c r="A21" s="3589"/>
      <c r="B21" s="3582"/>
      <c r="C21" s="805" t="s">
        <v>2956</v>
      </c>
      <c r="D21" s="806"/>
      <c r="E21" s="3215">
        <v>1</v>
      </c>
      <c r="F21" s="3214" t="s">
        <v>2957</v>
      </c>
      <c r="G21" s="807"/>
      <c r="H21" s="801"/>
      <c r="I21" s="801"/>
    </row>
    <row r="22" spans="1:13" s="808" customFormat="1" ht="19.5" customHeight="1">
      <c r="A22" s="3589"/>
      <c r="B22" s="3582"/>
      <c r="C22" s="805" t="s">
        <v>2958</v>
      </c>
      <c r="D22" s="806"/>
      <c r="E22" s="3215">
        <v>0.9</v>
      </c>
      <c r="F22" s="3214" t="s">
        <v>2959</v>
      </c>
      <c r="G22" s="807"/>
      <c r="H22" s="801"/>
      <c r="I22" s="801"/>
    </row>
    <row r="23" spans="1:13" s="808" customFormat="1" ht="19.5" customHeight="1">
      <c r="A23" s="3589"/>
      <c r="B23" s="3582"/>
      <c r="C23" s="805" t="s">
        <v>2960</v>
      </c>
      <c r="D23" s="806"/>
      <c r="E23" s="3215">
        <v>0.9</v>
      </c>
      <c r="F23" s="3214" t="s">
        <v>2961</v>
      </c>
      <c r="G23" s="807"/>
      <c r="H23" s="801"/>
      <c r="I23" s="801"/>
    </row>
    <row r="24" spans="1:13" s="808" customFormat="1" ht="19.5" customHeight="1">
      <c r="A24" s="3589"/>
      <c r="B24" s="3582"/>
      <c r="C24" s="805" t="s">
        <v>2962</v>
      </c>
      <c r="D24" s="806"/>
      <c r="E24" s="3215">
        <v>0.8</v>
      </c>
      <c r="F24" s="3214" t="s">
        <v>2963</v>
      </c>
      <c r="G24" s="807"/>
      <c r="H24" s="801"/>
      <c r="I24" s="801"/>
    </row>
    <row r="25" spans="1:13" s="808" customFormat="1" ht="19.5" customHeight="1" thickBot="1">
      <c r="A25" s="3590"/>
      <c r="B25" s="3584"/>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585" t="s">
        <v>2969</v>
      </c>
      <c r="B27" s="3583" t="s">
        <v>2969</v>
      </c>
      <c r="C27" s="3211" t="s">
        <v>2970</v>
      </c>
      <c r="D27" s="3212"/>
      <c r="E27" s="3213">
        <v>1</v>
      </c>
      <c r="F27" s="3214" t="s">
        <v>2971</v>
      </c>
      <c r="G27" s="807"/>
      <c r="H27" s="801"/>
      <c r="I27" s="801"/>
    </row>
    <row r="28" spans="1:13" s="808" customFormat="1" ht="19.5" customHeight="1">
      <c r="A28" s="3586"/>
      <c r="B28" s="3582"/>
      <c r="C28" s="805" t="s">
        <v>2972</v>
      </c>
      <c r="D28" s="806"/>
      <c r="E28" s="3215">
        <v>1</v>
      </c>
      <c r="F28" s="3214" t="s">
        <v>2973</v>
      </c>
      <c r="G28" s="807"/>
      <c r="H28" s="801"/>
      <c r="I28" s="801"/>
    </row>
    <row r="29" spans="1:13" s="808" customFormat="1" ht="19.5" customHeight="1">
      <c r="A29" s="3586"/>
      <c r="B29" s="3582"/>
      <c r="C29" s="805" t="s">
        <v>2974</v>
      </c>
      <c r="D29" s="806"/>
      <c r="E29" s="3215">
        <v>0.8</v>
      </c>
      <c r="F29" s="3214" t="s">
        <v>2975</v>
      </c>
      <c r="G29" s="807"/>
      <c r="H29" s="801"/>
      <c r="I29" s="801"/>
    </row>
    <row r="30" spans="1:13" s="808" customFormat="1" ht="19.5" customHeight="1">
      <c r="A30" s="3586"/>
      <c r="B30" s="3582"/>
      <c r="C30" s="805" t="s">
        <v>2976</v>
      </c>
      <c r="D30" s="806"/>
      <c r="E30" s="3215">
        <v>0.8</v>
      </c>
      <c r="F30" s="3214" t="s">
        <v>2977</v>
      </c>
      <c r="G30" s="807"/>
      <c r="H30" s="801"/>
      <c r="I30" s="801"/>
    </row>
    <row r="31" spans="1:13" s="808" customFormat="1" ht="19.5" customHeight="1">
      <c r="A31" s="3586"/>
      <c r="B31" s="3582"/>
      <c r="C31" s="805" t="s">
        <v>2978</v>
      </c>
      <c r="D31" s="806"/>
      <c r="E31" s="3215">
        <v>0.8</v>
      </c>
      <c r="F31" s="3214" t="s">
        <v>2979</v>
      </c>
      <c r="G31" s="807"/>
      <c r="H31" s="801"/>
      <c r="I31" s="801"/>
    </row>
    <row r="32" spans="1:13" s="808" customFormat="1" ht="19.5" customHeight="1">
      <c r="A32" s="3586"/>
      <c r="B32" s="3582"/>
      <c r="C32" s="805" t="s">
        <v>2980</v>
      </c>
      <c r="D32" s="806"/>
      <c r="E32" s="3215">
        <v>0.7</v>
      </c>
      <c r="F32" s="3214" t="s">
        <v>2981</v>
      </c>
      <c r="G32" s="807"/>
      <c r="H32" s="801"/>
      <c r="I32" s="801"/>
    </row>
    <row r="33" spans="1:9" s="808" customFormat="1" ht="19.5" customHeight="1">
      <c r="A33" s="3586"/>
      <c r="B33" s="3582"/>
      <c r="C33" s="805" t="s">
        <v>2982</v>
      </c>
      <c r="D33" s="806"/>
      <c r="E33" s="3215">
        <v>0.8</v>
      </c>
      <c r="F33" s="3214" t="s">
        <v>2983</v>
      </c>
      <c r="G33" s="807"/>
      <c r="H33" s="801"/>
      <c r="I33" s="801"/>
    </row>
    <row r="34" spans="1:9" s="808" customFormat="1" ht="19.5" customHeight="1">
      <c r="A34" s="3586"/>
      <c r="B34" s="3582"/>
      <c r="C34" s="805" t="s">
        <v>2984</v>
      </c>
      <c r="D34" s="806"/>
      <c r="E34" s="3215">
        <v>0.6</v>
      </c>
      <c r="F34" s="3214" t="s">
        <v>2985</v>
      </c>
      <c r="G34" s="807"/>
      <c r="H34" s="801"/>
      <c r="I34" s="801"/>
    </row>
    <row r="35" spans="1:9" s="808" customFormat="1" ht="19.5" customHeight="1">
      <c r="A35" s="3586"/>
      <c r="B35" s="3582"/>
      <c r="C35" s="805" t="s">
        <v>2986</v>
      </c>
      <c r="D35" s="806"/>
      <c r="E35" s="3215">
        <v>0.2</v>
      </c>
      <c r="F35" s="3214" t="s">
        <v>2987</v>
      </c>
      <c r="G35" s="807"/>
      <c r="H35" s="801"/>
      <c r="I35" s="801"/>
    </row>
    <row r="36" spans="1:9" s="808" customFormat="1" ht="19.5" customHeight="1">
      <c r="A36" s="3586"/>
      <c r="B36" s="3582"/>
      <c r="C36" s="805" t="s">
        <v>2988</v>
      </c>
      <c r="D36" s="806"/>
      <c r="E36" s="3215">
        <v>0.2</v>
      </c>
      <c r="F36" s="3214" t="s">
        <v>2989</v>
      </c>
      <c r="G36" s="807"/>
      <c r="H36" s="801"/>
      <c r="I36" s="801"/>
    </row>
    <row r="37" spans="1:9" s="808" customFormat="1" ht="19.5" customHeight="1">
      <c r="A37" s="3586"/>
      <c r="B37" s="3580" t="s">
        <v>2990</v>
      </c>
      <c r="C37" s="805" t="s">
        <v>2991</v>
      </c>
      <c r="D37" s="806"/>
      <c r="E37" s="3215">
        <v>0.6</v>
      </c>
      <c r="F37" s="3214" t="s">
        <v>2992</v>
      </c>
      <c r="G37" s="807"/>
      <c r="H37" s="801"/>
      <c r="I37" s="801"/>
    </row>
    <row r="38" spans="1:9" s="808" customFormat="1" ht="19.5" customHeight="1">
      <c r="A38" s="3586"/>
      <c r="B38" s="3582"/>
      <c r="C38" s="805" t="s">
        <v>2993</v>
      </c>
      <c r="D38" s="806"/>
      <c r="E38" s="3215">
        <v>0.6</v>
      </c>
      <c r="F38" s="3214" t="s">
        <v>2994</v>
      </c>
      <c r="G38" s="807"/>
      <c r="H38" s="801"/>
      <c r="I38" s="801"/>
    </row>
    <row r="39" spans="1:9" s="808" customFormat="1" ht="19.5" customHeight="1" thickBot="1">
      <c r="A39" s="3587"/>
      <c r="B39" s="3584"/>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588" t="s">
        <v>3000</v>
      </c>
      <c r="B41" s="3583" t="s">
        <v>3001</v>
      </c>
      <c r="C41" s="3211" t="s">
        <v>3002</v>
      </c>
      <c r="D41" s="3212"/>
      <c r="E41" s="3213">
        <v>1</v>
      </c>
      <c r="F41" s="3214" t="s">
        <v>3003</v>
      </c>
      <c r="G41" s="807"/>
      <c r="H41" s="801"/>
      <c r="I41" s="801"/>
    </row>
    <row r="42" spans="1:9" s="808" customFormat="1" ht="19.5" customHeight="1">
      <c r="A42" s="3589"/>
      <c r="B42" s="3582"/>
      <c r="C42" s="805" t="s">
        <v>3004</v>
      </c>
      <c r="D42" s="806"/>
      <c r="E42" s="3215">
        <v>1</v>
      </c>
      <c r="F42" s="3214" t="s">
        <v>3005</v>
      </c>
      <c r="G42" s="807"/>
      <c r="H42" s="801"/>
      <c r="I42" s="801"/>
    </row>
    <row r="43" spans="1:9" s="808" customFormat="1" ht="19.5" customHeight="1">
      <c r="A43" s="3589"/>
      <c r="B43" s="3581"/>
      <c r="C43" s="805" t="s">
        <v>3006</v>
      </c>
      <c r="D43" s="806"/>
      <c r="E43" s="3215">
        <v>1.5</v>
      </c>
      <c r="F43" s="3214" t="s">
        <v>3007</v>
      </c>
      <c r="G43" s="807"/>
      <c r="H43" s="801"/>
      <c r="I43" s="801"/>
    </row>
    <row r="44" spans="1:9" s="808" customFormat="1" ht="19.5" customHeight="1">
      <c r="A44" s="3589"/>
      <c r="B44" s="3224" t="s">
        <v>2969</v>
      </c>
      <c r="C44" s="805" t="s">
        <v>3008</v>
      </c>
      <c r="D44" s="806"/>
      <c r="E44" s="3215">
        <v>2</v>
      </c>
      <c r="F44" s="3214" t="s">
        <v>3009</v>
      </c>
      <c r="G44" s="807"/>
      <c r="H44" s="801"/>
      <c r="I44" s="801"/>
    </row>
    <row r="45" spans="1:9" s="808" customFormat="1" ht="19.5" customHeight="1">
      <c r="A45" s="3589"/>
      <c r="B45" s="3580" t="s">
        <v>3010</v>
      </c>
      <c r="C45" s="805" t="s">
        <v>3011</v>
      </c>
      <c r="D45" s="806"/>
      <c r="E45" s="3215">
        <v>1</v>
      </c>
      <c r="F45" s="3214" t="s">
        <v>3012</v>
      </c>
      <c r="G45" s="807"/>
      <c r="H45" s="801"/>
      <c r="I45" s="801"/>
    </row>
    <row r="46" spans="1:9" s="808" customFormat="1" ht="19.5" customHeight="1">
      <c r="A46" s="3589"/>
      <c r="B46" s="3582"/>
      <c r="C46" s="805" t="s">
        <v>3013</v>
      </c>
      <c r="D46" s="806"/>
      <c r="E46" s="3215">
        <v>1</v>
      </c>
      <c r="F46" s="3214" t="s">
        <v>3014</v>
      </c>
      <c r="G46" s="807"/>
      <c r="H46" s="801"/>
      <c r="I46" s="801"/>
    </row>
    <row r="47" spans="1:9" s="808" customFormat="1" ht="19.5" customHeight="1">
      <c r="A47" s="3589"/>
      <c r="B47" s="3582"/>
      <c r="C47" s="805" t="s">
        <v>3015</v>
      </c>
      <c r="D47" s="806"/>
      <c r="E47" s="3215">
        <v>1</v>
      </c>
      <c r="F47" s="3214" t="s">
        <v>3016</v>
      </c>
      <c r="G47" s="807"/>
      <c r="H47" s="801"/>
      <c r="I47" s="801"/>
    </row>
    <row r="48" spans="1:9" s="808" customFormat="1" ht="19.5" customHeight="1">
      <c r="A48" s="3589"/>
      <c r="B48" s="3582"/>
      <c r="C48" s="805" t="s">
        <v>3017</v>
      </c>
      <c r="D48" s="806"/>
      <c r="E48" s="3215">
        <v>1</v>
      </c>
      <c r="F48" s="3214" t="s">
        <v>3018</v>
      </c>
      <c r="G48" s="807"/>
      <c r="H48" s="801"/>
      <c r="I48" s="801"/>
    </row>
    <row r="49" spans="1:9" s="808" customFormat="1" ht="19.5" customHeight="1">
      <c r="A49" s="3589"/>
      <c r="B49" s="3582"/>
      <c r="C49" s="805" t="s">
        <v>3019</v>
      </c>
      <c r="D49" s="806"/>
      <c r="E49" s="3215">
        <v>1</v>
      </c>
      <c r="F49" s="3214" t="s">
        <v>3020</v>
      </c>
      <c r="G49" s="807"/>
      <c r="H49" s="801"/>
      <c r="I49" s="801"/>
    </row>
    <row r="50" spans="1:9" s="808" customFormat="1" ht="19.5" customHeight="1">
      <c r="A50" s="3589"/>
      <c r="B50" s="3582"/>
      <c r="C50" s="805" t="s">
        <v>3021</v>
      </c>
      <c r="D50" s="806"/>
      <c r="E50" s="3215">
        <v>1</v>
      </c>
      <c r="F50" s="3214" t="s">
        <v>3022</v>
      </c>
      <c r="G50" s="807"/>
      <c r="H50" s="801"/>
      <c r="I50" s="801"/>
    </row>
    <row r="51" spans="1:9" s="808" customFormat="1" ht="19.5" customHeight="1" thickBot="1">
      <c r="A51" s="3590"/>
      <c r="B51" s="3584"/>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80" t="s">
        <v>3026</v>
      </c>
      <c r="C73" s="3204" t="s">
        <v>3027</v>
      </c>
      <c r="D73" s="3204" t="s">
        <v>3028</v>
      </c>
      <c r="E73" s="3225">
        <v>0.2</v>
      </c>
      <c r="F73" s="3224">
        <v>25</v>
      </c>
    </row>
    <row r="74" spans="1:7" s="801" customFormat="1" ht="24">
      <c r="A74" s="3224">
        <v>2</v>
      </c>
      <c r="B74" s="3582"/>
      <c r="C74" s="3204" t="s">
        <v>3029</v>
      </c>
      <c r="D74" s="3204" t="s">
        <v>3030</v>
      </c>
      <c r="E74" s="3225">
        <v>0.2</v>
      </c>
      <c r="F74" s="3224">
        <v>25</v>
      </c>
    </row>
    <row r="75" spans="1:7" s="801" customFormat="1" ht="24">
      <c r="A75" s="3224">
        <v>3</v>
      </c>
      <c r="B75" s="3582"/>
      <c r="C75" s="3204" t="s">
        <v>3031</v>
      </c>
      <c r="D75" s="3204" t="s">
        <v>3032</v>
      </c>
      <c r="E75" s="3225">
        <v>0.2</v>
      </c>
      <c r="F75" s="3224">
        <v>25</v>
      </c>
    </row>
    <row r="76" spans="1:7" s="801" customFormat="1" ht="13.5">
      <c r="A76" s="3224">
        <v>4</v>
      </c>
      <c r="B76" s="3582"/>
      <c r="C76" s="3204" t="s">
        <v>3033</v>
      </c>
      <c r="D76" s="3204" t="s">
        <v>3034</v>
      </c>
      <c r="E76" s="3225">
        <v>0.15</v>
      </c>
      <c r="F76" s="3224">
        <v>20</v>
      </c>
    </row>
    <row r="77" spans="1:7" s="801" customFormat="1" ht="24">
      <c r="A77" s="3224">
        <v>5</v>
      </c>
      <c r="B77" s="3582"/>
      <c r="C77" s="3204" t="s">
        <v>3035</v>
      </c>
      <c r="D77" s="3204" t="s">
        <v>3036</v>
      </c>
      <c r="E77" s="3225">
        <v>0.15</v>
      </c>
      <c r="F77" s="3224">
        <v>20</v>
      </c>
    </row>
    <row r="78" spans="1:7" s="801" customFormat="1" ht="24">
      <c r="A78" s="3224">
        <v>6</v>
      </c>
      <c r="B78" s="3582"/>
      <c r="C78" s="3204" t="s">
        <v>3037</v>
      </c>
      <c r="D78" s="3204" t="s">
        <v>3038</v>
      </c>
      <c r="E78" s="3225">
        <v>0.15</v>
      </c>
      <c r="F78" s="3224">
        <v>20</v>
      </c>
    </row>
    <row r="79" spans="1:7" s="801" customFormat="1" ht="24">
      <c r="A79" s="3224">
        <v>7</v>
      </c>
      <c r="B79" s="3582"/>
      <c r="C79" s="3204" t="s">
        <v>3039</v>
      </c>
      <c r="D79" s="3204" t="s">
        <v>3040</v>
      </c>
      <c r="E79" s="3225">
        <v>0.15</v>
      </c>
      <c r="F79" s="3224">
        <v>20</v>
      </c>
    </row>
    <row r="80" spans="1:7" s="801" customFormat="1" ht="24">
      <c r="A80" s="3224">
        <v>8</v>
      </c>
      <c r="B80" s="3582"/>
      <c r="C80" s="3204" t="s">
        <v>3041</v>
      </c>
      <c r="D80" s="3204" t="s">
        <v>3042</v>
      </c>
      <c r="E80" s="3225">
        <v>0.1</v>
      </c>
      <c r="F80" s="3224">
        <v>15</v>
      </c>
    </row>
    <row r="81" spans="1:6" s="801" customFormat="1" ht="24">
      <c r="A81" s="3224">
        <v>9</v>
      </c>
      <c r="B81" s="3582"/>
      <c r="C81" s="3204" t="s">
        <v>3043</v>
      </c>
      <c r="D81" s="3204" t="s">
        <v>3044</v>
      </c>
      <c r="E81" s="3225">
        <v>0.1</v>
      </c>
      <c r="F81" s="3224">
        <v>15</v>
      </c>
    </row>
    <row r="82" spans="1:6" s="801" customFormat="1" ht="24">
      <c r="A82" s="3224">
        <v>10</v>
      </c>
      <c r="B82" s="3582"/>
      <c r="C82" s="3204" t="s">
        <v>3045</v>
      </c>
      <c r="D82" s="3204" t="s">
        <v>3046</v>
      </c>
      <c r="E82" s="3225">
        <v>0.1</v>
      </c>
      <c r="F82" s="3224">
        <v>15</v>
      </c>
    </row>
    <row r="83" spans="1:6" s="801" customFormat="1" ht="24">
      <c r="A83" s="3224">
        <v>11</v>
      </c>
      <c r="B83" s="3582"/>
      <c r="C83" s="3204" t="s">
        <v>3047</v>
      </c>
      <c r="D83" s="3204" t="s">
        <v>3048</v>
      </c>
      <c r="E83" s="3225">
        <v>0.1</v>
      </c>
      <c r="F83" s="3224">
        <v>15</v>
      </c>
    </row>
    <row r="84" spans="1:6" s="801" customFormat="1" ht="24">
      <c r="A84" s="3224">
        <v>12</v>
      </c>
      <c r="B84" s="3582"/>
      <c r="C84" s="3204" t="s">
        <v>3049</v>
      </c>
      <c r="D84" s="3204" t="s">
        <v>3050</v>
      </c>
      <c r="E84" s="3225">
        <v>0.1</v>
      </c>
      <c r="F84" s="3224">
        <v>15</v>
      </c>
    </row>
    <row r="85" spans="1:6" s="801" customFormat="1" ht="13.5">
      <c r="A85" s="3224">
        <v>13</v>
      </c>
      <c r="B85" s="3582"/>
      <c r="C85" s="3204" t="s">
        <v>3051</v>
      </c>
      <c r="D85" s="3204" t="s">
        <v>3052</v>
      </c>
      <c r="E85" s="3225">
        <v>0.1</v>
      </c>
      <c r="F85" s="3224">
        <v>15</v>
      </c>
    </row>
    <row r="86" spans="1:6" s="801" customFormat="1" ht="13.5">
      <c r="A86" s="3224">
        <v>14</v>
      </c>
      <c r="B86" s="3582"/>
      <c r="C86" s="3204" t="s">
        <v>3053</v>
      </c>
      <c r="D86" s="3204" t="s">
        <v>3054</v>
      </c>
      <c r="E86" s="3225">
        <v>0.1</v>
      </c>
      <c r="F86" s="3224">
        <v>15</v>
      </c>
    </row>
    <row r="87" spans="1:6" s="801" customFormat="1" ht="13.5">
      <c r="A87" s="3224">
        <v>15</v>
      </c>
      <c r="B87" s="3582"/>
      <c r="C87" s="3204" t="s">
        <v>3055</v>
      </c>
      <c r="D87" s="3204" t="s">
        <v>3056</v>
      </c>
      <c r="E87" s="3225">
        <v>0.1</v>
      </c>
      <c r="F87" s="3224">
        <v>15</v>
      </c>
    </row>
    <row r="88" spans="1:6" s="801" customFormat="1" ht="24">
      <c r="A88" s="3224">
        <v>16</v>
      </c>
      <c r="B88" s="3582"/>
      <c r="C88" s="3204" t="s">
        <v>3057</v>
      </c>
      <c r="D88" s="3204" t="s">
        <v>3058</v>
      </c>
      <c r="E88" s="3225">
        <v>0.1</v>
      </c>
      <c r="F88" s="3224">
        <v>15</v>
      </c>
    </row>
    <row r="89" spans="1:6" s="801" customFormat="1" ht="24">
      <c r="A89" s="3224">
        <v>17</v>
      </c>
      <c r="B89" s="3581"/>
      <c r="C89" s="3204" t="s">
        <v>3059</v>
      </c>
      <c r="D89" s="3204" t="s">
        <v>3060</v>
      </c>
      <c r="E89" s="3225">
        <v>0.1</v>
      </c>
      <c r="F89" s="3224">
        <v>15</v>
      </c>
    </row>
    <row r="90" spans="1:6" s="801" customFormat="1" ht="13.5">
      <c r="A90" s="3224">
        <v>18</v>
      </c>
      <c r="B90" s="3580" t="s">
        <v>3061</v>
      </c>
      <c r="C90" s="3204" t="s">
        <v>3062</v>
      </c>
      <c r="D90" s="3204" t="s">
        <v>3063</v>
      </c>
      <c r="E90" s="3225">
        <v>0.2</v>
      </c>
      <c r="F90" s="3224">
        <v>25</v>
      </c>
    </row>
    <row r="91" spans="1:6" s="801" customFormat="1" ht="24">
      <c r="A91" s="3224">
        <v>19</v>
      </c>
      <c r="B91" s="3582"/>
      <c r="C91" s="3204" t="s">
        <v>3064</v>
      </c>
      <c r="D91" s="3204" t="s">
        <v>3065</v>
      </c>
      <c r="E91" s="3225">
        <v>0.2</v>
      </c>
      <c r="F91" s="3224">
        <v>25</v>
      </c>
    </row>
    <row r="92" spans="1:6" s="801" customFormat="1" ht="13.5">
      <c r="A92" s="3224">
        <v>20</v>
      </c>
      <c r="B92" s="3582"/>
      <c r="C92" s="3204" t="s">
        <v>3066</v>
      </c>
      <c r="D92" s="3204" t="s">
        <v>3067</v>
      </c>
      <c r="E92" s="3225">
        <v>0.15</v>
      </c>
      <c r="F92" s="3224">
        <v>20</v>
      </c>
    </row>
    <row r="93" spans="1:6" s="801" customFormat="1" ht="24">
      <c r="A93" s="3224">
        <v>21</v>
      </c>
      <c r="B93" s="3582"/>
      <c r="C93" s="3204" t="s">
        <v>3068</v>
      </c>
      <c r="D93" s="3204" t="s">
        <v>3069</v>
      </c>
      <c r="E93" s="3225">
        <v>0.15</v>
      </c>
      <c r="F93" s="3224">
        <v>20</v>
      </c>
    </row>
    <row r="94" spans="1:6" s="801" customFormat="1" ht="24">
      <c r="A94" s="3224">
        <v>22</v>
      </c>
      <c r="B94" s="3582"/>
      <c r="C94" s="3204" t="s">
        <v>3070</v>
      </c>
      <c r="D94" s="3204" t="s">
        <v>3071</v>
      </c>
      <c r="E94" s="3225">
        <v>0.15</v>
      </c>
      <c r="F94" s="3224">
        <v>20</v>
      </c>
    </row>
    <row r="95" spans="1:6" s="801" customFormat="1" ht="36">
      <c r="A95" s="3224">
        <v>23</v>
      </c>
      <c r="B95" s="3582"/>
      <c r="C95" s="3204" t="s">
        <v>3072</v>
      </c>
      <c r="D95" s="3204" t="s">
        <v>3073</v>
      </c>
      <c r="E95" s="3225">
        <v>0.15</v>
      </c>
      <c r="F95" s="3224">
        <v>20</v>
      </c>
    </row>
    <row r="96" spans="1:6" s="801" customFormat="1" ht="13.5">
      <c r="A96" s="3224">
        <v>24</v>
      </c>
      <c r="B96" s="3582"/>
      <c r="C96" s="3204" t="s">
        <v>3074</v>
      </c>
      <c r="D96" s="3204" t="s">
        <v>3075</v>
      </c>
      <c r="E96" s="3225">
        <v>0.1</v>
      </c>
      <c r="F96" s="3224">
        <v>15</v>
      </c>
    </row>
    <row r="97" spans="1:6" s="801" customFormat="1" ht="24">
      <c r="A97" s="3224">
        <v>25</v>
      </c>
      <c r="B97" s="3582"/>
      <c r="C97" s="3204" t="s">
        <v>3076</v>
      </c>
      <c r="D97" s="3204" t="s">
        <v>3077</v>
      </c>
      <c r="E97" s="3225">
        <v>0.1</v>
      </c>
      <c r="F97" s="3224">
        <v>15</v>
      </c>
    </row>
    <row r="98" spans="1:6" s="801" customFormat="1" ht="24">
      <c r="A98" s="3224">
        <v>26</v>
      </c>
      <c r="B98" s="3582"/>
      <c r="C98" s="3204" t="s">
        <v>3078</v>
      </c>
      <c r="D98" s="3204" t="s">
        <v>3079</v>
      </c>
      <c r="E98" s="3225">
        <v>0.1</v>
      </c>
      <c r="F98" s="3224">
        <v>15</v>
      </c>
    </row>
    <row r="99" spans="1:6" s="801" customFormat="1" ht="24">
      <c r="A99" s="3224">
        <v>27</v>
      </c>
      <c r="B99" s="3582"/>
      <c r="C99" s="3204" t="s">
        <v>3080</v>
      </c>
      <c r="D99" s="3204" t="s">
        <v>3081</v>
      </c>
      <c r="E99" s="3225">
        <v>0.1</v>
      </c>
      <c r="F99" s="3224">
        <v>15</v>
      </c>
    </row>
    <row r="100" spans="1:6" s="801" customFormat="1" ht="24">
      <c r="A100" s="3224">
        <v>28</v>
      </c>
      <c r="B100" s="3582"/>
      <c r="C100" s="3204" t="s">
        <v>3082</v>
      </c>
      <c r="D100" s="3204" t="s">
        <v>3083</v>
      </c>
      <c r="E100" s="3225">
        <v>0.1</v>
      </c>
      <c r="F100" s="3224">
        <v>15</v>
      </c>
    </row>
    <row r="101" spans="1:6" s="801" customFormat="1" ht="24">
      <c r="A101" s="3224">
        <v>29</v>
      </c>
      <c r="B101" s="3582"/>
      <c r="C101" s="3204" t="s">
        <v>3084</v>
      </c>
      <c r="D101" s="3204" t="s">
        <v>3085</v>
      </c>
      <c r="E101" s="3225">
        <v>0.1</v>
      </c>
      <c r="F101" s="3224">
        <v>15</v>
      </c>
    </row>
    <row r="102" spans="1:6" s="801" customFormat="1" ht="24">
      <c r="A102" s="3224">
        <v>30</v>
      </c>
      <c r="B102" s="3582"/>
      <c r="C102" s="3204" t="s">
        <v>3086</v>
      </c>
      <c r="D102" s="3204" t="s">
        <v>3087</v>
      </c>
      <c r="E102" s="3225">
        <v>0.1</v>
      </c>
      <c r="F102" s="3224">
        <v>15</v>
      </c>
    </row>
    <row r="103" spans="1:6" s="801" customFormat="1" ht="24">
      <c r="A103" s="3224">
        <v>31</v>
      </c>
      <c r="B103" s="3582"/>
      <c r="C103" s="3204" t="s">
        <v>3088</v>
      </c>
      <c r="D103" s="3204" t="s">
        <v>3089</v>
      </c>
      <c r="E103" s="3225">
        <v>0.1</v>
      </c>
      <c r="F103" s="3224">
        <v>15</v>
      </c>
    </row>
    <row r="104" spans="1:6" s="801" customFormat="1" ht="24">
      <c r="A104" s="3224">
        <v>32</v>
      </c>
      <c r="B104" s="3582"/>
      <c r="C104" s="3204" t="s">
        <v>3090</v>
      </c>
      <c r="D104" s="3204" t="s">
        <v>3091</v>
      </c>
      <c r="E104" s="3225">
        <v>0.1</v>
      </c>
      <c r="F104" s="3224">
        <v>15</v>
      </c>
    </row>
    <row r="105" spans="1:6" s="801" customFormat="1" ht="24">
      <c r="A105" s="3224">
        <v>33</v>
      </c>
      <c r="B105" s="3582"/>
      <c r="C105" s="3204" t="s">
        <v>3092</v>
      </c>
      <c r="D105" s="3204" t="s">
        <v>3093</v>
      </c>
      <c r="E105" s="3225">
        <v>0.1</v>
      </c>
      <c r="F105" s="3224">
        <v>15</v>
      </c>
    </row>
    <row r="106" spans="1:6" s="801" customFormat="1" ht="24">
      <c r="A106" s="3224">
        <v>34</v>
      </c>
      <c r="B106" s="3581"/>
      <c r="C106" s="3204" t="s">
        <v>3094</v>
      </c>
      <c r="D106" s="3204" t="s">
        <v>3095</v>
      </c>
      <c r="E106" s="3225">
        <v>0.1</v>
      </c>
      <c r="F106" s="3224">
        <v>15</v>
      </c>
    </row>
    <row r="107" spans="1:6" s="801" customFormat="1" ht="24">
      <c r="A107" s="3224">
        <v>35</v>
      </c>
      <c r="B107" s="3580" t="s">
        <v>3096</v>
      </c>
      <c r="C107" s="3224" t="s">
        <v>3097</v>
      </c>
      <c r="D107" s="3204" t="s">
        <v>3098</v>
      </c>
      <c r="E107" s="3225">
        <v>0.15</v>
      </c>
      <c r="F107" s="3224">
        <v>20</v>
      </c>
    </row>
    <row r="108" spans="1:6" s="801" customFormat="1" ht="24">
      <c r="A108" s="3224">
        <v>36</v>
      </c>
      <c r="B108" s="3582"/>
      <c r="C108" s="3224" t="s">
        <v>3099</v>
      </c>
      <c r="D108" s="3204" t="s">
        <v>3100</v>
      </c>
      <c r="E108" s="3225">
        <v>0.15</v>
      </c>
      <c r="F108" s="3224">
        <v>20</v>
      </c>
    </row>
    <row r="109" spans="1:6" s="801" customFormat="1" ht="24">
      <c r="A109" s="3224">
        <v>37</v>
      </c>
      <c r="B109" s="3582"/>
      <c r="C109" s="3224" t="s">
        <v>3101</v>
      </c>
      <c r="D109" s="3204" t="s">
        <v>3102</v>
      </c>
      <c r="E109" s="3225">
        <v>0.15</v>
      </c>
      <c r="F109" s="3224">
        <v>20</v>
      </c>
    </row>
    <row r="110" spans="1:6" s="801" customFormat="1" ht="13.5">
      <c r="A110" s="3224">
        <v>38</v>
      </c>
      <c r="B110" s="3582"/>
      <c r="C110" s="3224" t="s">
        <v>3103</v>
      </c>
      <c r="D110" s="3204" t="s">
        <v>3104</v>
      </c>
      <c r="E110" s="3225">
        <v>0.1</v>
      </c>
      <c r="F110" s="3224">
        <v>15</v>
      </c>
    </row>
    <row r="111" spans="1:6" s="801" customFormat="1" ht="24">
      <c r="A111" s="3224">
        <v>39</v>
      </c>
      <c r="B111" s="3582"/>
      <c r="C111" s="3224" t="s">
        <v>3105</v>
      </c>
      <c r="D111" s="3204" t="s">
        <v>3106</v>
      </c>
      <c r="E111" s="3225">
        <v>0.1</v>
      </c>
      <c r="F111" s="3224">
        <v>15</v>
      </c>
    </row>
    <row r="112" spans="1:6" s="801" customFormat="1" ht="24">
      <c r="A112" s="3224">
        <v>40</v>
      </c>
      <c r="B112" s="3581"/>
      <c r="C112" s="3224" t="s">
        <v>3107</v>
      </c>
      <c r="D112" s="3204" t="s">
        <v>3108</v>
      </c>
      <c r="E112" s="3225">
        <v>0.1</v>
      </c>
      <c r="F112" s="3224">
        <v>15</v>
      </c>
    </row>
    <row r="113" spans="1:6" s="801" customFormat="1" ht="24">
      <c r="A113" s="3224">
        <v>41</v>
      </c>
      <c r="B113" s="3579" t="s">
        <v>3109</v>
      </c>
      <c r="C113" s="3224" t="s">
        <v>3110</v>
      </c>
      <c r="D113" s="3204" t="s">
        <v>3111</v>
      </c>
      <c r="E113" s="3225">
        <v>0.1</v>
      </c>
      <c r="F113" s="3224">
        <v>15</v>
      </c>
    </row>
    <row r="114" spans="1:6" s="801" customFormat="1" ht="13.5">
      <c r="A114" s="3224">
        <v>42</v>
      </c>
      <c r="B114" s="3579"/>
      <c r="C114" s="3224" t="s">
        <v>3112</v>
      </c>
      <c r="D114" s="3204" t="s">
        <v>3113</v>
      </c>
      <c r="E114" s="3225">
        <v>0.1</v>
      </c>
      <c r="F114" s="3224">
        <v>15</v>
      </c>
    </row>
    <row r="115" spans="1:6" s="801" customFormat="1" ht="24">
      <c r="A115" s="3224">
        <v>43</v>
      </c>
      <c r="B115" s="3579"/>
      <c r="C115" s="3224" t="s">
        <v>3114</v>
      </c>
      <c r="D115" s="3204" t="s">
        <v>3115</v>
      </c>
      <c r="E115" s="3225">
        <v>0.1</v>
      </c>
      <c r="F115" s="3224">
        <v>15</v>
      </c>
    </row>
    <row r="116" spans="1:6" s="801" customFormat="1" ht="24">
      <c r="A116" s="3224">
        <v>44</v>
      </c>
      <c r="B116" s="3580" t="s">
        <v>3116</v>
      </c>
      <c r="C116" s="3224" t="s">
        <v>3117</v>
      </c>
      <c r="D116" s="3204" t="s">
        <v>3118</v>
      </c>
      <c r="E116" s="3225">
        <v>0.1</v>
      </c>
      <c r="F116" s="3224">
        <v>15</v>
      </c>
    </row>
    <row r="117" spans="1:6" s="801" customFormat="1" ht="24">
      <c r="A117" s="3224">
        <v>45</v>
      </c>
      <c r="B117" s="3581"/>
      <c r="C117" s="3204" t="s">
        <v>3119</v>
      </c>
      <c r="D117" s="3204" t="s">
        <v>3120</v>
      </c>
      <c r="E117" s="3225">
        <v>0.1</v>
      </c>
      <c r="F117" s="3224">
        <v>15</v>
      </c>
    </row>
    <row r="118" spans="1:6" s="801" customFormat="1" ht="24">
      <c r="A118" s="3224">
        <v>46</v>
      </c>
      <c r="B118" s="3580" t="s">
        <v>3121</v>
      </c>
      <c r="C118" s="3224" t="s">
        <v>3122</v>
      </c>
      <c r="D118" s="3204" t="s">
        <v>3123</v>
      </c>
      <c r="E118" s="3225">
        <v>0.1</v>
      </c>
      <c r="F118" s="3224">
        <v>15</v>
      </c>
    </row>
    <row r="119" spans="1:6" s="801" customFormat="1" ht="24">
      <c r="A119" s="3224">
        <v>47</v>
      </c>
      <c r="B119" s="3581"/>
      <c r="C119" s="3224" t="s">
        <v>3124</v>
      </c>
      <c r="D119" s="3204" t="s">
        <v>3125</v>
      </c>
      <c r="E119" s="3225">
        <v>0.1</v>
      </c>
      <c r="F119" s="3224">
        <v>15</v>
      </c>
    </row>
    <row r="120" spans="1:6" s="801" customFormat="1" ht="24">
      <c r="A120" s="3224">
        <v>48</v>
      </c>
      <c r="B120" s="3580" t="s">
        <v>3126</v>
      </c>
      <c r="C120" s="3224" t="s">
        <v>3127</v>
      </c>
      <c r="D120" s="3204" t="s">
        <v>3128</v>
      </c>
      <c r="E120" s="3225">
        <v>0.1</v>
      </c>
      <c r="F120" s="3224">
        <v>15</v>
      </c>
    </row>
    <row r="121" spans="1:6" s="801" customFormat="1" ht="13.5">
      <c r="A121" s="3224">
        <v>49</v>
      </c>
      <c r="B121" s="3581"/>
      <c r="C121" s="3224" t="s">
        <v>3129</v>
      </c>
      <c r="D121" s="3204" t="s">
        <v>3130</v>
      </c>
      <c r="E121" s="3225">
        <v>0.1</v>
      </c>
      <c r="F121" s="3224">
        <v>15</v>
      </c>
    </row>
    <row r="122" spans="1:6" s="801" customFormat="1" ht="24">
      <c r="A122" s="3224">
        <v>50</v>
      </c>
      <c r="B122" s="3579" t="s">
        <v>3131</v>
      </c>
      <c r="C122" s="3224" t="s">
        <v>3132</v>
      </c>
      <c r="D122" s="3204" t="s">
        <v>3133</v>
      </c>
      <c r="E122" s="3225">
        <v>0.1</v>
      </c>
      <c r="F122" s="3224">
        <v>15</v>
      </c>
    </row>
    <row r="123" spans="1:6" s="801" customFormat="1" ht="24">
      <c r="A123" s="3224">
        <v>51</v>
      </c>
      <c r="B123" s="3579"/>
      <c r="C123" s="3224" t="s">
        <v>3134</v>
      </c>
      <c r="D123" s="3204" t="s">
        <v>3135</v>
      </c>
      <c r="E123" s="3225">
        <v>0.1</v>
      </c>
      <c r="F123" s="3224">
        <v>15</v>
      </c>
    </row>
    <row r="124" spans="1:6" s="801" customFormat="1" ht="24">
      <c r="A124" s="3224">
        <v>52</v>
      </c>
      <c r="B124" s="3579" t="s">
        <v>3136</v>
      </c>
      <c r="C124" s="3224" t="s">
        <v>3137</v>
      </c>
      <c r="D124" s="3204" t="s">
        <v>3138</v>
      </c>
      <c r="E124" s="3225">
        <v>0.1</v>
      </c>
      <c r="F124" s="3224">
        <v>15</v>
      </c>
    </row>
    <row r="125" spans="1:6" s="801" customFormat="1" ht="24">
      <c r="A125" s="3224">
        <v>53</v>
      </c>
      <c r="B125" s="3579"/>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79" t="s">
        <v>3144</v>
      </c>
      <c r="C127" s="3224" t="s">
        <v>3145</v>
      </c>
      <c r="D127" s="3204" t="s">
        <v>3146</v>
      </c>
      <c r="E127" s="3225">
        <v>0.1</v>
      </c>
      <c r="F127" s="3224">
        <v>15</v>
      </c>
    </row>
    <row r="128" spans="1:6" ht="13.5">
      <c r="A128" s="3224">
        <v>56</v>
      </c>
      <c r="B128" s="3579"/>
      <c r="C128" s="3224" t="s">
        <v>3147</v>
      </c>
      <c r="D128" s="3204" t="s">
        <v>3148</v>
      </c>
      <c r="E128" s="3225">
        <v>0.1</v>
      </c>
      <c r="F128" s="3224">
        <v>15</v>
      </c>
    </row>
    <row r="129" spans="1:6" ht="24">
      <c r="A129" s="3224">
        <v>57</v>
      </c>
      <c r="B129" s="3579"/>
      <c r="C129" s="3224" t="s">
        <v>3149</v>
      </c>
      <c r="D129" s="3204" t="s">
        <v>3150</v>
      </c>
      <c r="E129" s="3225">
        <v>0.1</v>
      </c>
      <c r="F129" s="3224">
        <v>15</v>
      </c>
    </row>
    <row r="130" spans="1:6" ht="24">
      <c r="A130" s="3224">
        <v>58</v>
      </c>
      <c r="B130" s="3579" t="s">
        <v>3151</v>
      </c>
      <c r="C130" s="3224" t="s">
        <v>3152</v>
      </c>
      <c r="D130" s="3204" t="s">
        <v>3153</v>
      </c>
      <c r="E130" s="3225">
        <v>0.1</v>
      </c>
      <c r="F130" s="3224">
        <v>15</v>
      </c>
    </row>
    <row r="131" spans="1:6" ht="24">
      <c r="A131" s="3224">
        <v>59</v>
      </c>
      <c r="B131" s="3579"/>
      <c r="C131" s="3224" t="s">
        <v>3154</v>
      </c>
      <c r="D131" s="3204" t="s">
        <v>3155</v>
      </c>
      <c r="E131" s="3225">
        <v>0.1</v>
      </c>
      <c r="F131" s="3224">
        <v>15</v>
      </c>
    </row>
    <row r="132" spans="1:6" ht="24">
      <c r="A132" s="3224">
        <v>60</v>
      </c>
      <c r="B132" s="3580" t="s">
        <v>3156</v>
      </c>
      <c r="C132" s="3224" t="s">
        <v>3157</v>
      </c>
      <c r="D132" s="3204" t="s">
        <v>3158</v>
      </c>
      <c r="E132" s="3225">
        <v>0.1</v>
      </c>
      <c r="F132" s="3224">
        <v>15</v>
      </c>
    </row>
    <row r="133" spans="1:6" ht="24">
      <c r="A133" s="3224">
        <v>61</v>
      </c>
      <c r="B133" s="3581"/>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79" t="s">
        <v>3164</v>
      </c>
      <c r="C135" s="3224" t="s">
        <v>3165</v>
      </c>
      <c r="D135" s="3204" t="s">
        <v>3166</v>
      </c>
      <c r="E135" s="3225">
        <v>0.1</v>
      </c>
      <c r="F135" s="3224">
        <v>15</v>
      </c>
    </row>
    <row r="136" spans="1:6" ht="13.5">
      <c r="A136" s="3224">
        <v>64</v>
      </c>
      <c r="B136" s="3579"/>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594" t="s">
        <v>2581</v>
      </c>
      <c r="D1" s="3595"/>
      <c r="E1" s="3595"/>
      <c r="F1" s="3595"/>
      <c r="G1" s="3595"/>
      <c r="H1" s="3595"/>
      <c r="I1" s="3595"/>
      <c r="J1" s="3595"/>
      <c r="K1" s="3595"/>
      <c r="L1" s="3595"/>
      <c r="M1" s="3595"/>
      <c r="N1" s="3595"/>
      <c r="O1" s="3595"/>
      <c r="P1" s="3595"/>
      <c r="Q1" s="3595"/>
      <c r="R1" s="3595"/>
      <c r="S1" s="359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28"/>
      <c r="B4" s="3269" t="s">
        <v>1354</v>
      </c>
      <c r="C4" s="3269"/>
      <c r="D4" s="3269"/>
      <c r="E4" s="1628"/>
    </row>
    <row r="5" spans="1:5" ht="16.5" thickTop="1">
      <c r="A5" s="1626"/>
      <c r="B5" s="3267" t="s">
        <v>1346</v>
      </c>
      <c r="C5" s="1629" t="s">
        <v>1347</v>
      </c>
      <c r="D5" s="940">
        <f ca="1">结果表!H101</f>
        <v>131447</v>
      </c>
      <c r="E5" s="1626"/>
    </row>
    <row r="6" spans="1:5" ht="15.75">
      <c r="A6" s="1626"/>
      <c r="B6" s="3267"/>
      <c r="C6" s="1629" t="s">
        <v>1348</v>
      </c>
      <c r="D6" s="940" t="str">
        <f ca="1">NUMBERSTRING(INT(D5*10000),2)&amp;"元整"</f>
        <v>壹拾叁亿壹仟肆佰肆拾柒万元整</v>
      </c>
      <c r="E6" s="1626"/>
    </row>
    <row r="7" spans="1:5" ht="15.75">
      <c r="A7" s="1626"/>
      <c r="B7" s="3272"/>
      <c r="C7" s="1630" t="s">
        <v>1349</v>
      </c>
      <c r="D7" s="941">
        <f ca="1">结果表!H102</f>
        <v>13707</v>
      </c>
      <c r="E7" s="1626"/>
    </row>
    <row r="8" spans="1:5" ht="15.75">
      <c r="A8" s="1626"/>
      <c r="B8" s="3273" t="str">
        <f>结果表!E103</f>
        <v>2.估价师知悉的法定优先受偿款</v>
      </c>
      <c r="C8" s="1631" t="s">
        <v>1350</v>
      </c>
      <c r="D8" s="941">
        <f>结果表!H103</f>
        <v>0</v>
      </c>
      <c r="E8" s="1626"/>
    </row>
    <row r="9" spans="1:5" ht="15.75">
      <c r="A9" s="1626"/>
      <c r="B9" s="327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6" t="str">
        <f>结果表!E107</f>
        <v>3.房地产抵押价值</v>
      </c>
      <c r="C13" s="1634" t="s">
        <v>1347</v>
      </c>
      <c r="D13" s="943">
        <f ca="1">结果表!H107</f>
        <v>131447</v>
      </c>
      <c r="E13" s="1626"/>
    </row>
    <row r="14" spans="1:5" ht="15.75">
      <c r="A14" s="1626"/>
      <c r="B14" s="3267"/>
      <c r="C14" s="1629" t="s">
        <v>1348</v>
      </c>
      <c r="D14" s="940" t="str">
        <f ca="1">NUMBERSTRING(INT(D13*10000),2)&amp;"元整"</f>
        <v>壹拾叁亿壹仟肆佰肆拾柒万元整</v>
      </c>
      <c r="E14" s="1626"/>
    </row>
    <row r="15" spans="1:5" ht="15">
      <c r="A15" s="1626"/>
      <c r="B15" s="3272"/>
      <c r="C15" s="1630" t="s">
        <v>1358</v>
      </c>
      <c r="D15" s="949">
        <f ca="1">结果表!H108</f>
        <v>13707</v>
      </c>
      <c r="E15" s="1626"/>
    </row>
    <row r="16" spans="1:5" ht="15">
      <c r="A16" s="1626"/>
      <c r="B16" s="3273" t="str">
        <f>结果表!E109</f>
        <v>——</v>
      </c>
      <c r="C16" s="1634" t="s">
        <v>1359</v>
      </c>
      <c r="D16" s="1635" t="str">
        <f>结果表!H109</f>
        <v>——</v>
      </c>
      <c r="E16" s="1626"/>
    </row>
    <row r="17" spans="1:5" ht="15.75">
      <c r="A17" s="1626"/>
      <c r="B17" s="3274"/>
      <c r="C17" s="1629" t="s">
        <v>1360</v>
      </c>
      <c r="D17" s="940" t="e">
        <f>NUMBERSTRING(INT(D16*10000),2)&amp;"元整"</f>
        <v>#VALUE!</v>
      </c>
      <c r="E17" s="1626"/>
    </row>
    <row r="18" spans="1:5" ht="15">
      <c r="A18" s="1626"/>
      <c r="B18" s="3275"/>
      <c r="C18" s="1630" t="s">
        <v>1349</v>
      </c>
      <c r="D18" s="949" t="str">
        <f>结果表!H110</f>
        <v>——</v>
      </c>
      <c r="E18" s="1626"/>
    </row>
    <row r="19" spans="1:5" ht="15.75">
      <c r="A19" s="1626"/>
      <c r="B19" s="3266" t="str">
        <f>结果表!E111</f>
        <v>——</v>
      </c>
      <c r="C19" s="1634" t="s">
        <v>1347</v>
      </c>
      <c r="D19" s="941" t="str">
        <f>结果表!H111</f>
        <v>——</v>
      </c>
      <c r="E19" s="1626"/>
    </row>
    <row r="20" spans="1:5" ht="15.75">
      <c r="A20" s="1626"/>
      <c r="B20" s="3267"/>
      <c r="C20" s="1629" t="s">
        <v>1360</v>
      </c>
      <c r="D20" s="940" t="e">
        <f>NUMBERSTRING(INT(D19*10000),2)&amp;"元整"</f>
        <v>#VALUE!</v>
      </c>
      <c r="E20" s="1626"/>
    </row>
    <row r="21" spans="1:5" ht="15.75" thickBot="1">
      <c r="A21" s="1626"/>
      <c r="B21" s="326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53978</v>
      </c>
      <c r="C2" s="2" t="s">
        <v>133</v>
      </c>
      <c r="D2" s="205"/>
      <c r="E2" s="205"/>
      <c r="F2" s="205"/>
      <c r="G2" s="205"/>
    </row>
    <row r="3" spans="1:7" s="206" customFormat="1" ht="18" customHeight="1" thickBot="1">
      <c r="A3" s="209" t="s">
        <v>85</v>
      </c>
      <c r="B3" s="210">
        <f ca="1">ROUND(B2*10000/'数据-汇总表'!E3,0)</f>
        <v>5629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1918</v>
      </c>
      <c r="D10" s="935">
        <f>'数据-汇总表'!E6</f>
        <v>95896.06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1918</v>
      </c>
      <c r="D19" s="939">
        <f>'数据-汇总表'!E3</f>
        <v>95896.06</v>
      </c>
      <c r="E19" s="217">
        <f>'数据-取费表'!B31</f>
        <v>200</v>
      </c>
      <c r="F19" s="237"/>
      <c r="G19" s="1" t="s">
        <v>861</v>
      </c>
    </row>
    <row r="20" spans="1:7" s="220" customFormat="1" ht="13.5" customHeight="1">
      <c r="A20" s="866" t="s">
        <v>844</v>
      </c>
      <c r="B20" s="216" t="s">
        <v>104</v>
      </c>
      <c r="C20" s="238">
        <f>ROUND((C5+C19)*F20,0)</f>
        <v>451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1431</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121</v>
      </c>
      <c r="D24" s="244"/>
      <c r="E24" s="244"/>
      <c r="F24" s="245"/>
      <c r="G24" s="246" t="s">
        <v>109</v>
      </c>
    </row>
    <row r="25" spans="1:7" s="220" customFormat="1" ht="24">
      <c r="A25" s="869" t="s">
        <v>612</v>
      </c>
      <c r="B25" s="221" t="s">
        <v>845</v>
      </c>
      <c r="C25" s="1218">
        <f ca="1">ROUND(IF('数据-取费表'!B22&lt;=1,C20*F22*'数据-取费表'!B23/2,C20*(POWER((1+F22),'数据-取费表'!B23/2)-1)),0)</f>
        <v>14</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1494</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1494</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27983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18500</v>
      </c>
      <c r="D34" s="223"/>
      <c r="E34" s="226"/>
      <c r="F34" s="263">
        <f>IF('数据-取费表'!B24=0,1,'数据-取费表'!N16)</f>
        <v>0.5</v>
      </c>
      <c r="G34" s="225" t="s">
        <v>116</v>
      </c>
    </row>
    <row r="35" spans="1:7" ht="13.5" customHeight="1">
      <c r="A35" s="869" t="s">
        <v>615</v>
      </c>
      <c r="B35" s="221" t="s">
        <v>60</v>
      </c>
      <c r="C35" s="226">
        <f>ROUND(C34*F35,0)</f>
        <v>555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959</v>
      </c>
      <c r="D37" s="223">
        <f>'数据-汇总表'!E3</f>
        <v>95896.06</v>
      </c>
      <c r="E37" s="255">
        <f>'数据-取费表'!B35</f>
        <v>200</v>
      </c>
      <c r="F37" s="265"/>
      <c r="G37" s="267" t="s">
        <v>119</v>
      </c>
    </row>
    <row r="38" spans="1:7" ht="13.5" customHeight="1">
      <c r="A38" s="869" t="s">
        <v>618</v>
      </c>
      <c r="B38" s="221" t="s">
        <v>63</v>
      </c>
      <c r="C38" s="226">
        <f>ROUND(C34*F38,0)</f>
        <v>278</v>
      </c>
      <c r="D38" s="226"/>
      <c r="E38" s="226"/>
      <c r="F38" s="265">
        <f>'数据-取费表'!B36</f>
        <v>1.4999999999999999E-2</v>
      </c>
      <c r="G38" s="225" t="s">
        <v>117</v>
      </c>
    </row>
    <row r="39" spans="1:7" s="220" customFormat="1" ht="13.5" customHeight="1">
      <c r="A39" s="866" t="s">
        <v>602</v>
      </c>
      <c r="B39" s="216" t="s">
        <v>104</v>
      </c>
      <c r="C39" s="238">
        <f>ROUND(C33*F20,0)</f>
        <v>406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641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628</v>
      </c>
      <c r="D42" s="244"/>
      <c r="E42" s="244"/>
      <c r="F42" s="245"/>
      <c r="G42" s="3454" t="s">
        <v>121</v>
      </c>
    </row>
    <row r="43" spans="1:7" ht="13.5" customHeight="1">
      <c r="A43" s="869" t="s">
        <v>611</v>
      </c>
      <c r="B43" s="221" t="s">
        <v>851</v>
      </c>
      <c r="C43" s="244">
        <f ca="1">ROUND(IF('数据-取费表'!B22&lt;=1,C39*F22*'数据-取费表'!B21/2,C39*(POWER((1+F22),'数据-取费表'!B21/2)-1)),0)</f>
        <v>13</v>
      </c>
      <c r="D43" s="244"/>
      <c r="E43" s="244"/>
      <c r="F43" s="245"/>
      <c r="G43" s="3455"/>
    </row>
    <row r="44" spans="1:7" ht="13.5" customHeight="1">
      <c r="A44" s="869" t="s">
        <v>612</v>
      </c>
      <c r="B44" s="221" t="s">
        <v>853</v>
      </c>
      <c r="C44" s="244">
        <f ca="1">ROUND(IF('数据-取费表'!B22&lt;=1,C40*F22*'数据-取费表'!B21/2,C40*(POWER((1+F22),'数据-取费表'!B21/2)-1)),4)</f>
        <v>5.9999999999999995E-4</v>
      </c>
      <c r="D44" s="244"/>
      <c r="E44" s="244"/>
      <c r="F44" s="245"/>
      <c r="G44" s="3456"/>
    </row>
    <row r="45" spans="1:7" s="220" customFormat="1" ht="13.5" customHeight="1">
      <c r="A45" s="866" t="s">
        <v>605</v>
      </c>
      <c r="B45" s="250" t="s">
        <v>112</v>
      </c>
      <c r="C45" s="251">
        <f>C46</f>
        <v>2691</v>
      </c>
      <c r="D45" s="241">
        <f>C47</f>
        <v>2.5999999999999999E-3</v>
      </c>
      <c r="E45" s="242" t="s">
        <v>129</v>
      </c>
      <c r="F45" s="252"/>
      <c r="G45" s="253" t="s">
        <v>859</v>
      </c>
    </row>
    <row r="46" spans="1:7" s="220" customFormat="1" ht="13.5" customHeight="1">
      <c r="A46" s="869" t="s">
        <v>613</v>
      </c>
      <c r="B46" s="254" t="s">
        <v>852</v>
      </c>
      <c r="C46" s="255">
        <f>ROUND((C33+C39)*F27,0)</f>
        <v>2691</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25995</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25995</v>
      </c>
      <c r="D51" s="238"/>
      <c r="E51" s="238"/>
      <c r="F51" s="270"/>
      <c r="G51" s="240" t="s">
        <v>64</v>
      </c>
    </row>
    <row r="52" spans="1:7" s="214" customFormat="1" ht="16.5" thickBot="1">
      <c r="A52" s="271" t="s">
        <v>65</v>
      </c>
      <c r="B52" s="272"/>
      <c r="C52" s="273">
        <f ca="1">C31+C51</f>
        <v>53978</v>
      </c>
      <c r="D52" s="272"/>
      <c r="E52" s="272"/>
      <c r="F52" s="272"/>
      <c r="G52" s="274"/>
    </row>
    <row r="55" spans="1:7" ht="15">
      <c r="B55" s="276" t="s">
        <v>66</v>
      </c>
      <c r="C55" s="277"/>
    </row>
    <row r="56" spans="1:7">
      <c r="B56" s="279" t="s">
        <v>67</v>
      </c>
      <c r="C56" s="280">
        <f ca="1">ROUND(C51/C52,3)</f>
        <v>0.48199999999999998</v>
      </c>
    </row>
    <row r="57" spans="1:7">
      <c r="B57" s="279" t="s">
        <v>68</v>
      </c>
      <c r="C57" s="281">
        <f ca="1">1-C56</f>
        <v>0.51800000000000002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658</v>
      </c>
      <c r="B1" s="359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D1" workbookViewId="0">
      <selection activeCell="J13" sqref="J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44865</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2812</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G1" zoomScale="80" zoomScaleNormal="80" workbookViewId="0">
      <selection activeCell="G7" sqref="G7"/>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6" t="s">
        <v>877</v>
      </c>
      <c r="C1" s="3606"/>
      <c r="D1" s="3606"/>
      <c r="E1" s="3606"/>
      <c r="F1" s="3606"/>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0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0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0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0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0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2">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3">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2">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3">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F27" sqref="F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3322</v>
      </c>
      <c r="E1" s="1497" t="s">
        <v>1111</v>
      </c>
      <c r="F1" s="1174">
        <f ca="1">J53</f>
        <v>29.05</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102812</v>
      </c>
      <c r="C2" s="1521" t="s">
        <v>1240</v>
      </c>
      <c r="D2" s="1521"/>
      <c r="E2" s="1522"/>
      <c r="F2" s="1523"/>
      <c r="G2" s="2883"/>
      <c r="H2" s="2872"/>
      <c r="I2" s="2872"/>
      <c r="J2" s="2872"/>
      <c r="K2" s="2873"/>
      <c r="L2" s="2872"/>
      <c r="M2" s="2872"/>
    </row>
    <row r="3" spans="1:37" ht="18" customHeight="1" thickBot="1">
      <c r="A3" s="1524" t="s">
        <v>1241</v>
      </c>
      <c r="B3" s="1525">
        <f ca="1">IF(ISERROR(B2*10000/F43),0,ROUND(B2*10000/F43,0))</f>
        <v>26483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8172</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8162</v>
      </c>
      <c r="D6" s="160" t="s">
        <v>2606</v>
      </c>
      <c r="E6" s="308" t="s">
        <v>1129</v>
      </c>
      <c r="F6" s="309">
        <f ca="1">INDIRECT("'数据-取费表'!u"&amp;$G$1)</f>
        <v>6.4</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38821.839999999997</v>
      </c>
      <c r="G7" s="1518"/>
      <c r="H7" s="310"/>
      <c r="I7" s="3502"/>
      <c r="J7" s="312"/>
      <c r="K7" s="313"/>
      <c r="L7" s="308" t="s">
        <v>1130</v>
      </c>
      <c r="M7" s="309">
        <f ca="1">F7</f>
        <v>38821.839999999997</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2613</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24682</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16804</v>
      </c>
      <c r="D14" s="3235" t="s">
        <v>1142</v>
      </c>
      <c r="E14" s="3234"/>
      <c r="F14" s="325"/>
      <c r="G14" s="1518"/>
      <c r="H14" s="1094" t="s">
        <v>822</v>
      </c>
      <c r="I14" s="308" t="s">
        <v>1143</v>
      </c>
      <c r="J14" s="24">
        <f ca="1">C29</f>
        <v>24682</v>
      </c>
      <c r="K14" s="3231"/>
      <c r="L14" s="897"/>
      <c r="M14" s="898"/>
    </row>
    <row r="15" spans="1:37" s="1531" customFormat="1" ht="18" customHeight="1" thickBot="1">
      <c r="A15" s="1094" t="s">
        <v>823</v>
      </c>
      <c r="B15" s="308" t="s">
        <v>1144</v>
      </c>
      <c r="C15" s="24">
        <f ca="1">ROUND(C14*F15,0)</f>
        <v>504</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455</v>
      </c>
      <c r="K16" s="1200" t="s">
        <v>1149</v>
      </c>
      <c r="L16" s="3237"/>
      <c r="M16" s="1185"/>
    </row>
    <row r="17" spans="1:37" s="1531" customFormat="1" ht="18" customHeight="1">
      <c r="A17" s="1094" t="s">
        <v>1114</v>
      </c>
      <c r="B17" s="308" t="s">
        <v>1150</v>
      </c>
      <c r="C17" s="24">
        <f ca="1">ROUND(F17*(F43+INDIRECT("'数据-取费表'!S"&amp;$G$1))/10000,0)</f>
        <v>861</v>
      </c>
      <c r="D17" s="308" t="s">
        <v>1151</v>
      </c>
      <c r="E17" s="308" t="s">
        <v>1152</v>
      </c>
      <c r="F17" s="26">
        <f>'数据-取费表'!B35</f>
        <v>200</v>
      </c>
      <c r="G17" s="1530"/>
      <c r="H17" s="1094" t="s">
        <v>822</v>
      </c>
      <c r="I17" s="308" t="s">
        <v>1153</v>
      </c>
      <c r="J17" s="2483">
        <f ca="1">ROUND(IF(AND(项目基本情况!B11="自然人",项目基本情况!B10="北京市"),J6*M17/(1+'数据-取费表'!C42),J18+J19+J20),0)</f>
        <v>208</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252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18421</v>
      </c>
      <c r="D19" s="136" t="s">
        <v>1160</v>
      </c>
      <c r="E19" s="3239"/>
      <c r="F19" s="26"/>
      <c r="G19" s="1518"/>
      <c r="H19" s="1094" t="s">
        <v>823</v>
      </c>
      <c r="I19" s="308" t="s">
        <v>1161</v>
      </c>
      <c r="J19" s="24">
        <f ca="1">IF(K19="按租金收入计税",ROUND(J6*M19/(1+'数据-取费表'!C42),2),ROUND(C29*M19*0.7,2))</f>
        <v>207.33</v>
      </c>
      <c r="K19" s="1504" t="s">
        <v>1162</v>
      </c>
      <c r="L19" s="308" t="s">
        <v>1146</v>
      </c>
      <c r="M19" s="328">
        <f>IF(K19="按租金收入计税",'数据-取费表'!B51,'数据-取费表'!B50)</f>
        <v>1.2E-2</v>
      </c>
    </row>
    <row r="20" spans="1:37" s="1531" customFormat="1" ht="18" customHeight="1">
      <c r="A20" s="1094" t="s">
        <v>826</v>
      </c>
      <c r="B20" s="308" t="s">
        <v>1163</v>
      </c>
      <c r="C20" s="24">
        <f ca="1">ROUND(C19*F20,0)</f>
        <v>368</v>
      </c>
      <c r="D20" s="329" t="s">
        <v>1164</v>
      </c>
      <c r="E20" s="308" t="s">
        <v>1146</v>
      </c>
      <c r="F20" s="328">
        <f>'数据-取费表'!B37</f>
        <v>0.02</v>
      </c>
      <c r="G20" s="1530"/>
      <c r="H20" s="1094" t="s">
        <v>1113</v>
      </c>
      <c r="I20" s="160" t="s">
        <v>1165</v>
      </c>
      <c r="J20" s="25">
        <f ca="1">ROUND(M20*M21/10000,2)</f>
        <v>1.05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7027.15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246.8</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1182</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-455</v>
      </c>
      <c r="K25" s="1208" t="s">
        <v>1188</v>
      </c>
      <c r="L25" s="1209"/>
      <c r="M25" s="1210"/>
    </row>
    <row r="26" spans="1:37">
      <c r="A26" s="1094" t="s">
        <v>821</v>
      </c>
      <c r="B26" s="308" t="s">
        <v>1189</v>
      </c>
      <c r="C26" s="24">
        <f ca="1">ROUND((C19+C20)*F26,0)</f>
        <v>2818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24682</v>
      </c>
      <c r="D29" s="1205"/>
      <c r="E29" s="1203"/>
      <c r="F29" s="1206"/>
      <c r="G29" s="1530"/>
      <c r="H29" s="340" t="s">
        <v>820</v>
      </c>
      <c r="I29" s="341" t="s">
        <v>1203</v>
      </c>
      <c r="J29" s="342">
        <f ca="1">ROUND(J26/(1+F40)^F41,0)</f>
        <v>0</v>
      </c>
      <c r="K29" s="343" t="s">
        <v>1204</v>
      </c>
      <c r="L29" s="344"/>
      <c r="M29" s="345">
        <f ca="1">INDIRECT("'数据-取费表'!k"&amp;$G$1)</f>
        <v>38821.839999999997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1714</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1361</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427.53</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932.8</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1.05</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7027.15</v>
      </c>
      <c r="G35" s="1518"/>
      <c r="H35" s="2874"/>
      <c r="I35" s="1532"/>
      <c r="J35" s="1533"/>
      <c r="K35" s="2878"/>
      <c r="L35" s="2877"/>
      <c r="M35" s="2877"/>
    </row>
    <row r="36" spans="1:18" ht="18" customHeight="1">
      <c r="A36" s="1215" t="s">
        <v>826</v>
      </c>
      <c r="B36" s="308" t="s">
        <v>1173</v>
      </c>
      <c r="C36" s="24">
        <f ca="1">ROUND(C29*F36,1)</f>
        <v>246.8</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24.7</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81.7</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6458</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102812</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29.05</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26483</v>
      </c>
      <c r="D43" s="343" t="s">
        <v>1212</v>
      </c>
      <c r="E43" s="344" t="s">
        <v>1213</v>
      </c>
      <c r="F43" s="345">
        <f ca="1">INDIRECT("'数据-取费表'!k"&amp;$G$1)</f>
        <v>38821.839999999997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-134717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40</v>
      </c>
      <c r="M47" s="1514" t="str">
        <f>IF(ISNUMBER(FIND("住宅",C1)),"住宅","非住宅")</f>
        <v>非住宅</v>
      </c>
      <c r="O47" s="1552" t="s">
        <v>827</v>
      </c>
      <c r="P47" s="1553" t="s">
        <v>1252</v>
      </c>
      <c r="Q47" s="1554">
        <f ca="1">C40+J29</f>
        <v>102812</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30.55</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24682</v>
      </c>
      <c r="R49" s="1554" t="s">
        <v>1253</v>
      </c>
    </row>
    <row r="50" spans="1:18" s="1518" customFormat="1" ht="13.5" thickBot="1">
      <c r="A50" s="1088"/>
      <c r="B50" s="1091"/>
      <c r="C50" s="1231"/>
      <c r="D50" s="1065"/>
      <c r="E50" s="1168" t="s">
        <v>1130</v>
      </c>
      <c r="F50" s="1169">
        <f ca="1">F7</f>
        <v>38821.839999999997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80889</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29.05</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29.05</v>
      </c>
      <c r="K53" s="3499" t="s">
        <v>1272</v>
      </c>
      <c r="L53" s="3500"/>
      <c r="O53" s="1552" t="s">
        <v>833</v>
      </c>
      <c r="P53" s="1553" t="s">
        <v>1273</v>
      </c>
      <c r="Q53" s="1554">
        <f ca="1">Q47+Q48</f>
        <v>102812</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24682</v>
      </c>
      <c r="D56" s="1581"/>
      <c r="E56" s="1582"/>
      <c r="F56" s="1574"/>
      <c r="I56" s="1583" t="s">
        <v>1278</v>
      </c>
      <c r="J56" s="1584" t="s">
        <v>3172</v>
      </c>
      <c r="K56" s="1555" t="s">
        <v>1279</v>
      </c>
      <c r="L56" s="1558" t="str">
        <f ca="1">IF(L48&lt;J51,"——",L48-J53)</f>
        <v>——</v>
      </c>
      <c r="O56" s="1552" t="s">
        <v>827</v>
      </c>
      <c r="P56" s="1553" t="s">
        <v>1252</v>
      </c>
      <c r="Q56" s="1554">
        <f ca="1">C40+J29</f>
        <v>102812</v>
      </c>
      <c r="R56" s="1554" t="s">
        <v>1253</v>
      </c>
    </row>
    <row r="57" spans="1:18" s="1518" customFormat="1" ht="24.75" thickBot="1">
      <c r="A57" s="1585"/>
      <c r="B57" s="1062" t="s">
        <v>1202</v>
      </c>
      <c r="C57" s="244">
        <f ca="1">C29</f>
        <v>24682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2346</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2074</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2073.29</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1.05</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102812</v>
      </c>
      <c r="R62" s="1554" t="s">
        <v>834</v>
      </c>
    </row>
    <row r="63" spans="1:18" s="1518" customFormat="1" ht="13.5" thickBot="1">
      <c r="A63" s="332"/>
      <c r="B63" s="1068"/>
      <c r="C63" s="29"/>
      <c r="D63" s="1078"/>
      <c r="E63" s="1062" t="s">
        <v>1171</v>
      </c>
      <c r="F63" s="309">
        <f t="shared" ca="1" si="0"/>
        <v>7027.15</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246.8</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24.7</v>
      </c>
      <c r="D65" s="1076" t="s">
        <v>1178</v>
      </c>
      <c r="E65" s="1062" t="s">
        <v>1146</v>
      </c>
      <c r="F65" s="336">
        <f t="shared" ca="1" si="0"/>
        <v>1E-3</v>
      </c>
      <c r="I65" s="1596" t="s">
        <v>1303</v>
      </c>
      <c r="J65" s="1597">
        <v>40</v>
      </c>
      <c r="K65" s="1597">
        <v>30</v>
      </c>
      <c r="L65" s="1597">
        <v>50</v>
      </c>
      <c r="M65" s="1599">
        <v>0.02</v>
      </c>
      <c r="O65" s="1552" t="s">
        <v>827</v>
      </c>
      <c r="P65" s="1553" t="s">
        <v>1252</v>
      </c>
      <c r="Q65" s="1554">
        <f ca="1">C40+J29</f>
        <v>102812</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-2346</v>
      </c>
      <c r="D67" s="1075" t="s">
        <v>1188</v>
      </c>
      <c r="E67" s="1080"/>
      <c r="F67" s="1081"/>
      <c r="O67" s="1562" t="s">
        <v>829</v>
      </c>
      <c r="P67" s="1553" t="s">
        <v>1286</v>
      </c>
      <c r="Q67" s="1600">
        <f ca="1">L51</f>
        <v>80889</v>
      </c>
      <c r="R67" s="1554" t="s">
        <v>1306</v>
      </c>
    </row>
    <row r="68" spans="1:18" s="1518" customFormat="1" ht="16.5" thickBot="1">
      <c r="A68" s="1059" t="s">
        <v>819</v>
      </c>
      <c r="B68" s="1060" t="s">
        <v>1209</v>
      </c>
      <c r="C68" s="307">
        <f ca="1">ROUND(C67*(1-((1+F70)/(1+F68))^F69)/(F68-F70),0)</f>
        <v>-31905</v>
      </c>
      <c r="D68" s="1077" t="s">
        <v>1193</v>
      </c>
      <c r="E68" s="1062" t="s">
        <v>1194</v>
      </c>
      <c r="F68" s="318">
        <f ca="1">F40</f>
        <v>0.06</v>
      </c>
      <c r="O68" s="1562" t="s">
        <v>830</v>
      </c>
      <c r="P68" s="1601" t="s">
        <v>1307</v>
      </c>
      <c r="Q68" s="1554">
        <f ca="1">ROUND(Q69-Q70*Q71,0)</f>
        <v>4607</v>
      </c>
      <c r="R68" s="1554" t="s">
        <v>838</v>
      </c>
    </row>
    <row r="69" spans="1:18" s="1518" customFormat="1" ht="13.5" thickBot="1">
      <c r="A69" s="1063"/>
      <c r="B69" s="1064"/>
      <c r="C69" s="312"/>
      <c r="D69" s="1082" t="s">
        <v>1197</v>
      </c>
      <c r="E69" s="1062" t="s">
        <v>1198</v>
      </c>
      <c r="F69" s="339">
        <f ca="1">F41</f>
        <v>29.05</v>
      </c>
      <c r="O69" s="1562" t="s">
        <v>835</v>
      </c>
      <c r="P69" s="1601" t="s">
        <v>1308</v>
      </c>
      <c r="Q69" s="1554">
        <f ca="1">C39</f>
        <v>6458</v>
      </c>
      <c r="R69" s="1554" t="s">
        <v>1253</v>
      </c>
    </row>
    <row r="70" spans="1:18" s="1518" customFormat="1" ht="13.5" thickBot="1">
      <c r="A70" s="1066"/>
      <c r="B70" s="1067"/>
      <c r="C70" s="316"/>
      <c r="D70" s="1078"/>
      <c r="E70" s="1062" t="s">
        <v>1201</v>
      </c>
      <c r="F70" s="1166"/>
      <c r="O70" s="1562" t="s">
        <v>836</v>
      </c>
      <c r="P70" s="1601" t="s">
        <v>1309</v>
      </c>
      <c r="Q70" s="1554">
        <f ca="1">C13</f>
        <v>24682</v>
      </c>
      <c r="R70" s="1554" t="s">
        <v>1253</v>
      </c>
    </row>
    <row r="71" spans="1:18" s="1518" customFormat="1" ht="13.5" thickBot="1">
      <c r="A71" s="1083" t="s">
        <v>820</v>
      </c>
      <c r="B71" s="1084" t="s">
        <v>1211</v>
      </c>
      <c r="C71" s="342">
        <f ca="1">ROUND(C68*10000/F71,0)</f>
        <v>-8218</v>
      </c>
      <c r="D71" s="1085" t="s">
        <v>1212</v>
      </c>
      <c r="E71" s="1086" t="s">
        <v>1213</v>
      </c>
      <c r="F71" s="345">
        <f ca="1">F43</f>
        <v>38821.839999999997</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1851</v>
      </c>
      <c r="D75" s="1518"/>
      <c r="E75" s="1518"/>
      <c r="F75" s="1518"/>
      <c r="K75" s="1536"/>
      <c r="L75" s="1518"/>
      <c r="O75" s="1552" t="s">
        <v>833</v>
      </c>
      <c r="P75" s="1553" t="s">
        <v>1273</v>
      </c>
      <c r="Q75" s="1554">
        <f ca="1">Q65+Q66</f>
        <v>102812</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0.71300000000000008</v>
      </c>
    </row>
    <row r="80" spans="1:18">
      <c r="B80" s="346" t="s">
        <v>1235</v>
      </c>
      <c r="C80" s="280">
        <f ca="1">ROUND(C75/C39,3)</f>
        <v>0.28699999999999998</v>
      </c>
    </row>
    <row r="81" spans="2:3">
      <c r="B81" s="276" t="s">
        <v>1236</v>
      </c>
      <c r="C81" s="244"/>
    </row>
    <row r="82" spans="2:3">
      <c r="B82" s="279" t="s">
        <v>1237</v>
      </c>
      <c r="C82" s="281">
        <f ca="1">1-C83</f>
        <v>0.76</v>
      </c>
    </row>
    <row r="83" spans="2:3">
      <c r="B83" s="279" t="s">
        <v>1238</v>
      </c>
      <c r="C83" s="280">
        <f ca="1">ROUND(C13/C40,3)</f>
        <v>0.24</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0" zoomScale="70" zoomScaleNormal="70" zoomScaleSheetLayoutView="70" workbookViewId="0">
      <selection activeCell="E39" sqref="E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3183</v>
      </c>
      <c r="D1" s="1496" t="s">
        <v>3322</v>
      </c>
      <c r="E1" s="1497" t="s">
        <v>1111</v>
      </c>
      <c r="F1" s="1174">
        <f ca="1">J53</f>
        <v>39.06</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4137</v>
      </c>
      <c r="C2" s="1521" t="s">
        <v>1240</v>
      </c>
      <c r="D2" s="1521"/>
      <c r="E2" s="1522"/>
      <c r="F2" s="1523"/>
      <c r="G2" s="2883"/>
      <c r="H2" s="2872"/>
      <c r="I2" s="2872"/>
      <c r="J2" s="2872"/>
      <c r="K2" s="2873"/>
      <c r="L2" s="2872"/>
      <c r="M2" s="2872"/>
    </row>
    <row r="3" spans="1:37" ht="18" customHeight="1" thickBot="1">
      <c r="A3" s="1524" t="s">
        <v>1241</v>
      </c>
      <c r="B3" s="1525">
        <f ca="1">IF(ISERROR(B2*10000/F43),0,ROUND(B2*10000/F43,0))</f>
        <v>2220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409</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409</v>
      </c>
      <c r="D6" s="160" t="s">
        <v>2606</v>
      </c>
      <c r="E6" s="308" t="s">
        <v>1129</v>
      </c>
      <c r="F6" s="309">
        <f ca="1">INDIRECT("'数据-取费表'!u"&amp;$G$1)</f>
        <v>800</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532</v>
      </c>
      <c r="G7" s="1518"/>
      <c r="H7" s="310"/>
      <c r="I7" s="3502"/>
      <c r="J7" s="312"/>
      <c r="K7" s="313"/>
      <c r="L7" s="308" t="s">
        <v>1130</v>
      </c>
      <c r="M7" s="309">
        <f ca="1">F7</f>
        <v>532</v>
      </c>
    </row>
    <row r="8" spans="1:37" ht="18" customHeight="1">
      <c r="A8" s="310"/>
      <c r="B8" s="3502"/>
      <c r="C8" s="312"/>
      <c r="D8" s="313"/>
      <c r="E8" s="308" t="s">
        <v>1131</v>
      </c>
      <c r="F8" s="309">
        <f ca="1">INDIRECT("'数据-取费表'!ai"&amp;$G$1)</f>
        <v>12</v>
      </c>
      <c r="G8" s="1518"/>
      <c r="H8" s="310"/>
      <c r="I8" s="3502"/>
      <c r="J8" s="312"/>
      <c r="K8" s="313"/>
      <c r="L8" s="308" t="s">
        <v>1131</v>
      </c>
      <c r="M8" s="309">
        <f ca="1">INDIRECT("'数据-取费表'!ai"&amp;$G$1)</f>
        <v>12</v>
      </c>
    </row>
    <row r="9" spans="1:37" ht="18" customHeight="1">
      <c r="A9" s="310"/>
      <c r="B9" s="3503"/>
      <c r="C9" s="312"/>
      <c r="D9" s="313"/>
      <c r="E9" s="308" t="s">
        <v>1132</v>
      </c>
      <c r="F9" s="318">
        <f ca="1">INDIRECT("'数据-取费表'!w"&amp;$G$1)</f>
        <v>0.2</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3339</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8458</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6201</v>
      </c>
      <c r="D14" s="3235" t="s">
        <v>1142</v>
      </c>
      <c r="E14" s="3234"/>
      <c r="F14" s="325"/>
      <c r="G14" s="1518"/>
      <c r="H14" s="1094" t="s">
        <v>822</v>
      </c>
      <c r="I14" s="308" t="s">
        <v>1143</v>
      </c>
      <c r="J14" s="24">
        <f ca="1">C29</f>
        <v>8458</v>
      </c>
      <c r="K14" s="3231"/>
      <c r="L14" s="897"/>
      <c r="M14" s="898"/>
    </row>
    <row r="15" spans="1:37" s="1531" customFormat="1" ht="18" customHeight="1" thickBot="1">
      <c r="A15" s="1094" t="s">
        <v>823</v>
      </c>
      <c r="B15" s="308" t="s">
        <v>1144</v>
      </c>
      <c r="C15" s="24">
        <f ca="1">ROUND(C14*F15,0)</f>
        <v>186</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157</v>
      </c>
      <c r="K16" s="1200" t="s">
        <v>1149</v>
      </c>
      <c r="L16" s="3237"/>
      <c r="M16" s="1185"/>
    </row>
    <row r="17" spans="1:37" s="1531" customFormat="1" ht="18" customHeight="1">
      <c r="A17" s="1094" t="s">
        <v>1114</v>
      </c>
      <c r="B17" s="308" t="s">
        <v>1150</v>
      </c>
      <c r="C17" s="24">
        <f ca="1">ROUND(F17*(F43+INDIRECT("'数据-取费表'!S"&amp;$G$1))/10000,0)</f>
        <v>413</v>
      </c>
      <c r="D17" s="308" t="s">
        <v>1151</v>
      </c>
      <c r="E17" s="308" t="s">
        <v>1152</v>
      </c>
      <c r="F17" s="26">
        <f>'数据-取费表'!B35</f>
        <v>200</v>
      </c>
      <c r="G17" s="1530"/>
      <c r="H17" s="1094" t="s">
        <v>822</v>
      </c>
      <c r="I17" s="308" t="s">
        <v>1153</v>
      </c>
      <c r="J17" s="2483">
        <f ca="1">ROUND(IF(AND(项目基本情况!B11="自然人",项目基本情况!B10="北京市"),J6*M17/(1+'数据-取费表'!C42),J18+J19+J20),0)</f>
        <v>72</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93</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6893</v>
      </c>
      <c r="D19" s="136" t="s">
        <v>1160</v>
      </c>
      <c r="E19" s="3239"/>
      <c r="F19" s="26"/>
      <c r="G19" s="1518"/>
      <c r="H19" s="1094" t="s">
        <v>823</v>
      </c>
      <c r="I19" s="308" t="s">
        <v>1161</v>
      </c>
      <c r="J19" s="24">
        <f ca="1">IF(K19="按租金收入计税",ROUND(J6*M19/(1+'数据-取费表'!C42),2),ROUND(C29*M19*0.7,2))</f>
        <v>71.05</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138</v>
      </c>
      <c r="D20" s="329" t="s">
        <v>1164</v>
      </c>
      <c r="E20" s="308" t="s">
        <v>1146</v>
      </c>
      <c r="F20" s="328">
        <f>'数据-取费表'!B37</f>
        <v>0.02</v>
      </c>
      <c r="G20" s="1530"/>
      <c r="H20" s="1094" t="s">
        <v>1113</v>
      </c>
      <c r="I20" s="160" t="s">
        <v>1165</v>
      </c>
      <c r="J20" s="25">
        <f ca="1">ROUND(M20*M21/10000,2)</f>
        <v>0.51</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3372.5099999999998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84.6</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443</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-157</v>
      </c>
      <c r="K25" s="1208" t="s">
        <v>1188</v>
      </c>
      <c r="L25" s="1209"/>
      <c r="M25" s="1210"/>
    </row>
    <row r="26" spans="1:37">
      <c r="A26" s="1094" t="s">
        <v>821</v>
      </c>
      <c r="B26" s="308" t="s">
        <v>1189</v>
      </c>
      <c r="C26" s="24">
        <f ca="1">ROUND((C19+C20)*F26,0)</f>
        <v>352</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8458</v>
      </c>
      <c r="D29" s="1205"/>
      <c r="E29" s="1203"/>
      <c r="F29" s="1206"/>
      <c r="G29" s="1530"/>
      <c r="H29" s="340" t="s">
        <v>820</v>
      </c>
      <c r="I29" s="341" t="s">
        <v>1203</v>
      </c>
      <c r="J29" s="342">
        <f ca="1">ROUND(J26/(1+F40)^F41,0)</f>
        <v>0</v>
      </c>
      <c r="K29" s="343" t="s">
        <v>1204</v>
      </c>
      <c r="L29" s="344"/>
      <c r="M29" s="345">
        <f ca="1">INDIRECT("'数据-取费表'!k"&amp;$G$1)</f>
        <v>18631.560000000001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166</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69</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21.42</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46.74</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0.51</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3372.5099999999998</v>
      </c>
      <c r="G35" s="1518"/>
      <c r="H35" s="2874"/>
      <c r="I35" s="1532"/>
      <c r="J35" s="1533"/>
      <c r="K35" s="2878"/>
      <c r="L35" s="2877"/>
      <c r="M35" s="2877"/>
    </row>
    <row r="36" spans="1:18" ht="18" customHeight="1">
      <c r="A36" s="1215" t="s">
        <v>826</v>
      </c>
      <c r="B36" s="308" t="s">
        <v>1173</v>
      </c>
      <c r="C36" s="24">
        <f ca="1">ROUND(C29*F36,1)</f>
        <v>84.6</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8.5</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4.0999999999999996</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243</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4137</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39.06</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2220</v>
      </c>
      <c r="D43" s="343" t="s">
        <v>1212</v>
      </c>
      <c r="E43" s="344" t="s">
        <v>1213</v>
      </c>
      <c r="F43" s="345">
        <f ca="1">INDIRECT("'数据-取费表'!k"&amp;$G$1)</f>
        <v>18631.560000000001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-17826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4137</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8458</v>
      </c>
      <c r="R49" s="1554" t="s">
        <v>1253</v>
      </c>
    </row>
    <row r="50" spans="1:18" s="1518" customFormat="1" ht="13.5" thickBot="1">
      <c r="A50" s="1088"/>
      <c r="B50" s="1091"/>
      <c r="C50" s="1231"/>
      <c r="D50" s="1065"/>
      <c r="E50" s="1168" t="s">
        <v>1130</v>
      </c>
      <c r="F50" s="1169">
        <f ca="1">F7</f>
        <v>532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63</v>
      </c>
      <c r="K51" s="1568" t="s">
        <v>1265</v>
      </c>
      <c r="L51" s="1569">
        <f ca="1">ROUND(-PV(INDIRECT("'数据-取费表'!h"&amp;$G$1),J51,(C39-C13*C76),0),0)</f>
        <v>-6391</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39.06</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39.06</v>
      </c>
      <c r="K53" s="3499" t="s">
        <v>1272</v>
      </c>
      <c r="L53" s="3500"/>
      <c r="O53" s="1552" t="s">
        <v>833</v>
      </c>
      <c r="P53" s="1553" t="s">
        <v>1273</v>
      </c>
      <c r="Q53" s="1554">
        <f ca="1">Q47+Q48</f>
        <v>4137</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8458</v>
      </c>
      <c r="D56" s="1581"/>
      <c r="E56" s="1582"/>
      <c r="F56" s="1574"/>
      <c r="I56" s="1583" t="s">
        <v>1278</v>
      </c>
      <c r="J56" s="1584" t="s">
        <v>3172</v>
      </c>
      <c r="K56" s="1555" t="s">
        <v>1279</v>
      </c>
      <c r="L56" s="1558" t="str">
        <f ca="1">IF(L48&lt;J51,"——",L48-J53)</f>
        <v>——</v>
      </c>
      <c r="O56" s="1552" t="s">
        <v>827</v>
      </c>
      <c r="P56" s="1553" t="s">
        <v>1252</v>
      </c>
      <c r="Q56" s="1554">
        <f ca="1">C40+J29</f>
        <v>4137</v>
      </c>
      <c r="R56" s="1554" t="s">
        <v>1253</v>
      </c>
    </row>
    <row r="57" spans="1:18" s="1518" customFormat="1" ht="24.75" thickBot="1">
      <c r="A57" s="1585"/>
      <c r="B57" s="1062" t="s">
        <v>1202</v>
      </c>
      <c r="C57" s="244">
        <f ca="1">C29</f>
        <v>8458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804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711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710.47</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0.51</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4137</v>
      </c>
      <c r="R62" s="1554" t="s">
        <v>834</v>
      </c>
    </row>
    <row r="63" spans="1:18" s="1518" customFormat="1" ht="13.5" thickBot="1">
      <c r="A63" s="332"/>
      <c r="B63" s="1068"/>
      <c r="C63" s="29"/>
      <c r="D63" s="1078"/>
      <c r="E63" s="1062" t="s">
        <v>1171</v>
      </c>
      <c r="F63" s="309">
        <f t="shared" ca="1" si="0"/>
        <v>3372.5099999999998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84.6</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8.5</v>
      </c>
      <c r="D65" s="1076" t="s">
        <v>1178</v>
      </c>
      <c r="E65" s="1062" t="s">
        <v>1146</v>
      </c>
      <c r="F65" s="336">
        <f t="shared" ca="1" si="0"/>
        <v>1E-3</v>
      </c>
      <c r="I65" s="1596" t="s">
        <v>1303</v>
      </c>
      <c r="J65" s="1597">
        <v>40</v>
      </c>
      <c r="K65" s="1597">
        <v>30</v>
      </c>
      <c r="L65" s="1597">
        <v>50</v>
      </c>
      <c r="M65" s="1599">
        <v>0.02</v>
      </c>
      <c r="O65" s="1552" t="s">
        <v>827</v>
      </c>
      <c r="P65" s="1553" t="s">
        <v>1252</v>
      </c>
      <c r="Q65" s="1554">
        <f ca="1">C40+J29</f>
        <v>4137</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-804</v>
      </c>
      <c r="D67" s="1075" t="s">
        <v>1188</v>
      </c>
      <c r="E67" s="1080"/>
      <c r="F67" s="1081"/>
      <c r="O67" s="1562" t="s">
        <v>829</v>
      </c>
      <c r="P67" s="1553" t="s">
        <v>1286</v>
      </c>
      <c r="Q67" s="1600">
        <f ca="1">L51</f>
        <v>-6391</v>
      </c>
      <c r="R67" s="1554" t="s">
        <v>1306</v>
      </c>
    </row>
    <row r="68" spans="1:18" s="1518" customFormat="1" ht="16.5" thickBot="1">
      <c r="A68" s="1059" t="s">
        <v>819</v>
      </c>
      <c r="B68" s="1060" t="s">
        <v>1209</v>
      </c>
      <c r="C68" s="307">
        <f ca="1">ROUND(C67*(1-((1+F70)/(1+F68))^F69)/(F68-F70),0)</f>
        <v>-13689</v>
      </c>
      <c r="D68" s="1077" t="s">
        <v>1193</v>
      </c>
      <c r="E68" s="1062" t="s">
        <v>1194</v>
      </c>
      <c r="F68" s="318">
        <f ca="1">F40</f>
        <v>0.05</v>
      </c>
      <c r="O68" s="1562" t="s">
        <v>830</v>
      </c>
      <c r="P68" s="1601" t="s">
        <v>1307</v>
      </c>
      <c r="Q68" s="1554">
        <f ca="1">ROUND(Q69-Q70*Q71,0)</f>
        <v>-307</v>
      </c>
      <c r="R68" s="1554" t="s">
        <v>838</v>
      </c>
    </row>
    <row r="69" spans="1:18" s="1518" customFormat="1" ht="13.5" thickBot="1">
      <c r="A69" s="1063"/>
      <c r="B69" s="1064"/>
      <c r="C69" s="312"/>
      <c r="D69" s="1082" t="s">
        <v>1197</v>
      </c>
      <c r="E69" s="1062" t="s">
        <v>1198</v>
      </c>
      <c r="F69" s="339">
        <f ca="1">F41</f>
        <v>39.06</v>
      </c>
      <c r="O69" s="1562" t="s">
        <v>835</v>
      </c>
      <c r="P69" s="1601" t="s">
        <v>1308</v>
      </c>
      <c r="Q69" s="1554">
        <f ca="1">C39</f>
        <v>243</v>
      </c>
      <c r="R69" s="1554" t="s">
        <v>1253</v>
      </c>
    </row>
    <row r="70" spans="1:18" s="1518" customFormat="1" ht="13.5" thickBot="1">
      <c r="A70" s="1066"/>
      <c r="B70" s="1067"/>
      <c r="C70" s="316"/>
      <c r="D70" s="1078"/>
      <c r="E70" s="1062" t="s">
        <v>1201</v>
      </c>
      <c r="F70" s="1166"/>
      <c r="O70" s="1562" t="s">
        <v>836</v>
      </c>
      <c r="P70" s="1601" t="s">
        <v>1309</v>
      </c>
      <c r="Q70" s="1554">
        <f ca="1">C13</f>
        <v>8458</v>
      </c>
      <c r="R70" s="1554" t="s">
        <v>1253</v>
      </c>
    </row>
    <row r="71" spans="1:18" s="1518" customFormat="1" ht="13.5" thickBot="1">
      <c r="A71" s="1083" t="s">
        <v>820</v>
      </c>
      <c r="B71" s="1084" t="s">
        <v>1211</v>
      </c>
      <c r="C71" s="342">
        <f ca="1">ROUND(C68*10000/F71,0)</f>
        <v>-7347</v>
      </c>
      <c r="D71" s="1085" t="s">
        <v>1212</v>
      </c>
      <c r="E71" s="1086" t="s">
        <v>1213</v>
      </c>
      <c r="F71" s="345">
        <f ca="1">F43</f>
        <v>18631.560000000001</v>
      </c>
      <c r="O71" s="1562" t="s">
        <v>837</v>
      </c>
      <c r="P71" s="1601" t="s">
        <v>1310</v>
      </c>
      <c r="Q71" s="1565">
        <f ca="1">C76</f>
        <v>6.5000000000000002E-2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550</v>
      </c>
      <c r="D75" s="1518"/>
      <c r="E75" s="1518"/>
      <c r="F75" s="1518"/>
      <c r="K75" s="1536"/>
      <c r="L75" s="1518"/>
      <c r="O75" s="1552" t="s">
        <v>833</v>
      </c>
      <c r="P75" s="1553" t="s">
        <v>1273</v>
      </c>
      <c r="Q75" s="1554">
        <f ca="1">Q65+Q66</f>
        <v>4137</v>
      </c>
      <c r="R75" s="1554" t="s">
        <v>834</v>
      </c>
    </row>
    <row r="76" spans="1:18">
      <c r="B76" s="348" t="s">
        <v>1231</v>
      </c>
      <c r="C76" s="349">
        <f ca="1">INDIRECT("'数据-取费表'!j"&amp;$G$1)</f>
        <v>6.5000000000000002E-2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-1.2629999999999999</v>
      </c>
    </row>
    <row r="80" spans="1:18">
      <c r="B80" s="346" t="s">
        <v>1235</v>
      </c>
      <c r="C80" s="280">
        <f ca="1">ROUND(C75/C39,3)</f>
        <v>2.2629999999999999</v>
      </c>
    </row>
    <row r="81" spans="2:3">
      <c r="B81" s="276" t="s">
        <v>1236</v>
      </c>
      <c r="C81" s="244"/>
    </row>
    <row r="82" spans="2:3">
      <c r="B82" s="279" t="s">
        <v>1237</v>
      </c>
      <c r="C82" s="281">
        <f ca="1">1-C83</f>
        <v>-1.044</v>
      </c>
    </row>
    <row r="83" spans="2:3">
      <c r="B83" s="279" t="s">
        <v>1238</v>
      </c>
      <c r="C83" s="280">
        <f ca="1">ROUND(C13/C40,3)</f>
        <v>2.044</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N105" sqref="N10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5" t="str">
        <f>IF(项目基本情况!B9="房地产市场价值","估价结果一览表","结果表-2")</f>
        <v>结果表-2</v>
      </c>
      <c r="B1" s="3285"/>
      <c r="C1" s="3285"/>
      <c r="D1" s="3285"/>
      <c r="E1" s="3285"/>
      <c r="F1" s="3285"/>
      <c r="G1" s="3285"/>
      <c r="H1" s="3285"/>
      <c r="I1" s="3285"/>
    </row>
    <row r="2" spans="1:9" ht="30" customHeight="1" thickTop="1">
      <c r="A2" s="3286" t="s">
        <v>1365</v>
      </c>
      <c r="B2" s="3286" t="s">
        <v>1366</v>
      </c>
      <c r="C2" s="3286" t="s">
        <v>1367</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0"/>
      <c r="B3" s="3280"/>
      <c r="C3" s="3280"/>
      <c r="D3" s="944" t="s">
        <v>1362</v>
      </c>
      <c r="E3" s="944" t="s">
        <v>1368</v>
      </c>
      <c r="F3" s="944" t="s">
        <v>1362</v>
      </c>
      <c r="G3" s="944" t="s">
        <v>1363</v>
      </c>
      <c r="H3" s="944" t="s">
        <v>1362</v>
      </c>
      <c r="I3" s="944" t="s">
        <v>1363</v>
      </c>
    </row>
    <row r="4" spans="1:9" ht="15">
      <c r="A4" s="1640" t="str">
        <f>项目基本情况!S2</f>
        <v>北京市房地产</v>
      </c>
      <c r="B4" s="944">
        <f>项目基本情况!C17</f>
        <v>95896.06</v>
      </c>
      <c r="C4" s="944">
        <f>项目基本情况!C18</f>
        <v>15644.81</v>
      </c>
      <c r="D4" s="944">
        <f ca="1">结果表!D118</f>
        <v>106866</v>
      </c>
      <c r="E4" s="944">
        <f ca="1">结果表!E118</f>
        <v>11144</v>
      </c>
      <c r="F4" s="944">
        <f ca="1">结果表!F118</f>
        <v>24581</v>
      </c>
      <c r="G4" s="944">
        <f ca="1">结果表!G118</f>
        <v>2563</v>
      </c>
      <c r="H4" s="944">
        <f ca="1">结果表!H118</f>
        <v>131447</v>
      </c>
      <c r="I4" s="944">
        <f ca="1">结果表!I118</f>
        <v>13707</v>
      </c>
    </row>
    <row r="5" spans="1:9" ht="30" customHeight="1">
      <c r="A5" s="3280" t="s">
        <v>1364</v>
      </c>
      <c r="B5" s="3280"/>
      <c r="C5" s="3280"/>
      <c r="D5" s="3281" t="str">
        <f ca="1">结果表!D119</f>
        <v>壹拾亿陆仟捌佰陆拾陆万元整</v>
      </c>
      <c r="E5" s="3281"/>
      <c r="F5" s="3281" t="str">
        <f ca="1">结果表!F119</f>
        <v>贰亿肆仟伍佰捌拾壹万元整</v>
      </c>
      <c r="G5" s="3281"/>
      <c r="H5" s="3281" t="str">
        <f ca="1">结果表!H119</f>
        <v>壹拾叁亿壹仟肆佰肆拾柒万元整</v>
      </c>
      <c r="I5" s="3281"/>
    </row>
    <row r="6" spans="1:9" ht="15.75">
      <c r="A6" s="3279" t="str">
        <f>结果表!A120</f>
        <v>估价师知悉的法定优先受偿款</v>
      </c>
      <c r="B6" s="3279"/>
      <c r="C6" s="3279"/>
      <c r="D6" s="3279">
        <f>结果表!D120</f>
        <v>0</v>
      </c>
      <c r="E6" s="3279"/>
      <c r="F6" s="3279"/>
      <c r="G6" s="3279"/>
      <c r="H6" s="3279"/>
      <c r="I6" s="3279"/>
    </row>
    <row r="7" spans="1:9" ht="15">
      <c r="A7" s="3280" t="s">
        <v>1364</v>
      </c>
      <c r="B7" s="3280"/>
      <c r="C7" s="3280"/>
      <c r="D7" s="3282" t="str">
        <f>结果表!D121</f>
        <v>零元整</v>
      </c>
      <c r="E7" s="3283"/>
      <c r="F7" s="3283"/>
      <c r="G7" s="3283"/>
      <c r="H7" s="3283"/>
      <c r="I7" s="3284"/>
    </row>
    <row r="8" spans="1:9" ht="15.75">
      <c r="A8" s="3279" t="str">
        <f>结果表!A122</f>
        <v>房地产抵押价值</v>
      </c>
      <c r="B8" s="3279"/>
      <c r="C8" s="3279"/>
      <c r="D8" s="3279">
        <f ca="1">结果表!D122</f>
        <v>131447</v>
      </c>
      <c r="E8" s="3279"/>
      <c r="F8" s="3279"/>
      <c r="G8" s="3279"/>
      <c r="H8" s="3279"/>
      <c r="I8" s="3279"/>
    </row>
    <row r="9" spans="1:9" ht="15">
      <c r="A9" s="3280" t="s">
        <v>1364</v>
      </c>
      <c r="B9" s="3280"/>
      <c r="C9" s="3280"/>
      <c r="D9" s="3281" t="str">
        <f ca="1">结果表!D123</f>
        <v>壹拾叁亿壹仟肆佰肆拾柒万元整</v>
      </c>
      <c r="E9" s="3281"/>
      <c r="F9" s="3281"/>
      <c r="G9" s="3281"/>
      <c r="H9" s="3281"/>
      <c r="I9" s="3281"/>
    </row>
    <row r="10" spans="1:9" ht="15.75">
      <c r="A10" s="3279" t="str">
        <f>结果表!A124</f>
        <v/>
      </c>
      <c r="B10" s="3279"/>
      <c r="C10" s="3279"/>
      <c r="D10" s="3279" t="str">
        <f>结果表!D124</f>
        <v>——</v>
      </c>
      <c r="E10" s="3279"/>
      <c r="F10" s="3279"/>
      <c r="G10" s="3279"/>
      <c r="H10" s="3279"/>
      <c r="I10" s="3279"/>
    </row>
    <row r="11" spans="1:9" ht="15">
      <c r="A11" s="3280" t="s">
        <v>1364</v>
      </c>
      <c r="B11" s="3280"/>
      <c r="C11" s="3280"/>
      <c r="D11" s="3281" t="e">
        <f>结果表!D125</f>
        <v>#VALUE!</v>
      </c>
      <c r="E11" s="3281"/>
      <c r="F11" s="3281"/>
      <c r="G11" s="3281"/>
      <c r="H11" s="3281"/>
      <c r="I11" s="3281"/>
    </row>
    <row r="12" spans="1:9" ht="15.75">
      <c r="A12" s="3279" t="str">
        <f>结果表!A126</f>
        <v/>
      </c>
      <c r="B12" s="3279"/>
      <c r="C12" s="3279"/>
      <c r="D12" s="3279" t="str">
        <f>结果表!D126</f>
        <v>——</v>
      </c>
      <c r="E12" s="3279"/>
      <c r="F12" s="3279"/>
      <c r="G12" s="3279"/>
      <c r="H12" s="3279"/>
      <c r="I12" s="3279"/>
    </row>
    <row r="13" spans="1:9" ht="15.75" thickBot="1">
      <c r="A13" s="3276" t="s">
        <v>1364</v>
      </c>
      <c r="B13" s="3276"/>
      <c r="C13" s="3276"/>
      <c r="D13" s="3277" t="e">
        <f>结果表!D127</f>
        <v>#VALUE!</v>
      </c>
      <c r="E13" s="3277"/>
      <c r="F13" s="3277"/>
      <c r="G13" s="3277"/>
      <c r="H13" s="3277"/>
      <c r="I13" s="3277"/>
    </row>
    <row r="14" spans="1:9" ht="15" thickTop="1">
      <c r="A14" s="3278" t="s">
        <v>1369</v>
      </c>
      <c r="B14" s="3278"/>
      <c r="C14" s="3278"/>
      <c r="D14" s="3278"/>
      <c r="E14" s="3278"/>
      <c r="F14" s="3278"/>
      <c r="G14" s="3278"/>
      <c r="H14" s="3278"/>
      <c r="I14" s="327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3" t="s">
        <v>1386</v>
      </c>
      <c r="B1" s="3293"/>
      <c r="C1" s="3293"/>
      <c r="D1" s="3293"/>
    </row>
    <row r="2" spans="1:4" ht="18">
      <c r="A2" s="3294" t="s">
        <v>1370</v>
      </c>
      <c r="B2" s="3294"/>
      <c r="C2" s="3294"/>
      <c r="D2" s="3294"/>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4" t="s">
        <v>1376</v>
      </c>
      <c r="B6" s="3294"/>
      <c r="C6" s="3294"/>
      <c r="D6" s="329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5" t="s">
        <v>1379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87" t="str">
        <f>IF(项目基本情况!B8="抵押","4.本次评估估价师所知悉的法定优先受偿款情况说明如下：","——")</f>
        <v>4.本次评估估价师所知悉的法定优先受偿款情况说明如下：</v>
      </c>
      <c r="B14" s="3292"/>
      <c r="C14" s="3292"/>
      <c r="D14" s="3292"/>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1380</v>
      </c>
      <c r="B16" s="3289"/>
      <c r="C16" s="3289"/>
      <c r="D16" s="3289"/>
    </row>
    <row r="17" spans="1:4" ht="144" customHeight="1">
      <c r="A17" s="3289" t="s">
        <v>1381</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1382</v>
      </c>
      <c r="B22" s="3291"/>
      <c r="C22" s="3291"/>
      <c r="D22" s="329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8">
        <v>42551</v>
      </c>
      <c r="D31" s="32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44868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t="str">
        <f ca="1">IF(C11&lt;B2,"已过期",1120070131)</f>
        <v>已过期</v>
      </c>
      <c r="C11" s="2517">
        <v>44849</v>
      </c>
      <c r="D11" s="2518" t="str">
        <f t="shared" ca="1" si="0"/>
        <v>郑燚（注册号：已过期）</v>
      </c>
      <c r="E11" s="2519" t="s">
        <v>2653</v>
      </c>
      <c r="F11" s="1424">
        <f ca="1">IF(G11&lt;B2,"已过期",2014110011)</f>
        <v>2014110011</v>
      </c>
      <c r="G11" s="2520">
        <v>49302</v>
      </c>
      <c r="H11" s="2521" t="str">
        <f t="shared" ca="1" si="1"/>
        <v>郑燚（注册号：2014110011）</v>
      </c>
    </row>
    <row r="12" spans="1:8" ht="24" customHeight="1">
      <c r="A12" s="1424" t="s">
        <v>2654</v>
      </c>
      <c r="B12" s="1424" t="str">
        <f ca="1">IF(C12&lt;B2,"已过期",1120040230)</f>
        <v>已过期</v>
      </c>
      <c r="C12" s="2522">
        <v>44864</v>
      </c>
      <c r="D12" s="2518" t="str">
        <f t="shared" ca="1" si="0"/>
        <v>苏海（注册号：已过期）</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4" t="s">
        <v>2658</v>
      </c>
      <c r="B17" s="3304"/>
      <c r="C17" s="3304"/>
      <c r="D17" s="3304"/>
      <c r="E17" s="3304"/>
      <c r="F17" s="3304"/>
      <c r="G17" s="3304"/>
      <c r="H17" s="3304"/>
    </row>
    <row r="18" spans="1:8" ht="24" customHeight="1">
      <c r="A18" s="3305" t="s">
        <v>2659</v>
      </c>
      <c r="B18" s="3305"/>
      <c r="C18" s="3305"/>
      <c r="D18" s="2515"/>
      <c r="E18" s="3306" t="s">
        <v>2660</v>
      </c>
      <c r="F18" s="3305"/>
      <c r="G18" s="330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收益法-商业</vt:lpstr>
      <vt:lpstr>收益法-车库</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2022-11-03T05:59:35Z</dcterms:modified>
</cp:coreProperties>
</file>